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bookViews>
  <sheets>
    <sheet name="2024" sheetId="11" r:id="rId1"/>
  </sheets>
  <definedNames>
    <definedName name="_xlnm._FilterDatabase" localSheetId="0" hidden="1">'2024'!$A$9:$K$164</definedName>
    <definedName name="_xlnm.Print_Titles" localSheetId="0">'2024'!$13:$15</definedName>
    <definedName name="_xlnm.Print_Area" localSheetId="0">'2024'!$A$1:$K$162</definedName>
  </definedNames>
  <calcPr calcId="152511"/>
</workbook>
</file>

<file path=xl/calcChain.xml><?xml version="1.0" encoding="utf-8"?>
<calcChain xmlns="http://schemas.openxmlformats.org/spreadsheetml/2006/main">
  <c r="I145" i="11" l="1"/>
  <c r="H145" i="11"/>
  <c r="K96" i="11" l="1"/>
  <c r="J96" i="11"/>
  <c r="I92" i="11" l="1"/>
  <c r="I80" i="11"/>
  <c r="I78" i="11"/>
  <c r="I59" i="11" l="1"/>
  <c r="I60" i="11" l="1"/>
  <c r="I152" i="11"/>
  <c r="H131" i="11"/>
  <c r="I32" i="11"/>
  <c r="J32" i="11"/>
  <c r="K32" i="11"/>
  <c r="H32" i="11"/>
  <c r="I160" i="11" l="1"/>
  <c r="J160" i="11"/>
  <c r="K160" i="11"/>
  <c r="H160" i="11"/>
  <c r="I82" i="11"/>
  <c r="J82" i="11"/>
  <c r="K82" i="11"/>
  <c r="H91" i="11"/>
  <c r="I136" i="11" l="1"/>
  <c r="J136" i="11"/>
  <c r="K136" i="11"/>
  <c r="I18" i="11"/>
  <c r="K126" i="11" l="1"/>
  <c r="J126" i="11"/>
  <c r="K125" i="11"/>
  <c r="J125" i="11"/>
  <c r="K105" i="11"/>
  <c r="J105" i="11"/>
  <c r="K101" i="11"/>
  <c r="J101" i="11"/>
  <c r="I96" i="11"/>
  <c r="I95" i="11"/>
  <c r="J94" i="11"/>
  <c r="K89" i="11"/>
  <c r="J89" i="11"/>
  <c r="K84" i="11"/>
  <c r="J84" i="11"/>
  <c r="K46" i="11"/>
  <c r="J46" i="11"/>
  <c r="I28" i="11"/>
  <c r="I20" i="11"/>
  <c r="I19" i="11"/>
  <c r="K107" i="11" l="1"/>
  <c r="J107" i="11"/>
  <c r="I39" i="11" l="1"/>
  <c r="H42" i="11" l="1"/>
  <c r="I125" i="11" l="1"/>
  <c r="K92" i="11"/>
  <c r="J92" i="11"/>
  <c r="I46" i="11"/>
  <c r="I43" i="11" l="1"/>
  <c r="I36" i="11"/>
  <c r="I137" i="11" s="1"/>
  <c r="J36" i="11"/>
  <c r="K36" i="11"/>
  <c r="K18" i="11"/>
  <c r="J18" i="11"/>
  <c r="I132" i="11" l="1"/>
  <c r="K104" i="11"/>
  <c r="J104" i="11"/>
  <c r="H87" i="11"/>
  <c r="K20" i="11"/>
  <c r="J20" i="11"/>
  <c r="J134" i="11" l="1"/>
  <c r="K134" i="11"/>
  <c r="H28" i="11" l="1"/>
  <c r="I27" i="11"/>
  <c r="I159" i="11" l="1"/>
  <c r="J159" i="11"/>
  <c r="K159" i="11"/>
  <c r="H86" i="11"/>
  <c r="H159" i="11" s="1"/>
  <c r="I158" i="11" l="1"/>
  <c r="K34" i="11"/>
  <c r="J34" i="11"/>
  <c r="K35" i="11"/>
  <c r="K158" i="11" s="1"/>
  <c r="J35" i="11"/>
  <c r="J158" i="11" s="1"/>
  <c r="H35" i="11" l="1"/>
  <c r="H23" i="11"/>
  <c r="I22" i="11"/>
  <c r="H30" i="11"/>
  <c r="H109" i="11"/>
  <c r="H98" i="11" l="1"/>
  <c r="J145" i="11" l="1"/>
  <c r="K145" i="11"/>
  <c r="I41" i="11"/>
  <c r="H41" i="11" s="1"/>
  <c r="H39" i="11" l="1"/>
  <c r="K150" i="11"/>
  <c r="J150" i="11"/>
  <c r="K152" i="11"/>
  <c r="J152" i="11"/>
  <c r="I150" i="11"/>
  <c r="H124" i="11"/>
  <c r="I29" i="11" l="1"/>
  <c r="H152" i="11" l="1"/>
  <c r="K112" i="11"/>
  <c r="J112" i="11"/>
  <c r="I134" i="11"/>
  <c r="I25" i="11"/>
  <c r="K119" i="11" l="1"/>
  <c r="J119" i="11"/>
  <c r="I128" i="11"/>
  <c r="I138" i="11"/>
  <c r="H129" i="11"/>
  <c r="H123" i="11"/>
  <c r="I120" i="11"/>
  <c r="I116" i="11"/>
  <c r="H106" i="11"/>
  <c r="I119" i="11" l="1"/>
  <c r="K138" i="11"/>
  <c r="K161" i="11" s="1"/>
  <c r="J138" i="11"/>
  <c r="J161" i="11" s="1"/>
  <c r="I26" i="11"/>
  <c r="I17" i="11" s="1"/>
  <c r="H25" i="11"/>
  <c r="J17" i="11" l="1"/>
  <c r="K17" i="11"/>
  <c r="K85" i="11" l="1"/>
  <c r="K132" i="11" s="1"/>
  <c r="J85" i="11"/>
  <c r="J132" i="11" s="1"/>
  <c r="I157" i="11" l="1"/>
  <c r="J157" i="11"/>
  <c r="K157" i="11"/>
  <c r="I156" i="11"/>
  <c r="J156" i="11"/>
  <c r="K156" i="11"/>
  <c r="H128" i="11"/>
  <c r="H157" i="11" s="1"/>
  <c r="H127" i="11"/>
  <c r="H156" i="11" s="1"/>
  <c r="H126" i="11"/>
  <c r="H150" i="11" s="1"/>
  <c r="I140" i="11"/>
  <c r="J140" i="11"/>
  <c r="K140" i="11"/>
  <c r="I133" i="11"/>
  <c r="J133" i="11"/>
  <c r="K133" i="11"/>
  <c r="I100" i="11"/>
  <c r="I99" i="11" s="1"/>
  <c r="J100" i="11"/>
  <c r="J99" i="11" s="1"/>
  <c r="K100" i="11"/>
  <c r="K99" i="11" s="1"/>
  <c r="H112" i="11"/>
  <c r="H111" i="11"/>
  <c r="H110" i="11"/>
  <c r="H108" i="11"/>
  <c r="H107" i="11"/>
  <c r="H140" i="11" s="1"/>
  <c r="H105" i="11"/>
  <c r="H104" i="11"/>
  <c r="H103" i="11"/>
  <c r="H102" i="11"/>
  <c r="H101" i="11"/>
  <c r="I148" i="11"/>
  <c r="J148" i="11"/>
  <c r="K148" i="11"/>
  <c r="H94" i="11"/>
  <c r="H89" i="11"/>
  <c r="H85" i="11"/>
  <c r="H88" i="11"/>
  <c r="H90" i="11"/>
  <c r="H158" i="11" l="1"/>
  <c r="H100" i="11"/>
  <c r="H99" i="11" s="1"/>
  <c r="H133" i="11"/>
  <c r="H84" i="11"/>
  <c r="H148" i="11" s="1"/>
  <c r="H46" i="11" l="1"/>
  <c r="H34" i="11"/>
  <c r="H24" i="11"/>
  <c r="H29" i="11" l="1"/>
  <c r="I48" i="11"/>
  <c r="H97" i="11"/>
  <c r="H125" i="11"/>
  <c r="I153" i="11" l="1"/>
  <c r="J153" i="11"/>
  <c r="K153" i="11"/>
  <c r="H83" i="11"/>
  <c r="H153" i="11" l="1"/>
  <c r="H60" i="11"/>
  <c r="I135" i="11" l="1"/>
  <c r="I161" i="11" s="1"/>
  <c r="H161" i="11" s="1"/>
  <c r="J135" i="11"/>
  <c r="K135" i="11"/>
  <c r="I143" i="11" l="1"/>
  <c r="J143" i="11"/>
  <c r="K143" i="11"/>
  <c r="H67" i="11" l="1"/>
  <c r="H69" i="11" l="1"/>
  <c r="H70" i="11"/>
  <c r="H71" i="11"/>
  <c r="I144" i="11" l="1"/>
  <c r="J144" i="11"/>
  <c r="K144" i="11"/>
  <c r="I155" i="11"/>
  <c r="J155" i="11"/>
  <c r="K155" i="11"/>
  <c r="I151" i="11"/>
  <c r="J151" i="11"/>
  <c r="K151" i="11"/>
  <c r="I142" i="11"/>
  <c r="J142" i="11"/>
  <c r="K142" i="11"/>
  <c r="I139" i="11"/>
  <c r="J139" i="11"/>
  <c r="K139" i="11"/>
  <c r="J62" i="11"/>
  <c r="K62" i="11"/>
  <c r="I62" i="11"/>
  <c r="K40" i="11" l="1"/>
  <c r="K137" i="11" s="1"/>
  <c r="J40" i="11"/>
  <c r="J137" i="11" s="1"/>
  <c r="H40" i="11" l="1"/>
  <c r="H122" i="11" l="1"/>
  <c r="I61" i="11" l="1"/>
  <c r="J61" i="11"/>
  <c r="K61" i="11"/>
  <c r="H63" i="11"/>
  <c r="H62" i="11" s="1"/>
  <c r="H61" i="11" l="1"/>
  <c r="I114" i="11"/>
  <c r="J149" i="11" l="1"/>
  <c r="H149" i="11" s="1"/>
  <c r="K154" i="11"/>
  <c r="J154" i="11"/>
  <c r="I154" i="11"/>
  <c r="K147" i="11"/>
  <c r="J147" i="11"/>
  <c r="K146" i="11"/>
  <c r="J146" i="11"/>
  <c r="I146" i="11"/>
  <c r="I141" i="11"/>
  <c r="I131" i="11"/>
  <c r="H121" i="11"/>
  <c r="H155" i="11" s="1"/>
  <c r="H120" i="11"/>
  <c r="H117" i="11"/>
  <c r="J115" i="11"/>
  <c r="H115" i="11" s="1"/>
  <c r="K114" i="11"/>
  <c r="K113" i="11" s="1"/>
  <c r="H95" i="11"/>
  <c r="H93" i="11"/>
  <c r="H80" i="11"/>
  <c r="H79" i="11"/>
  <c r="H78" i="11"/>
  <c r="H77" i="11"/>
  <c r="H76" i="11"/>
  <c r="H75" i="11"/>
  <c r="H72" i="11"/>
  <c r="H68" i="11"/>
  <c r="H66" i="11"/>
  <c r="K65" i="11"/>
  <c r="K64" i="11" s="1"/>
  <c r="H59" i="11"/>
  <c r="H58" i="11"/>
  <c r="H57" i="11"/>
  <c r="H56" i="11"/>
  <c r="H54" i="11"/>
  <c r="H53" i="11"/>
  <c r="H52" i="11"/>
  <c r="H51" i="11"/>
  <c r="H50" i="11"/>
  <c r="H49" i="11"/>
  <c r="K48" i="11"/>
  <c r="K47" i="11" s="1"/>
  <c r="H44" i="11"/>
  <c r="H43" i="11"/>
  <c r="H38" i="11"/>
  <c r="H146" i="11" s="1"/>
  <c r="H37" i="11"/>
  <c r="H141" i="11" s="1"/>
  <c r="H33" i="11"/>
  <c r="K31" i="11"/>
  <c r="I147" i="11"/>
  <c r="H22" i="11"/>
  <c r="H21" i="11"/>
  <c r="H20" i="11"/>
  <c r="H134" i="11" l="1"/>
  <c r="H119" i="11"/>
  <c r="H143" i="11"/>
  <c r="H154" i="11"/>
  <c r="H142" i="11"/>
  <c r="H144" i="11"/>
  <c r="K16" i="11"/>
  <c r="K81" i="11"/>
  <c r="H26" i="11"/>
  <c r="H139" i="11" s="1"/>
  <c r="I16" i="11"/>
  <c r="J118" i="11"/>
  <c r="H55" i="11"/>
  <c r="K118" i="11"/>
  <c r="H116" i="11"/>
  <c r="H114" i="11" s="1"/>
  <c r="H113" i="11" s="1"/>
  <c r="J48" i="11"/>
  <c r="J47" i="11" s="1"/>
  <c r="H65" i="11"/>
  <c r="H64" i="11" s="1"/>
  <c r="I81" i="11"/>
  <c r="H36" i="11"/>
  <c r="H137" i="11" s="1"/>
  <c r="H45" i="11"/>
  <c r="J65" i="11"/>
  <c r="J64" i="11" s="1"/>
  <c r="H74" i="11"/>
  <c r="H73" i="11" s="1"/>
  <c r="J31" i="11"/>
  <c r="H27" i="11"/>
  <c r="H96" i="11"/>
  <c r="H138" i="11" s="1"/>
  <c r="J114" i="11"/>
  <c r="J113" i="11" s="1"/>
  <c r="I47" i="11"/>
  <c r="I118" i="11"/>
  <c r="I31" i="11"/>
  <c r="I113" i="11"/>
  <c r="I65" i="11"/>
  <c r="I64" i="11" s="1"/>
  <c r="H18" i="11"/>
  <c r="I74" i="11"/>
  <c r="I73" i="11" s="1"/>
  <c r="H147" i="11" l="1"/>
  <c r="K130" i="11"/>
  <c r="I130" i="11"/>
  <c r="H135" i="11"/>
  <c r="H31" i="11"/>
  <c r="H151" i="11"/>
  <c r="J16" i="11"/>
  <c r="H19" i="11"/>
  <c r="H92" i="11"/>
  <c r="J81" i="11"/>
  <c r="H118" i="11"/>
  <c r="H48" i="11"/>
  <c r="H47" i="11" s="1"/>
  <c r="H132" i="11" l="1"/>
  <c r="H82" i="11"/>
  <c r="H17" i="11"/>
  <c r="H136" i="11"/>
  <c r="H81" i="11"/>
  <c r="H16" i="11"/>
  <c r="J130" i="11"/>
  <c r="H130" i="11" l="1"/>
</calcChain>
</file>

<file path=xl/sharedStrings.xml><?xml version="1.0" encoding="utf-8"?>
<sst xmlns="http://schemas.openxmlformats.org/spreadsheetml/2006/main" count="657" uniqueCount="318">
  <si>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</si>
  <si>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</si>
  <si>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</si>
  <si>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</si>
  <si>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</si>
  <si>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</si>
  <si>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</si>
  <si>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</si>
  <si>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</si>
  <si>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</si>
  <si>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</si>
  <si>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</si>
  <si>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</si>
  <si>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</si>
  <si>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</si>
  <si>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</si>
  <si>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</si>
  <si>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</si>
  <si>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</si>
  <si>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</si>
  <si>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</si>
  <si>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</si>
  <si>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</si>
  <si>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</si>
  <si>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</si>
  <si>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</si>
  <si>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</si>
  <si>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</si>
  <si>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</si>
  <si>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</si>
  <si>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</si>
  <si>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</si>
  <si>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</si>
  <si>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1217461</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</si>
  <si>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</si>
  <si>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</si>
  <si>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</si>
  <si>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</si>
  <si>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</si>
  <si>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</si>
  <si>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</si>
  <si>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</si>
  <si>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</si>
  <si>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</si>
  <si>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</si>
  <si>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</si>
  <si>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</si>
  <si>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</si>
  <si>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</si>
  <si>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</si>
  <si>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</si>
  <si>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</si>
  <si>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</si>
  <si>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</si>
  <si>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</si>
  <si>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</si>
  <si>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</si>
  <si>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</si>
  <si>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</si>
  <si>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</si>
  <si>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</si>
  <si>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</si>
  <si>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</si>
  <si>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</si>
  <si>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</si>
  <si>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</si>
  <si>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</si>
  <si>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</si>
  <si>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</si>
  <si>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</si>
  <si>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</si>
  <si>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</si>
  <si>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</si>
  <si>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</si>
  <si>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</si>
  <si>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</si>
  <si>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</si>
  <si>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</si>
  <si>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</si>
  <si>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</si>
  <si>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</si>
  <si>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</si>
  <si>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</si>
  <si>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</si>
  <si>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</si>
  <si>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</si>
  <si>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</si>
  <si>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</si>
  <si>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</si>
  <si>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</si>
  <si>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</si>
  <si>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</si>
  <si>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</si>
  <si>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</si>
  <si>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</si>
  <si>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</si>
  <si>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</si>
  <si>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</si>
  <si>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</si>
  <si>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</si>
  <si>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</si>
  <si>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</si>
  <si>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</si>
  <si>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</si>
  <si>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</si>
  <si>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</si>
  <si>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</si>
  <si>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</si>
  <si>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</si>
  <si>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</si>
  <si>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</si>
  <si>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</si>
  <si>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</si>
  <si>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</si>
  <si>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</si>
  <si>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</si>
  <si>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</si>
  <si>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</si>
  <si>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</si>
  <si>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</si>
  <si>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</si>
  <si>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</si>
  <si>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</si>
  <si>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</si>
  <si>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</si>
  <si>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</si>
  <si>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</si>
  <si>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1010180</t>
  </si>
  <si>
    <t>0180</t>
  </si>
  <si>
    <t>0133</t>
  </si>
  <si>
    <t>Інша діяльність у сфері державного управління</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</si>
  <si>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</si>
  <si>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</si>
  <si>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</si>
  <si>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</si>
  <si>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</si>
  <si>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</si>
  <si>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</si>
  <si>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</si>
  <si>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</si>
  <si>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</si>
  <si>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</si>
  <si>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</si>
  <si>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</si>
  <si>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</si>
  <si>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</si>
  <si>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</si>
  <si>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</si>
  <si>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</si>
  <si>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</si>
  <si>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</si>
  <si>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</si>
  <si>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</si>
  <si>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</si>
  <si>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</si>
  <si>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</si>
  <si>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</si>
  <si>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</si>
  <si>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</si>
  <si>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</si>
  <si>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</si>
  <si>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</si>
  <si>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</si>
  <si>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</si>
  <si>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</si>
  <si>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</si>
  <si>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</si>
  <si>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</si>
  <si>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</si>
  <si>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</si>
  <si>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</si>
  <si>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</si>
  <si>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</si>
  <si>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</si>
  <si>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</si>
  <si>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</si>
  <si>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</si>
  <si>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</si>
  <si>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</si>
  <si>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</si>
  <si>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</si>
  <si>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</si>
  <si>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</si>
  <si>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19.12.2018 р. 
№ 371- VII
(зі змінами)</t>
  </si>
  <si>
    <t>0613140</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</si>
  <si>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</si>
  <si>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</si>
  <si>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</si>
  <si>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</si>
  <si>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</si>
  <si>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</si>
  <si>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</si>
  <si>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</si>
  <si>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</si>
  <si>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0443</t>
  </si>
  <si>
    <t>1110180</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</si>
  <si>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</si>
  <si>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</si>
  <si>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</si>
  <si>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</si>
  <si>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</si>
  <si>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</si>
  <si>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</si>
  <si>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</si>
  <si>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</si>
  <si>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3117350</t>
  </si>
  <si>
    <t>7350</t>
  </si>
  <si>
    <t>Розроблення схем планування та забудови територій (містобудівної документації)</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</si>
  <si>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</si>
  <si>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</si>
  <si>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</si>
  <si>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</si>
  <si>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</si>
  <si>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</si>
  <si>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</si>
  <si>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</si>
  <si>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</si>
  <si>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</si>
  <si>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</si>
  <si>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Начальник фінансового управління</t>
  </si>
  <si>
    <t>Ольга ЯКОВЕНКО</t>
  </si>
  <si>
    <t>Розподіл витрат бюджету Чорноморської міської територіальної громади  на реалізацію міських програм у 2024 році</t>
  </si>
  <si>
    <t>Програма розвитку у сфері житлово-комунального господарства в межах території Чорноморської міської ради Одеської області на 2019-2024 роки</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</si>
  <si>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</si>
  <si>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1011080</t>
  </si>
  <si>
    <t>1080</t>
  </si>
  <si>
    <t>0960</t>
  </si>
  <si>
    <t>Надання спеціалізованої освіти мистецькими школами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</si>
  <si>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</si>
  <si>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програма "Здоров’я населення Чорноморської  міської територіальної громади на 2021 - 2025 роки"</t>
  </si>
  <si>
    <t>Міська цільова програма фінансової підтримки діяльності Одеської районної ради Одеської області на 2024 рік</t>
  </si>
  <si>
    <t>Міська цільова програма фінансової підтримки діяльності  Одеської районної ради Одеської області на 2024 рік</t>
  </si>
  <si>
    <t>УСЬОГО за розпорядниками</t>
  </si>
  <si>
    <t>УСЬОГО ЗА ПРОГРАМАМИ</t>
  </si>
  <si>
    <t>від 22.12.2023 № 522 - VIII"</t>
  </si>
  <si>
    <t>22.12.2023р. 
№ 515-VIII</t>
  </si>
  <si>
    <t>19.05.2023р.
№ 368-VIII</t>
  </si>
  <si>
    <t>22.12.2023р. 
№ 516-VIII</t>
  </si>
  <si>
    <t>Міська цільова програма зайнятості населення Чорноморської міської територіальної громади на 2024 - 2025 роки</t>
  </si>
  <si>
    <t>22.12.2023р.
№ 517-VIII</t>
  </si>
  <si>
    <t>1213210</t>
  </si>
  <si>
    <t>3210</t>
  </si>
  <si>
    <t>1050</t>
  </si>
  <si>
    <t>Організація та проведення громадських робіт</t>
  </si>
  <si>
    <t>22.12.2023р.
№ 518-VIII</t>
  </si>
  <si>
    <t>22.12.2023р.
№ 519-VIII</t>
  </si>
  <si>
    <t>3719800</t>
  </si>
  <si>
    <t>9800</t>
  </si>
  <si>
    <t>Субвенція з місцевого бюджету державному бюджету на виконання програм соціально-економічного розвитку регіонів</t>
  </si>
  <si>
    <t>1218240</t>
  </si>
  <si>
    <t>0218240</t>
  </si>
  <si>
    <t>"Додаток 7</t>
  </si>
  <si>
    <t>0217640</t>
  </si>
  <si>
    <t>7640</t>
  </si>
  <si>
    <t>0470</t>
  </si>
  <si>
    <t>Заходи з енергозбереження</t>
  </si>
  <si>
    <t>0618110</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</si>
  <si>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</si>
  <si>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</si>
  <si>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</si>
  <si>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</si>
  <si>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1217691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</si>
  <si>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</si>
  <si>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</si>
  <si>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1500000</t>
  </si>
  <si>
    <t>1510000</t>
  </si>
  <si>
    <t>Управління капітального будівництва Чорноморської міської ради Одеського району Одеської області</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</si>
  <si>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</si>
  <si>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</si>
  <si>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</si>
  <si>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</si>
  <si>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</si>
  <si>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</si>
  <si>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</si>
  <si>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</si>
  <si>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об'єктів житлово-комунального господарства</t>
  </si>
  <si>
    <t>1517310</t>
  </si>
  <si>
    <t>7310</t>
  </si>
  <si>
    <t>Реалізація інших заходів щодо соціально-економічного розвитку територій</t>
  </si>
  <si>
    <t>12.04.2021 
№ 55-VІII 
(зі змінами)</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</si>
  <si>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</si>
  <si>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1517370</t>
  </si>
  <si>
    <t>7370</t>
  </si>
  <si>
    <t>Міська програма ″Здоров’я населення Чорноморської  міської територіальної громади на 2021 - 2025 роки"</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</si>
  <si>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</si>
  <si>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</si>
  <si>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</si>
  <si>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Міська цільова програма протидії злочинності на території Чорноморської міської територіальної громади на 2024  рік</t>
  </si>
  <si>
    <t>Код регіональної програми</t>
  </si>
  <si>
    <t>02.02.2024р.
№ 546-VIII</t>
  </si>
  <si>
    <t>02.02.2024р.
№ 545-VIII</t>
  </si>
  <si>
    <t>0218110</t>
  </si>
  <si>
    <t>8110</t>
  </si>
  <si>
    <t>1517368</t>
  </si>
  <si>
    <t>7368</t>
  </si>
  <si>
    <t>Виконання інвестиційних проектів за рахунок субвенцій з інших бюджетів</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</si>
  <si>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</si>
  <si>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0611070</t>
  </si>
  <si>
    <t>Надання позашкільної освіти закладами позашкільної освіти, заходи із позашкільної роботи з дітьми</t>
  </si>
  <si>
    <r>
      <t xml:space="preserve">Міська цільова програма </t>
    </r>
    <r>
      <rPr>
        <sz val="14"/>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</si>
  <si>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r>
      <t xml:space="preserve">Міська цільова програма реалізації житлових прав мешканців </t>
    </r>
    <r>
      <rPr>
        <sz val="14"/>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</si>
  <si>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t>12.04.2024р.
№562-VIII</t>
  </si>
  <si>
    <t>12.04.2024р.
№ 570-VIII</t>
  </si>
  <si>
    <t>1218340</t>
  </si>
  <si>
    <t>8340</t>
  </si>
  <si>
    <t>0540</t>
  </si>
  <si>
    <t>Природоохоронні заходи за рахунок цільових фондів</t>
  </si>
  <si>
    <t>0218340</t>
  </si>
  <si>
    <t>22.12.2023р. 
№ 516-VIII
(зі змінами)</t>
  </si>
  <si>
    <t>до рішення Чорноморської міської ради</t>
  </si>
  <si>
    <t>0611141</t>
  </si>
  <si>
    <t>1141</t>
  </si>
  <si>
    <t>0990</t>
  </si>
  <si>
    <t>Забезпечення діяльності інших закладів у сфері освіти</t>
  </si>
  <si>
    <t>від                       2024 №               - VIII</t>
  </si>
  <si>
    <t>Додаток 7</t>
  </si>
  <si>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t>
  </si>
  <si>
    <t>проект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</si>
</sst>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1"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sz val="14"/>
      <color theme="1"/>
      <name val="Times New Roman"/>
      <family val="1"/>
      <charset val="204"/>
    </font>
    <font>
      <b/>
      <sz val="10"/>
      <color theme="1"/>
      <name val="Times New Roman"/>
      <family val="1"/>
      <charset val="204"/>
    </font>
    <font>
      <b/>
      <sz val="12"/>
      <color indexed="8"/>
      <name val="Times New Roman"/>
      <family val="1"/>
      <charset val="204"/>
    </font>
    <font>
      <b/>
      <i/>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59">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0" fontId="2" fillId="2" borderId="0" xfId="0" applyFont="1" applyFill="1" applyAlignment="1">
      <alignment horizontal="center"/>
    </xf>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top" wrapText="1"/>
    </xf>
    <xf numFmtId="0" fontId="2" fillId="2" borderId="0" xfId="0" applyFont="1" applyFill="1" applyAlignment="1">
      <alignment vertical="center"/>
    </xf>
    <xf numFmtId="0" fontId="2" fillId="2" borderId="0" xfId="0" applyFont="1" applyFill="1" applyBorder="1"/>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3" borderId="0" xfId="0" applyFont="1" applyFill="1"/>
    <xf numFmtId="0" fontId="3" fillId="3" borderId="0" xfId="0" applyFont="1" applyFill="1"/>
    <xf numFmtId="3" fontId="2" fillId="3" borderId="0" xfId="0" applyNumberFormat="1"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4" fontId="2" fillId="2" borderId="1" xfId="0" applyNumberFormat="1" applyFont="1" applyFill="1" applyBorder="1" applyAlignment="1">
      <alignment vertical="center"/>
    </xf>
    <xf numFmtId="4" fontId="14" fillId="2" borderId="1" xfId="0" applyNumberFormat="1" applyFont="1" applyFill="1" applyBorder="1" applyAlignment="1">
      <alignment horizontal="center" vertical="center"/>
    </xf>
    <xf numFmtId="0" fontId="14" fillId="2" borderId="0" xfId="0" applyFont="1" applyFill="1" applyBorder="1"/>
    <xf numFmtId="0" fontId="14" fillId="2" borderId="0" xfId="0" applyFont="1" applyFill="1"/>
    <xf numFmtId="0" fontId="2" fillId="2" borderId="1" xfId="0" quotePrefix="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4" fillId="2" borderId="5" xfId="0" quotePrefix="1" applyFont="1" applyFill="1" applyBorder="1" applyAlignment="1">
      <alignment horizontal="left" vertical="center" wrapText="1"/>
    </xf>
    <xf numFmtId="0" fontId="15" fillId="2" borderId="0" xfId="0" applyFont="1" applyFill="1" applyAlignment="1">
      <alignment horizontal="center"/>
    </xf>
    <xf numFmtId="0" fontId="15" fillId="2" borderId="0" xfId="0" applyFont="1" applyFill="1" applyAlignment="1">
      <alignment horizontal="center" vertical="center"/>
    </xf>
    <xf numFmtId="0" fontId="15" fillId="2" borderId="0" xfId="0" applyFont="1" applyFill="1"/>
    <xf numFmtId="3"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left"/>
    </xf>
    <xf numFmtId="3" fontId="16" fillId="2" borderId="0" xfId="0" applyNumberFormat="1" applyFont="1" applyFill="1" applyAlignment="1">
      <alignment horizontal="center" vertical="center"/>
    </xf>
    <xf numFmtId="0" fontId="2" fillId="0" borderId="1" xfId="0" quotePrefix="1" applyFont="1" applyFill="1" applyBorder="1" applyAlignment="1">
      <alignment vertical="center" wrapText="1"/>
    </xf>
    <xf numFmtId="0" fontId="14" fillId="2" borderId="1" xfId="0" applyFont="1" applyFill="1" applyBorder="1" applyAlignment="1">
      <alignment horizontal="center" vertical="center"/>
    </xf>
    <xf numFmtId="0" fontId="17" fillId="2"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0" xfId="0" applyFont="1" applyFill="1"/>
    <xf numFmtId="0" fontId="9" fillId="2" borderId="0" xfId="0" applyFont="1" applyFill="1"/>
    <xf numFmtId="0" fontId="9" fillId="2" borderId="0" xfId="4" applyFont="1" applyFill="1" applyBorder="1" applyAlignment="1">
      <alignment horizontal="center" vertical="center"/>
    </xf>
    <xf numFmtId="0" fontId="18" fillId="2" borderId="1" xfId="4"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5" fillId="2" borderId="1" xfId="4" applyFont="1" applyFill="1" applyBorder="1" applyAlignment="1">
      <alignment horizontal="center" vertical="center" wrapText="1"/>
    </xf>
    <xf numFmtId="0" fontId="3" fillId="2" borderId="3" xfId="0" quotePrefix="1" applyFont="1" applyFill="1" applyBorder="1" applyAlignment="1">
      <alignment horizontal="center" vertical="center" wrapText="1"/>
    </xf>
    <xf numFmtId="0" fontId="5" fillId="2" borderId="3" xfId="1"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quotePrefix="1" applyFont="1" applyFill="1" applyBorder="1" applyAlignment="1">
      <alignment horizontal="center" vertical="center" wrapText="1"/>
    </xf>
    <xf numFmtId="1" fontId="3" fillId="2" borderId="1"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0" fontId="20" fillId="2"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4" fontId="2" fillId="2" borderId="0" xfId="0" applyNumberFormat="1" applyFont="1" applyFill="1"/>
    <xf numFmtId="0" fontId="2" fillId="2" borderId="1" xfId="0" quotePrefix="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164" fontId="15" fillId="2" borderId="0" xfId="0" applyNumberFormat="1" applyFont="1" applyFill="1" applyAlignment="1">
      <alignment horizontal="center" vertical="center"/>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5" fillId="2" borderId="0" xfId="0" applyFont="1" applyFill="1" applyAlignment="1">
      <alignment horizontal="right"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1" xfId="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6"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3" fillId="2" borderId="4" xfId="5" applyNumberFormat="1" applyFont="1" applyFill="1" applyBorder="1" applyAlignment="1" applyProtection="1">
      <alignment horizontal="center" vertical="center" wrapText="1"/>
    </xf>
    <xf numFmtId="0" fontId="3" fillId="2" borderId="6" xfId="5" applyNumberFormat="1" applyFont="1" applyFill="1" applyBorder="1" applyAlignment="1" applyProtection="1">
      <alignment horizontal="center" vertical="center" wrapText="1"/>
    </xf>
    <xf numFmtId="0" fontId="3" fillId="2" borderId="5" xfId="5" applyNumberFormat="1" applyFont="1" applyFill="1" applyBorder="1" applyAlignment="1" applyProtection="1">
      <alignment horizontal="center" vertical="center" wrapText="1"/>
    </xf>
    <xf numFmtId="3" fontId="6" fillId="2" borderId="1" xfId="4" applyNumberFormat="1" applyFont="1" applyFill="1" applyBorder="1" applyAlignment="1">
      <alignment horizontal="center" vertical="center" wrapText="1"/>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7"/>
  <sheetViews>
    <sheetView showZeros="0" tabSelected="1" view="pageBreakPreview" topLeftCell="A157" zoomScale="70" zoomScaleNormal="60" zoomScaleSheetLayoutView="70" workbookViewId="0">
      <selection activeCell="A164" sqref="A164:XFD167"/>
    </sheetView>
  </sheetViews>
  <sheetFormatPr defaultColWidth="9.109375" defaultRowHeight="14.4" x14ac:dyDescent="0.3"/>
  <cols>
    <col min="1" max="1" width="13.33203125" style="17" customWidth="1"/>
    <col min="2" max="2" width="12.33203125" style="1" customWidth="1"/>
    <col min="3" max="3" width="14.33203125" style="17" customWidth="1"/>
    <col min="4" max="4" width="57.44140625" style="2" customWidth="1"/>
    <col min="5" max="5" width="6" style="90" hidden="1" customWidth="1"/>
    <col min="6" max="6" width="58.88671875" style="18" customWidth="1"/>
    <col min="7" max="7" width="25" style="1" customWidth="1"/>
    <col min="8" max="8" width="19" style="1" customWidth="1"/>
    <col min="9" max="9" width="19.33203125" style="1" customWidth="1"/>
    <col min="10" max="10" width="18.88671875" style="1" customWidth="1"/>
    <col min="11" max="11" width="20.109375" style="1" customWidth="1"/>
    <col min="12" max="12" width="11.33203125" style="2" bestFit="1" customWidth="1"/>
    <col min="13" max="13" width="9.109375" style="2"/>
    <col min="14" max="14" width="12.33203125" style="2" bestFit="1" customWidth="1"/>
    <col min="15" max="16384" width="9.109375" style="2"/>
  </cols>
  <sheetData>
    <row r="1" spans="1:11" ht="15.6" x14ac:dyDescent="0.3">
      <c r="I1" s="153" t="s">
        <v>315</v>
      </c>
      <c r="J1" s="153"/>
      <c r="K1" s="153"/>
    </row>
    <row r="2" spans="1:11" ht="15.6" x14ac:dyDescent="0.3">
      <c r="I2" s="153" t="s">
        <v>309</v>
      </c>
      <c r="J2" s="153"/>
      <c r="K2" s="153"/>
    </row>
    <row r="3" spans="1:11" ht="15.6" x14ac:dyDescent="0.3">
      <c r="I3" s="154" t="s">
        <v>314</v>
      </c>
      <c r="J3" s="154"/>
      <c r="K3" s="154"/>
    </row>
    <row r="5" spans="1:11" ht="15.6" x14ac:dyDescent="0.3">
      <c r="I5" s="153" t="s">
        <v>251</v>
      </c>
      <c r="J5" s="153"/>
      <c r="K5" s="153"/>
    </row>
    <row r="6" spans="1:11" ht="15.6" x14ac:dyDescent="0.3">
      <c r="I6" s="153" t="s">
        <v>309</v>
      </c>
      <c r="J6" s="153"/>
      <c r="K6" s="153"/>
    </row>
    <row r="7" spans="1:11" ht="15.6" x14ac:dyDescent="0.3">
      <c r="I7" s="154" t="s">
        <v>234</v>
      </c>
      <c r="J7" s="154"/>
      <c r="K7" s="154"/>
    </row>
    <row r="9" spans="1:11" ht="15.6" x14ac:dyDescent="0.3">
      <c r="A9" s="139" t="s">
        <v>221</v>
      </c>
      <c r="B9" s="139"/>
      <c r="C9" s="139"/>
      <c r="D9" s="139"/>
      <c r="E9" s="139"/>
      <c r="F9" s="139"/>
      <c r="G9" s="139"/>
      <c r="H9" s="139"/>
      <c r="I9" s="139"/>
      <c r="J9" s="139"/>
      <c r="K9" s="139"/>
    </row>
    <row r="10" spans="1:11" ht="18" x14ac:dyDescent="0.35">
      <c r="A10" s="142">
        <v>1558900000</v>
      </c>
      <c r="B10" s="142"/>
      <c r="C10" s="14"/>
      <c r="D10" s="3"/>
      <c r="E10" s="103"/>
      <c r="F10" s="4"/>
      <c r="G10" s="13"/>
      <c r="H10" s="13"/>
      <c r="I10" s="13"/>
      <c r="J10" s="13"/>
      <c r="K10" s="13"/>
    </row>
    <row r="11" spans="1:11" x14ac:dyDescent="0.3">
      <c r="A11" s="15" t="s">
        <v>46</v>
      </c>
      <c r="B11" s="5"/>
      <c r="C11" s="15"/>
      <c r="D11" s="6"/>
      <c r="E11" s="104"/>
      <c r="F11" s="7"/>
      <c r="G11" s="5"/>
      <c r="H11" s="5"/>
      <c r="I11" s="5"/>
      <c r="J11" s="5"/>
      <c r="K11" s="5"/>
    </row>
    <row r="12" spans="1:11" x14ac:dyDescent="0.3">
      <c r="A12" s="16"/>
      <c r="B12" s="8"/>
      <c r="C12" s="12"/>
      <c r="D12" s="8"/>
      <c r="E12" s="105"/>
      <c r="F12" s="9"/>
      <c r="G12" s="8"/>
      <c r="H12" s="10"/>
      <c r="I12" s="10"/>
      <c r="J12" s="10"/>
      <c r="K12" s="11" t="s">
        <v>47</v>
      </c>
    </row>
    <row r="13" spans="1:11" x14ac:dyDescent="0.3">
      <c r="A13" s="143" t="s">
        <v>48</v>
      </c>
      <c r="B13" s="144" t="s">
        <v>49</v>
      </c>
      <c r="C13" s="143" t="s">
        <v>9</v>
      </c>
      <c r="D13" s="144" t="s">
        <v>51</v>
      </c>
      <c r="E13" s="145" t="s">
        <v>288</v>
      </c>
      <c r="F13" s="140" t="s">
        <v>50</v>
      </c>
      <c r="G13" s="144" t="s">
        <v>52</v>
      </c>
      <c r="H13" s="158" t="s">
        <v>0</v>
      </c>
      <c r="I13" s="158" t="s">
        <v>1</v>
      </c>
      <c r="J13" s="158" t="s">
        <v>2</v>
      </c>
      <c r="K13" s="158"/>
    </row>
    <row r="14" spans="1:11" ht="85.65" customHeight="1" x14ac:dyDescent="0.3">
      <c r="A14" s="143"/>
      <c r="B14" s="144"/>
      <c r="C14" s="143"/>
      <c r="D14" s="144"/>
      <c r="E14" s="146"/>
      <c r="F14" s="141"/>
      <c r="G14" s="144"/>
      <c r="H14" s="158"/>
      <c r="I14" s="158"/>
      <c r="J14" s="54" t="s">
        <v>3</v>
      </c>
      <c r="K14" s="54" t="s">
        <v>4</v>
      </c>
    </row>
    <row r="15" spans="1:11" s="1" customFormat="1" x14ac:dyDescent="0.25">
      <c r="A15" s="55">
        <v>1</v>
      </c>
      <c r="B15" s="53">
        <v>2</v>
      </c>
      <c r="C15" s="55">
        <v>3</v>
      </c>
      <c r="D15" s="53">
        <v>4</v>
      </c>
      <c r="E15" s="106"/>
      <c r="F15" s="53">
        <v>5</v>
      </c>
      <c r="G15" s="53">
        <v>6</v>
      </c>
      <c r="H15" s="54">
        <v>7</v>
      </c>
      <c r="I15" s="54">
        <v>8</v>
      </c>
      <c r="J15" s="54">
        <v>9</v>
      </c>
      <c r="K15" s="54">
        <v>10</v>
      </c>
    </row>
    <row r="16" spans="1:11" s="36" customFormat="1" ht="15.6" x14ac:dyDescent="0.3">
      <c r="A16" s="40" t="s">
        <v>10</v>
      </c>
      <c r="B16" s="41"/>
      <c r="C16" s="41"/>
      <c r="D16" s="155" t="s">
        <v>146</v>
      </c>
      <c r="E16" s="156"/>
      <c r="F16" s="157"/>
      <c r="G16" s="35"/>
      <c r="H16" s="49">
        <f>H17</f>
        <v>60315639</v>
      </c>
      <c r="I16" s="49">
        <f>I17</f>
        <v>53433649</v>
      </c>
      <c r="J16" s="49">
        <f>J17</f>
        <v>6881990</v>
      </c>
      <c r="K16" s="49">
        <f>K17</f>
        <v>6781990</v>
      </c>
    </row>
    <row r="17" spans="1:11" s="36" customFormat="1" ht="15.6" x14ac:dyDescent="0.3">
      <c r="A17" s="42" t="s">
        <v>11</v>
      </c>
      <c r="B17" s="42"/>
      <c r="C17" s="42"/>
      <c r="D17" s="155" t="s">
        <v>146</v>
      </c>
      <c r="E17" s="156"/>
      <c r="F17" s="157"/>
      <c r="G17" s="35"/>
      <c r="H17" s="49">
        <f>SUM(H18:H30)</f>
        <v>60315639</v>
      </c>
      <c r="I17" s="49">
        <f>SUM(I18:I30)</f>
        <v>53433649</v>
      </c>
      <c r="J17" s="49">
        <f>SUM(J18:J30)</f>
        <v>6881990</v>
      </c>
      <c r="K17" s="49">
        <f>SUM(K18:K30)</f>
        <v>6781990</v>
      </c>
    </row>
    <row r="18" spans="1:11" s="25" customFormat="1" ht="46.8" x14ac:dyDescent="0.3">
      <c r="A18" s="21" t="s">
        <v>64</v>
      </c>
      <c r="B18" s="21" t="s">
        <v>65</v>
      </c>
      <c r="C18" s="21" t="s">
        <v>66</v>
      </c>
      <c r="D18" s="22" t="s">
        <v>67</v>
      </c>
      <c r="E18" s="107">
        <v>15</v>
      </c>
      <c r="F18" s="23" t="s">
        <v>229</v>
      </c>
      <c r="G18" s="24" t="s">
        <v>172</v>
      </c>
      <c r="H18" s="50">
        <f>I18+J18</f>
        <v>25205974</v>
      </c>
      <c r="I18" s="50">
        <f>19381400-1000000+868684-66000+582720+2168480+600000</f>
        <v>22535284</v>
      </c>
      <c r="J18" s="50">
        <f>2134405+66000+700000-229715</f>
        <v>2670690</v>
      </c>
      <c r="K18" s="50">
        <f>2134405+66000+700000-229715</f>
        <v>2670690</v>
      </c>
    </row>
    <row r="19" spans="1:11" s="25" customFormat="1" ht="46.8" x14ac:dyDescent="0.3">
      <c r="A19" s="21" t="s">
        <v>68</v>
      </c>
      <c r="B19" s="21" t="s">
        <v>69</v>
      </c>
      <c r="C19" s="21" t="s">
        <v>70</v>
      </c>
      <c r="D19" s="22" t="s">
        <v>71</v>
      </c>
      <c r="E19" s="107">
        <v>15</v>
      </c>
      <c r="F19" s="23" t="s">
        <v>229</v>
      </c>
      <c r="G19" s="24" t="s">
        <v>172</v>
      </c>
      <c r="H19" s="50">
        <f t="shared" ref="H19:H29" si="0">I19+J19</f>
        <v>9140135</v>
      </c>
      <c r="I19" s="50">
        <f>8941500+198635</f>
        <v>9140135</v>
      </c>
      <c r="J19" s="50"/>
      <c r="K19" s="50"/>
    </row>
    <row r="20" spans="1:11" s="25" customFormat="1" ht="46.8" x14ac:dyDescent="0.3">
      <c r="A20" s="24" t="s">
        <v>152</v>
      </c>
      <c r="B20" s="24">
        <v>2111</v>
      </c>
      <c r="C20" s="24" t="s">
        <v>153</v>
      </c>
      <c r="D20" s="26" t="s">
        <v>154</v>
      </c>
      <c r="E20" s="108">
        <v>15</v>
      </c>
      <c r="F20" s="23" t="s">
        <v>229</v>
      </c>
      <c r="G20" s="24" t="s">
        <v>172</v>
      </c>
      <c r="H20" s="50">
        <f t="shared" si="0"/>
        <v>12729200</v>
      </c>
      <c r="I20" s="50">
        <f>8225200+99000+603000+36000+2802000</f>
        <v>11765200</v>
      </c>
      <c r="J20" s="50">
        <f>1000000-36000</f>
        <v>964000</v>
      </c>
      <c r="K20" s="50">
        <f>1000000-36000</f>
        <v>964000</v>
      </c>
    </row>
    <row r="21" spans="1:11" s="25" customFormat="1" ht="46.8" x14ac:dyDescent="0.3">
      <c r="A21" s="21" t="s">
        <v>72</v>
      </c>
      <c r="B21" s="21" t="s">
        <v>73</v>
      </c>
      <c r="C21" s="21" t="s">
        <v>74</v>
      </c>
      <c r="D21" s="56" t="s">
        <v>75</v>
      </c>
      <c r="E21" s="109">
        <v>15</v>
      </c>
      <c r="F21" s="23" t="s">
        <v>229</v>
      </c>
      <c r="G21" s="24" t="s">
        <v>172</v>
      </c>
      <c r="H21" s="50">
        <f t="shared" si="0"/>
        <v>1629600</v>
      </c>
      <c r="I21" s="50">
        <v>1629600</v>
      </c>
      <c r="J21" s="50"/>
      <c r="K21" s="50"/>
    </row>
    <row r="22" spans="1:11" s="25" customFormat="1" ht="46.8" x14ac:dyDescent="0.3">
      <c r="A22" s="27" t="s">
        <v>79</v>
      </c>
      <c r="B22" s="21" t="s">
        <v>80</v>
      </c>
      <c r="C22" s="21" t="s">
        <v>81</v>
      </c>
      <c r="D22" s="29" t="s">
        <v>82</v>
      </c>
      <c r="E22" s="101">
        <v>14</v>
      </c>
      <c r="F22" s="30" t="s">
        <v>78</v>
      </c>
      <c r="G22" s="24" t="s">
        <v>174</v>
      </c>
      <c r="H22" s="51">
        <f t="shared" si="0"/>
        <v>4900000</v>
      </c>
      <c r="I22" s="50">
        <f>4000000+900000</f>
        <v>4900000</v>
      </c>
      <c r="J22" s="50"/>
      <c r="K22" s="50"/>
    </row>
    <row r="23" spans="1:11" s="25" customFormat="1" ht="62.4" x14ac:dyDescent="0.3">
      <c r="A23" s="27" t="s">
        <v>79</v>
      </c>
      <c r="B23" s="21" t="s">
        <v>80</v>
      </c>
      <c r="C23" s="21" t="s">
        <v>81</v>
      </c>
      <c r="D23" s="29" t="s">
        <v>82</v>
      </c>
      <c r="E23" s="124">
        <v>13</v>
      </c>
      <c r="F23" s="23" t="s">
        <v>91</v>
      </c>
      <c r="G23" s="24" t="s">
        <v>92</v>
      </c>
      <c r="H23" s="51">
        <f t="shared" si="0"/>
        <v>99900</v>
      </c>
      <c r="I23" s="50">
        <v>99900</v>
      </c>
      <c r="J23" s="50"/>
      <c r="K23" s="50"/>
    </row>
    <row r="24" spans="1:11" s="25" customFormat="1" ht="46.8" x14ac:dyDescent="0.3">
      <c r="A24" s="27" t="s">
        <v>252</v>
      </c>
      <c r="B24" s="21" t="s">
        <v>253</v>
      </c>
      <c r="C24" s="31" t="s">
        <v>254</v>
      </c>
      <c r="D24" s="26" t="s">
        <v>255</v>
      </c>
      <c r="E24" s="108">
        <v>15</v>
      </c>
      <c r="F24" s="23" t="s">
        <v>229</v>
      </c>
      <c r="G24" s="24" t="s">
        <v>172</v>
      </c>
      <c r="H24" s="51">
        <f t="shared" si="0"/>
        <v>1680000</v>
      </c>
      <c r="I24" s="50"/>
      <c r="J24" s="50">
        <v>1680000</v>
      </c>
      <c r="K24" s="50">
        <v>1680000</v>
      </c>
    </row>
    <row r="25" spans="1:11" s="25" customFormat="1" ht="46.8" x14ac:dyDescent="0.3">
      <c r="A25" s="27" t="s">
        <v>291</v>
      </c>
      <c r="B25" s="21" t="s">
        <v>292</v>
      </c>
      <c r="C25" s="31" t="s">
        <v>164</v>
      </c>
      <c r="D25" s="26" t="s">
        <v>165</v>
      </c>
      <c r="E25" s="120">
        <v>17</v>
      </c>
      <c r="F25" s="23" t="s">
        <v>163</v>
      </c>
      <c r="G25" s="24" t="s">
        <v>175</v>
      </c>
      <c r="H25" s="51">
        <f t="shared" si="0"/>
        <v>91000</v>
      </c>
      <c r="I25" s="50">
        <f>42000+49000</f>
        <v>91000</v>
      </c>
      <c r="J25" s="50"/>
      <c r="K25" s="50"/>
    </row>
    <row r="26" spans="1:11" s="25" customFormat="1" ht="124.8" x14ac:dyDescent="0.3">
      <c r="A26" s="31" t="s">
        <v>196</v>
      </c>
      <c r="B26" s="24">
        <v>8220</v>
      </c>
      <c r="C26" s="31" t="s">
        <v>85</v>
      </c>
      <c r="D26" s="26" t="s">
        <v>197</v>
      </c>
      <c r="E26" s="110">
        <v>18</v>
      </c>
      <c r="F26" s="32" t="s">
        <v>198</v>
      </c>
      <c r="G26" s="24" t="s">
        <v>199</v>
      </c>
      <c r="H26" s="50">
        <f t="shared" si="0"/>
        <v>786030</v>
      </c>
      <c r="I26" s="50">
        <f>637000+33000+116030</f>
        <v>786030</v>
      </c>
      <c r="J26" s="50"/>
      <c r="K26" s="50"/>
    </row>
    <row r="27" spans="1:11" s="25" customFormat="1" ht="62.4" x14ac:dyDescent="0.3">
      <c r="A27" s="21" t="s">
        <v>83</v>
      </c>
      <c r="B27" s="21" t="s">
        <v>84</v>
      </c>
      <c r="C27" s="21" t="s">
        <v>85</v>
      </c>
      <c r="D27" s="29" t="s">
        <v>86</v>
      </c>
      <c r="E27" s="111">
        <v>36</v>
      </c>
      <c r="F27" s="32" t="s">
        <v>189</v>
      </c>
      <c r="G27" s="24" t="s">
        <v>202</v>
      </c>
      <c r="H27" s="50">
        <f>I27+J27</f>
        <v>2170600</v>
      </c>
      <c r="I27" s="50">
        <f>1975000+4800</f>
        <v>1979800</v>
      </c>
      <c r="J27" s="50">
        <v>190800</v>
      </c>
      <c r="K27" s="50">
        <v>190800</v>
      </c>
    </row>
    <row r="28" spans="1:11" s="25" customFormat="1" ht="109.2" x14ac:dyDescent="0.3">
      <c r="A28" s="21" t="s">
        <v>83</v>
      </c>
      <c r="B28" s="21" t="s">
        <v>84</v>
      </c>
      <c r="C28" s="21" t="s">
        <v>85</v>
      </c>
      <c r="D28" s="29" t="s">
        <v>86</v>
      </c>
      <c r="E28" s="111">
        <v>52</v>
      </c>
      <c r="F28" s="26" t="s">
        <v>296</v>
      </c>
      <c r="G28" s="24" t="s">
        <v>308</v>
      </c>
      <c r="H28" s="50">
        <f>I28+J28</f>
        <v>506700</v>
      </c>
      <c r="I28" s="50">
        <f>126000+380700</f>
        <v>506700</v>
      </c>
      <c r="J28" s="50"/>
      <c r="K28" s="50"/>
    </row>
    <row r="29" spans="1:11" s="25" customFormat="1" ht="109.2" x14ac:dyDescent="0.3">
      <c r="A29" s="21" t="s">
        <v>250</v>
      </c>
      <c r="B29" s="21" t="s">
        <v>157</v>
      </c>
      <c r="C29" s="21" t="s">
        <v>85</v>
      </c>
      <c r="D29" s="29" t="s">
        <v>158</v>
      </c>
      <c r="E29" s="111">
        <v>52</v>
      </c>
      <c r="F29" s="26" t="s">
        <v>296</v>
      </c>
      <c r="G29" s="24" t="s">
        <v>237</v>
      </c>
      <c r="H29" s="50">
        <f t="shared" si="0"/>
        <v>1276500</v>
      </c>
      <c r="I29" s="50">
        <f>60000-60000</f>
        <v>0</v>
      </c>
      <c r="J29" s="50">
        <v>1276500</v>
      </c>
      <c r="K29" s="50">
        <v>1276500</v>
      </c>
    </row>
    <row r="30" spans="1:11" s="25" customFormat="1" ht="90" x14ac:dyDescent="0.3">
      <c r="A30" s="21" t="s">
        <v>307</v>
      </c>
      <c r="B30" s="21" t="s">
        <v>304</v>
      </c>
      <c r="C30" s="24" t="s">
        <v>305</v>
      </c>
      <c r="D30" s="26" t="s">
        <v>306</v>
      </c>
      <c r="E30" s="128">
        <v>56</v>
      </c>
      <c r="F30" s="86" t="s">
        <v>299</v>
      </c>
      <c r="G30" s="24" t="s">
        <v>301</v>
      </c>
      <c r="H30" s="50">
        <f>I30+J30</f>
        <v>100000</v>
      </c>
      <c r="I30" s="50"/>
      <c r="J30" s="50">
        <v>100000</v>
      </c>
      <c r="K30" s="50"/>
    </row>
    <row r="31" spans="1:11" s="36" customFormat="1" ht="16.5" customHeight="1" x14ac:dyDescent="0.3">
      <c r="A31" s="34" t="s">
        <v>5</v>
      </c>
      <c r="B31" s="34"/>
      <c r="C31" s="34"/>
      <c r="D31" s="131" t="s">
        <v>203</v>
      </c>
      <c r="E31" s="132"/>
      <c r="F31" s="133"/>
      <c r="G31" s="35"/>
      <c r="H31" s="49">
        <f>H32</f>
        <v>45044710</v>
      </c>
      <c r="I31" s="49">
        <f>I32</f>
        <v>24513201.640000001</v>
      </c>
      <c r="J31" s="49">
        <f>J32</f>
        <v>20531508.359999999</v>
      </c>
      <c r="K31" s="49">
        <f>K32</f>
        <v>20531508.359999999</v>
      </c>
    </row>
    <row r="32" spans="1:11" s="36" customFormat="1" ht="15.6" x14ac:dyDescent="0.3">
      <c r="A32" s="34" t="s">
        <v>6</v>
      </c>
      <c r="B32" s="34"/>
      <c r="C32" s="34"/>
      <c r="D32" s="131" t="s">
        <v>203</v>
      </c>
      <c r="E32" s="132"/>
      <c r="F32" s="133"/>
      <c r="G32" s="35"/>
      <c r="H32" s="49">
        <f>SUM(H33:H46)</f>
        <v>45044710</v>
      </c>
      <c r="I32" s="49">
        <f t="shared" ref="I32:K32" si="1">SUM(I33:I46)</f>
        <v>24513201.640000001</v>
      </c>
      <c r="J32" s="49">
        <f t="shared" si="1"/>
        <v>20531508.359999999</v>
      </c>
      <c r="K32" s="49">
        <f t="shared" si="1"/>
        <v>20531508.359999999</v>
      </c>
    </row>
    <row r="33" spans="1:12" s="25" customFormat="1" ht="62.4" x14ac:dyDescent="0.3">
      <c r="A33" s="21" t="s">
        <v>7</v>
      </c>
      <c r="B33" s="21" t="s">
        <v>29</v>
      </c>
      <c r="C33" s="21" t="s">
        <v>15</v>
      </c>
      <c r="D33" s="22" t="s">
        <v>8</v>
      </c>
      <c r="E33" s="107">
        <v>13</v>
      </c>
      <c r="F33" s="23" t="s">
        <v>91</v>
      </c>
      <c r="G33" s="28" t="s">
        <v>182</v>
      </c>
      <c r="H33" s="50">
        <f t="shared" ref="H33:H43" si="2">I33+J33</f>
        <v>455000</v>
      </c>
      <c r="I33" s="50">
        <v>455000</v>
      </c>
      <c r="J33" s="50"/>
      <c r="K33" s="50"/>
    </row>
    <row r="34" spans="1:12" s="25" customFormat="1" ht="46.8" x14ac:dyDescent="0.3">
      <c r="A34" s="21" t="s">
        <v>7</v>
      </c>
      <c r="B34" s="21" t="s">
        <v>29</v>
      </c>
      <c r="C34" s="21" t="s">
        <v>15</v>
      </c>
      <c r="D34" s="22" t="s">
        <v>8</v>
      </c>
      <c r="E34" s="107">
        <v>16</v>
      </c>
      <c r="F34" s="23" t="s">
        <v>119</v>
      </c>
      <c r="G34" s="24" t="s">
        <v>176</v>
      </c>
      <c r="H34" s="50">
        <f t="shared" si="2"/>
        <v>2608713</v>
      </c>
      <c r="I34" s="50"/>
      <c r="J34" s="50">
        <f>3621430+287283-1300000</f>
        <v>2608713</v>
      </c>
      <c r="K34" s="50">
        <f>3621430+287283-1300000</f>
        <v>2608713</v>
      </c>
    </row>
    <row r="35" spans="1:12" s="25" customFormat="1" ht="90" x14ac:dyDescent="0.3">
      <c r="A35" s="21" t="s">
        <v>7</v>
      </c>
      <c r="B35" s="21" t="s">
        <v>29</v>
      </c>
      <c r="C35" s="21" t="s">
        <v>15</v>
      </c>
      <c r="D35" s="22" t="s">
        <v>8</v>
      </c>
      <c r="E35" s="107">
        <v>56</v>
      </c>
      <c r="F35" s="87" t="s">
        <v>299</v>
      </c>
      <c r="G35" s="24" t="s">
        <v>301</v>
      </c>
      <c r="H35" s="50">
        <f t="shared" si="2"/>
        <v>1300000</v>
      </c>
      <c r="I35" s="50"/>
      <c r="J35" s="50">
        <f>1100000+200000</f>
        <v>1300000</v>
      </c>
      <c r="K35" s="50">
        <f>1100000+200000</f>
        <v>1300000</v>
      </c>
    </row>
    <row r="36" spans="1:12" s="25" customFormat="1" ht="46.8" x14ac:dyDescent="0.3">
      <c r="A36" s="21" t="s">
        <v>60</v>
      </c>
      <c r="B36" s="21" t="s">
        <v>61</v>
      </c>
      <c r="C36" s="21" t="s">
        <v>45</v>
      </c>
      <c r="D36" s="29" t="s">
        <v>59</v>
      </c>
      <c r="E36" s="102">
        <v>16</v>
      </c>
      <c r="F36" s="23" t="s">
        <v>119</v>
      </c>
      <c r="G36" s="24" t="s">
        <v>176</v>
      </c>
      <c r="H36" s="50">
        <f>I36+J36</f>
        <v>18590570</v>
      </c>
      <c r="I36" s="50">
        <f>15000000+415800-800000</f>
        <v>14615800</v>
      </c>
      <c r="J36" s="50">
        <f>2254770+1720000</f>
        <v>3974770</v>
      </c>
      <c r="K36" s="50">
        <f>2254770+1720000</f>
        <v>3974770</v>
      </c>
    </row>
    <row r="37" spans="1:12" s="25" customFormat="1" ht="46.8" x14ac:dyDescent="0.3">
      <c r="A37" s="21" t="s">
        <v>60</v>
      </c>
      <c r="B37" s="21" t="s">
        <v>61</v>
      </c>
      <c r="C37" s="21" t="s">
        <v>45</v>
      </c>
      <c r="D37" s="29" t="s">
        <v>59</v>
      </c>
      <c r="E37" s="102">
        <v>23</v>
      </c>
      <c r="F37" s="23" t="s">
        <v>159</v>
      </c>
      <c r="G37" s="24" t="s">
        <v>160</v>
      </c>
      <c r="H37" s="50">
        <f t="shared" si="2"/>
        <v>200000</v>
      </c>
      <c r="I37" s="50">
        <v>200000</v>
      </c>
      <c r="J37" s="50"/>
      <c r="K37" s="50"/>
    </row>
    <row r="38" spans="1:12" s="25" customFormat="1" ht="62.4" x14ac:dyDescent="0.3">
      <c r="A38" s="21" t="s">
        <v>60</v>
      </c>
      <c r="B38" s="21" t="s">
        <v>61</v>
      </c>
      <c r="C38" s="21" t="s">
        <v>45</v>
      </c>
      <c r="D38" s="29" t="s">
        <v>59</v>
      </c>
      <c r="E38" s="102">
        <v>32</v>
      </c>
      <c r="F38" s="23" t="s">
        <v>186</v>
      </c>
      <c r="G38" s="24" t="s">
        <v>185</v>
      </c>
      <c r="H38" s="50">
        <f t="shared" si="2"/>
        <v>15000</v>
      </c>
      <c r="I38" s="50">
        <v>15000</v>
      </c>
      <c r="J38" s="50"/>
      <c r="K38" s="50"/>
    </row>
    <row r="39" spans="1:12" s="25" customFormat="1" ht="46.8" x14ac:dyDescent="0.3">
      <c r="A39" s="21" t="s">
        <v>60</v>
      </c>
      <c r="B39" s="21" t="s">
        <v>61</v>
      </c>
      <c r="C39" s="21" t="s">
        <v>45</v>
      </c>
      <c r="D39" s="29" t="s">
        <v>59</v>
      </c>
      <c r="E39" s="125">
        <v>30</v>
      </c>
      <c r="F39" s="23" t="s">
        <v>162</v>
      </c>
      <c r="G39" s="24" t="s">
        <v>188</v>
      </c>
      <c r="H39" s="50">
        <f t="shared" si="2"/>
        <v>145342</v>
      </c>
      <c r="I39" s="50">
        <f>141290+4052</f>
        <v>145342</v>
      </c>
      <c r="J39" s="50"/>
      <c r="K39" s="50"/>
      <c r="L39" s="126"/>
    </row>
    <row r="40" spans="1:12" s="25" customFormat="1" ht="62.4" x14ac:dyDescent="0.3">
      <c r="A40" s="21" t="s">
        <v>120</v>
      </c>
      <c r="B40" s="21" t="s">
        <v>121</v>
      </c>
      <c r="C40" s="21" t="s">
        <v>122</v>
      </c>
      <c r="D40" s="29" t="s">
        <v>123</v>
      </c>
      <c r="E40" s="125">
        <v>16</v>
      </c>
      <c r="F40" s="23" t="s">
        <v>119</v>
      </c>
      <c r="G40" s="24" t="s">
        <v>176</v>
      </c>
      <c r="H40" s="50">
        <f>I40+J40</f>
        <v>1100000</v>
      </c>
      <c r="I40" s="50">
        <v>1100000</v>
      </c>
      <c r="J40" s="50">
        <f>2915000-2915000</f>
        <v>0</v>
      </c>
      <c r="K40" s="50">
        <f>2915000-2915000</f>
        <v>0</v>
      </c>
    </row>
    <row r="41" spans="1:12" s="25" customFormat="1" ht="46.8" x14ac:dyDescent="0.3">
      <c r="A41" s="21" t="s">
        <v>297</v>
      </c>
      <c r="B41" s="21" t="s">
        <v>124</v>
      </c>
      <c r="C41" s="21" t="s">
        <v>226</v>
      </c>
      <c r="D41" s="29" t="s">
        <v>298</v>
      </c>
      <c r="E41" s="125">
        <v>30</v>
      </c>
      <c r="F41" s="23" t="s">
        <v>162</v>
      </c>
      <c r="G41" s="24" t="s">
        <v>188</v>
      </c>
      <c r="H41" s="50">
        <f>I41+J41</f>
        <v>110128</v>
      </c>
      <c r="I41" s="50">
        <f>10138+99990</f>
        <v>110128</v>
      </c>
      <c r="J41" s="50"/>
      <c r="K41" s="50"/>
    </row>
    <row r="42" spans="1:12" s="25" customFormat="1" ht="46.8" x14ac:dyDescent="0.3">
      <c r="A42" s="21" t="s">
        <v>310</v>
      </c>
      <c r="B42" s="21" t="s">
        <v>311</v>
      </c>
      <c r="C42" s="24" t="s">
        <v>312</v>
      </c>
      <c r="D42" s="26" t="s">
        <v>313</v>
      </c>
      <c r="E42" s="129"/>
      <c r="F42" s="23" t="s">
        <v>162</v>
      </c>
      <c r="G42" s="24" t="s">
        <v>188</v>
      </c>
      <c r="H42" s="50">
        <f>I42+J42</f>
        <v>1200</v>
      </c>
      <c r="I42" s="50">
        <v>1200</v>
      </c>
      <c r="J42" s="50"/>
      <c r="K42" s="50"/>
    </row>
    <row r="43" spans="1:12" s="25" customFormat="1" ht="62.4" x14ac:dyDescent="0.3">
      <c r="A43" s="21" t="s">
        <v>184</v>
      </c>
      <c r="B43" s="21" t="s">
        <v>26</v>
      </c>
      <c r="C43" s="21" t="s">
        <v>27</v>
      </c>
      <c r="D43" s="45" t="s">
        <v>16</v>
      </c>
      <c r="E43" s="102">
        <v>25</v>
      </c>
      <c r="F43" s="23" t="s">
        <v>170</v>
      </c>
      <c r="G43" s="24" t="s">
        <v>212</v>
      </c>
      <c r="H43" s="50">
        <f t="shared" si="2"/>
        <v>4139500</v>
      </c>
      <c r="I43" s="50">
        <f>3348600-9100+800000</f>
        <v>4139500</v>
      </c>
      <c r="J43" s="50"/>
      <c r="K43" s="50"/>
    </row>
    <row r="44" spans="1:12" s="46" customFormat="1" ht="46.8" x14ac:dyDescent="0.3">
      <c r="A44" s="31" t="s">
        <v>24</v>
      </c>
      <c r="B44" s="24">
        <v>3242</v>
      </c>
      <c r="C44" s="24">
        <v>1090</v>
      </c>
      <c r="D44" s="23" t="s">
        <v>14</v>
      </c>
      <c r="E44" s="61">
        <v>1</v>
      </c>
      <c r="F44" s="23" t="s">
        <v>28</v>
      </c>
      <c r="G44" s="24" t="s">
        <v>178</v>
      </c>
      <c r="H44" s="50">
        <f t="shared" ref="H44:H46" si="3">I44+J44</f>
        <v>360000</v>
      </c>
      <c r="I44" s="50">
        <v>360000</v>
      </c>
      <c r="J44" s="50"/>
      <c r="K44" s="50"/>
    </row>
    <row r="45" spans="1:12" s="46" customFormat="1" ht="46.8" x14ac:dyDescent="0.3">
      <c r="A45" s="31" t="s">
        <v>24</v>
      </c>
      <c r="B45" s="24">
        <v>3242</v>
      </c>
      <c r="C45" s="24">
        <v>1090</v>
      </c>
      <c r="D45" s="23" t="s">
        <v>14</v>
      </c>
      <c r="E45" s="61">
        <v>14</v>
      </c>
      <c r="F45" s="23" t="s">
        <v>78</v>
      </c>
      <c r="G45" s="24" t="s">
        <v>174</v>
      </c>
      <c r="H45" s="50">
        <f t="shared" si="3"/>
        <v>2740000</v>
      </c>
      <c r="I45" s="50">
        <v>2740000</v>
      </c>
      <c r="J45" s="50"/>
      <c r="K45" s="50"/>
    </row>
    <row r="46" spans="1:12" s="46" customFormat="1" ht="46.8" x14ac:dyDescent="0.3">
      <c r="A46" s="31" t="s">
        <v>256</v>
      </c>
      <c r="B46" s="24">
        <v>8110</v>
      </c>
      <c r="C46" s="31" t="s">
        <v>164</v>
      </c>
      <c r="D46" s="26" t="s">
        <v>165</v>
      </c>
      <c r="E46" s="108">
        <v>17</v>
      </c>
      <c r="F46" s="23" t="s">
        <v>163</v>
      </c>
      <c r="G46" s="24" t="s">
        <v>175</v>
      </c>
      <c r="H46" s="50">
        <f t="shared" si="3"/>
        <v>13279257</v>
      </c>
      <c r="I46" s="50">
        <f>100000+531231.64</f>
        <v>631231.64</v>
      </c>
      <c r="J46" s="50">
        <f>3000000+689876+1958149.36+7000000</f>
        <v>12648025.359999999</v>
      </c>
      <c r="K46" s="50">
        <f>3000000+689876+1958149.36+7000000</f>
        <v>12648025.359999999</v>
      </c>
    </row>
    <row r="47" spans="1:12" s="58" customFormat="1" ht="15.6" x14ac:dyDescent="0.3">
      <c r="A47" s="34" t="s">
        <v>17</v>
      </c>
      <c r="B47" s="34"/>
      <c r="C47" s="34"/>
      <c r="D47" s="131" t="s">
        <v>147</v>
      </c>
      <c r="E47" s="132"/>
      <c r="F47" s="133"/>
      <c r="G47" s="35"/>
      <c r="H47" s="49">
        <f>H48</f>
        <v>56102400</v>
      </c>
      <c r="I47" s="49">
        <f>I48</f>
        <v>56102400</v>
      </c>
      <c r="J47" s="49">
        <f t="shared" ref="J47:K47" si="4">J48</f>
        <v>0</v>
      </c>
      <c r="K47" s="49">
        <f t="shared" si="4"/>
        <v>0</v>
      </c>
    </row>
    <row r="48" spans="1:12" s="58" customFormat="1" ht="15.6" x14ac:dyDescent="0.3">
      <c r="A48" s="34" t="s">
        <v>18</v>
      </c>
      <c r="B48" s="34"/>
      <c r="C48" s="34"/>
      <c r="D48" s="131" t="s">
        <v>147</v>
      </c>
      <c r="E48" s="132"/>
      <c r="F48" s="133"/>
      <c r="G48" s="35"/>
      <c r="H48" s="49">
        <f>SUM(H49:H60)</f>
        <v>56102400</v>
      </c>
      <c r="I48" s="49">
        <f>SUM(I49:I60)</f>
        <v>56102400</v>
      </c>
      <c r="J48" s="49">
        <f>SUM(J49:J60)</f>
        <v>0</v>
      </c>
      <c r="K48" s="49">
        <f>SUM(K49:K60)</f>
        <v>0</v>
      </c>
    </row>
    <row r="49" spans="1:13" s="57" customFormat="1" ht="46.8" x14ac:dyDescent="0.3">
      <c r="A49" s="21" t="s">
        <v>87</v>
      </c>
      <c r="B49" s="21" t="s">
        <v>88</v>
      </c>
      <c r="C49" s="21" t="s">
        <v>89</v>
      </c>
      <c r="D49" s="65" t="s">
        <v>90</v>
      </c>
      <c r="E49" s="112">
        <v>14</v>
      </c>
      <c r="F49" s="23" t="s">
        <v>78</v>
      </c>
      <c r="G49" s="24" t="s">
        <v>174</v>
      </c>
      <c r="H49" s="50">
        <f>I49+J49</f>
        <v>161000</v>
      </c>
      <c r="I49" s="50">
        <v>161000</v>
      </c>
      <c r="J49" s="50"/>
      <c r="K49" s="50"/>
    </row>
    <row r="50" spans="1:13" s="57" customFormat="1" ht="62.4" x14ac:dyDescent="0.3">
      <c r="A50" s="21" t="s">
        <v>87</v>
      </c>
      <c r="B50" s="21" t="s">
        <v>88</v>
      </c>
      <c r="C50" s="21" t="s">
        <v>89</v>
      </c>
      <c r="D50" s="65" t="s">
        <v>90</v>
      </c>
      <c r="E50" s="112">
        <v>13</v>
      </c>
      <c r="F50" s="23" t="s">
        <v>91</v>
      </c>
      <c r="G50" s="24" t="s">
        <v>92</v>
      </c>
      <c r="H50" s="50">
        <f t="shared" ref="H50:H60" si="5">I50+J50</f>
        <v>2150000</v>
      </c>
      <c r="I50" s="50">
        <v>2150000</v>
      </c>
      <c r="J50" s="50"/>
      <c r="K50" s="50"/>
    </row>
    <row r="51" spans="1:13" s="57" customFormat="1" ht="46.8" x14ac:dyDescent="0.3">
      <c r="A51" s="21" t="s">
        <v>93</v>
      </c>
      <c r="B51" s="21" t="s">
        <v>94</v>
      </c>
      <c r="C51" s="21" t="s">
        <v>89</v>
      </c>
      <c r="D51" s="65" t="s">
        <v>95</v>
      </c>
      <c r="E51" s="112">
        <v>14</v>
      </c>
      <c r="F51" s="23" t="s">
        <v>78</v>
      </c>
      <c r="G51" s="24" t="s">
        <v>174</v>
      </c>
      <c r="H51" s="50">
        <f t="shared" si="5"/>
        <v>11500</v>
      </c>
      <c r="I51" s="50">
        <v>11500</v>
      </c>
      <c r="J51" s="50"/>
      <c r="K51" s="50"/>
    </row>
    <row r="52" spans="1:13" s="57" customFormat="1" ht="46.8" x14ac:dyDescent="0.3">
      <c r="A52" s="21" t="s">
        <v>25</v>
      </c>
      <c r="B52" s="21" t="s">
        <v>54</v>
      </c>
      <c r="C52" s="21" t="s">
        <v>27</v>
      </c>
      <c r="D52" s="22" t="s">
        <v>62</v>
      </c>
      <c r="E52" s="107">
        <v>29</v>
      </c>
      <c r="F52" s="23" t="s">
        <v>169</v>
      </c>
      <c r="G52" s="24" t="s">
        <v>201</v>
      </c>
      <c r="H52" s="50">
        <f t="shared" si="5"/>
        <v>208000</v>
      </c>
      <c r="I52" s="50">
        <v>208000</v>
      </c>
      <c r="J52" s="50"/>
      <c r="K52" s="50"/>
      <c r="M52" s="59"/>
    </row>
    <row r="53" spans="1:13" s="57" customFormat="1" ht="46.8" x14ac:dyDescent="0.3">
      <c r="A53" s="21" t="s">
        <v>25</v>
      </c>
      <c r="B53" s="21" t="s">
        <v>54</v>
      </c>
      <c r="C53" s="21" t="s">
        <v>27</v>
      </c>
      <c r="D53" s="22" t="s">
        <v>62</v>
      </c>
      <c r="E53" s="107">
        <v>14</v>
      </c>
      <c r="F53" s="23" t="s">
        <v>78</v>
      </c>
      <c r="G53" s="24" t="s">
        <v>177</v>
      </c>
      <c r="H53" s="50">
        <f t="shared" si="5"/>
        <v>227500</v>
      </c>
      <c r="I53" s="50">
        <v>227500</v>
      </c>
      <c r="J53" s="50"/>
      <c r="K53" s="50"/>
      <c r="M53" s="59"/>
    </row>
    <row r="54" spans="1:13" s="57" customFormat="1" ht="46.8" x14ac:dyDescent="0.3">
      <c r="A54" s="21" t="s">
        <v>107</v>
      </c>
      <c r="B54" s="21" t="s">
        <v>108</v>
      </c>
      <c r="C54" s="21" t="s">
        <v>27</v>
      </c>
      <c r="D54" s="37" t="s">
        <v>109</v>
      </c>
      <c r="E54" s="102">
        <v>14</v>
      </c>
      <c r="F54" s="23" t="s">
        <v>78</v>
      </c>
      <c r="G54" s="24" t="s">
        <v>179</v>
      </c>
      <c r="H54" s="50">
        <f>I54+J54</f>
        <v>700000</v>
      </c>
      <c r="I54" s="50">
        <v>700000</v>
      </c>
      <c r="J54" s="50"/>
      <c r="K54" s="50"/>
      <c r="M54" s="59"/>
    </row>
    <row r="55" spans="1:13" s="57" customFormat="1" ht="78" x14ac:dyDescent="0.3">
      <c r="A55" s="21" t="s">
        <v>96</v>
      </c>
      <c r="B55" s="21" t="s">
        <v>97</v>
      </c>
      <c r="C55" s="21" t="s">
        <v>29</v>
      </c>
      <c r="D55" s="22" t="s">
        <v>98</v>
      </c>
      <c r="E55" s="107">
        <v>14</v>
      </c>
      <c r="F55" s="23" t="s">
        <v>78</v>
      </c>
      <c r="G55" s="24" t="s">
        <v>174</v>
      </c>
      <c r="H55" s="50">
        <f t="shared" si="5"/>
        <v>3300000</v>
      </c>
      <c r="I55" s="50">
        <v>3300000</v>
      </c>
      <c r="J55" s="50"/>
      <c r="K55" s="50"/>
      <c r="M55" s="59"/>
    </row>
    <row r="56" spans="1:13" s="57" customFormat="1" ht="62.4" x14ac:dyDescent="0.3">
      <c r="A56" s="21" t="s">
        <v>99</v>
      </c>
      <c r="B56" s="21" t="s">
        <v>100</v>
      </c>
      <c r="C56" s="21" t="s">
        <v>101</v>
      </c>
      <c r="D56" s="22" t="s">
        <v>102</v>
      </c>
      <c r="E56" s="107">
        <v>14</v>
      </c>
      <c r="F56" s="23" t="s">
        <v>78</v>
      </c>
      <c r="G56" s="24" t="s">
        <v>174</v>
      </c>
      <c r="H56" s="50">
        <f t="shared" si="5"/>
        <v>1500000</v>
      </c>
      <c r="I56" s="50">
        <v>1500000</v>
      </c>
      <c r="J56" s="50"/>
      <c r="K56" s="50"/>
      <c r="M56" s="59"/>
    </row>
    <row r="57" spans="1:13" s="57" customFormat="1" ht="46.8" x14ac:dyDescent="0.3">
      <c r="A57" s="21" t="s">
        <v>103</v>
      </c>
      <c r="B57" s="21" t="s">
        <v>104</v>
      </c>
      <c r="C57" s="21" t="s">
        <v>89</v>
      </c>
      <c r="D57" s="22" t="s">
        <v>105</v>
      </c>
      <c r="E57" s="107">
        <v>14</v>
      </c>
      <c r="F57" s="23" t="s">
        <v>78</v>
      </c>
      <c r="G57" s="24" t="s">
        <v>174</v>
      </c>
      <c r="H57" s="50">
        <f t="shared" si="5"/>
        <v>71000</v>
      </c>
      <c r="I57" s="50">
        <v>71000</v>
      </c>
      <c r="J57" s="50"/>
      <c r="K57" s="50"/>
      <c r="M57" s="59"/>
    </row>
    <row r="58" spans="1:13" s="57" customFormat="1" ht="46.8" x14ac:dyDescent="0.3">
      <c r="A58" s="21" t="s">
        <v>166</v>
      </c>
      <c r="B58" s="21" t="s">
        <v>167</v>
      </c>
      <c r="C58" s="21" t="s">
        <v>124</v>
      </c>
      <c r="D58" s="66" t="s">
        <v>168</v>
      </c>
      <c r="E58" s="113">
        <v>14</v>
      </c>
      <c r="F58" s="23" t="s">
        <v>78</v>
      </c>
      <c r="G58" s="24" t="s">
        <v>174</v>
      </c>
      <c r="H58" s="50">
        <f t="shared" si="5"/>
        <v>688600</v>
      </c>
      <c r="I58" s="50">
        <v>688600</v>
      </c>
      <c r="J58" s="50"/>
      <c r="K58" s="50"/>
      <c r="M58" s="59"/>
    </row>
    <row r="59" spans="1:13" s="57" customFormat="1" ht="46.8" x14ac:dyDescent="0.3">
      <c r="A59" s="21" t="s">
        <v>106</v>
      </c>
      <c r="B59" s="21" t="s">
        <v>80</v>
      </c>
      <c r="C59" s="21" t="s">
        <v>81</v>
      </c>
      <c r="D59" s="67" t="s">
        <v>82</v>
      </c>
      <c r="E59" s="107">
        <v>14</v>
      </c>
      <c r="F59" s="23" t="s">
        <v>78</v>
      </c>
      <c r="G59" s="24" t="s">
        <v>174</v>
      </c>
      <c r="H59" s="50">
        <f t="shared" si="5"/>
        <v>35674400</v>
      </c>
      <c r="I59" s="50">
        <f>10052800+25321600+99200+300000-99900+700</f>
        <v>35674400</v>
      </c>
      <c r="J59" s="50"/>
      <c r="K59" s="50"/>
      <c r="M59" s="59"/>
    </row>
    <row r="60" spans="1:13" s="57" customFormat="1" ht="62.4" x14ac:dyDescent="0.3">
      <c r="A60" s="21" t="s">
        <v>106</v>
      </c>
      <c r="B60" s="21" t="s">
        <v>80</v>
      </c>
      <c r="C60" s="21" t="s">
        <v>81</v>
      </c>
      <c r="D60" s="22" t="s">
        <v>82</v>
      </c>
      <c r="E60" s="107">
        <v>13</v>
      </c>
      <c r="F60" s="23" t="s">
        <v>91</v>
      </c>
      <c r="G60" s="24" t="s">
        <v>180</v>
      </c>
      <c r="H60" s="50">
        <f t="shared" si="5"/>
        <v>11410400</v>
      </c>
      <c r="I60" s="50">
        <f>2294000+338100+7678400+1000000+99900</f>
        <v>11410400</v>
      </c>
      <c r="J60" s="50"/>
      <c r="K60" s="50"/>
      <c r="M60" s="59"/>
    </row>
    <row r="61" spans="1:13" s="57" customFormat="1" ht="15.75" customHeight="1" x14ac:dyDescent="0.3">
      <c r="A61" s="60" t="s">
        <v>213</v>
      </c>
      <c r="B61" s="61" t="s">
        <v>214</v>
      </c>
      <c r="C61" s="61" t="s">
        <v>214</v>
      </c>
      <c r="D61" s="150" t="s">
        <v>215</v>
      </c>
      <c r="E61" s="151"/>
      <c r="F61" s="152"/>
      <c r="G61" s="24"/>
      <c r="H61" s="49">
        <f>H62</f>
        <v>205000</v>
      </c>
      <c r="I61" s="49">
        <f t="shared" ref="I61:K62" si="6">I62</f>
        <v>205000</v>
      </c>
      <c r="J61" s="49">
        <f t="shared" si="6"/>
        <v>0</v>
      </c>
      <c r="K61" s="49">
        <f t="shared" si="6"/>
        <v>0</v>
      </c>
      <c r="L61" s="59"/>
      <c r="M61" s="59"/>
    </row>
    <row r="62" spans="1:13" s="57" customFormat="1" ht="18" customHeight="1" x14ac:dyDescent="0.3">
      <c r="A62" s="60" t="s">
        <v>216</v>
      </c>
      <c r="B62" s="61" t="s">
        <v>214</v>
      </c>
      <c r="C62" s="61" t="s">
        <v>214</v>
      </c>
      <c r="D62" s="150" t="s">
        <v>215</v>
      </c>
      <c r="E62" s="151"/>
      <c r="F62" s="152"/>
      <c r="G62" s="24"/>
      <c r="H62" s="49">
        <f>H63</f>
        <v>205000</v>
      </c>
      <c r="I62" s="49">
        <f>I63</f>
        <v>205000</v>
      </c>
      <c r="J62" s="49">
        <f t="shared" si="6"/>
        <v>0</v>
      </c>
      <c r="K62" s="49">
        <f t="shared" si="6"/>
        <v>0</v>
      </c>
      <c r="L62" s="59"/>
      <c r="M62" s="59"/>
    </row>
    <row r="63" spans="1:13" s="57" customFormat="1" ht="46.8" x14ac:dyDescent="0.3">
      <c r="A63" s="31" t="s">
        <v>217</v>
      </c>
      <c r="B63" s="24" t="s">
        <v>76</v>
      </c>
      <c r="C63" s="24" t="s">
        <v>27</v>
      </c>
      <c r="D63" s="26" t="s">
        <v>77</v>
      </c>
      <c r="E63" s="108">
        <v>14</v>
      </c>
      <c r="F63" s="23" t="s">
        <v>78</v>
      </c>
      <c r="G63" s="28" t="s">
        <v>173</v>
      </c>
      <c r="H63" s="50">
        <f>I63+J63</f>
        <v>205000</v>
      </c>
      <c r="I63" s="50">
        <v>205000</v>
      </c>
      <c r="J63" s="50"/>
      <c r="K63" s="50"/>
      <c r="L63" s="59"/>
      <c r="M63" s="59"/>
    </row>
    <row r="64" spans="1:13" s="25" customFormat="1" ht="15.6" x14ac:dyDescent="0.3">
      <c r="A64" s="34" t="s">
        <v>125</v>
      </c>
      <c r="B64" s="34"/>
      <c r="C64" s="34"/>
      <c r="D64" s="131" t="s">
        <v>148</v>
      </c>
      <c r="E64" s="132"/>
      <c r="F64" s="133"/>
      <c r="G64" s="35"/>
      <c r="H64" s="49">
        <f>H65</f>
        <v>1600000</v>
      </c>
      <c r="I64" s="49">
        <f>I65</f>
        <v>1325000</v>
      </c>
      <c r="J64" s="49">
        <f>J65</f>
        <v>275000</v>
      </c>
      <c r="K64" s="49">
        <f>K65</f>
        <v>0</v>
      </c>
      <c r="L64" s="38"/>
      <c r="M64" s="38"/>
    </row>
    <row r="65" spans="1:13" s="25" customFormat="1" ht="15.6" x14ac:dyDescent="0.3">
      <c r="A65" s="34" t="s">
        <v>126</v>
      </c>
      <c r="B65" s="34"/>
      <c r="C65" s="34"/>
      <c r="D65" s="131" t="s">
        <v>148</v>
      </c>
      <c r="E65" s="132"/>
      <c r="F65" s="133"/>
      <c r="G65" s="35"/>
      <c r="H65" s="49">
        <f>SUM(H66:H72)</f>
        <v>1600000</v>
      </c>
      <c r="I65" s="49">
        <f>SUM(I66:I72)</f>
        <v>1325000</v>
      </c>
      <c r="J65" s="49">
        <f>SUM(J66:J72)</f>
        <v>275000</v>
      </c>
      <c r="K65" s="49">
        <f>SUM(K66:K72)</f>
        <v>0</v>
      </c>
      <c r="L65" s="38"/>
      <c r="M65" s="38"/>
    </row>
    <row r="66" spans="1:13" s="36" customFormat="1" ht="46.8" x14ac:dyDescent="0.3">
      <c r="A66" s="21" t="s">
        <v>127</v>
      </c>
      <c r="B66" s="21" t="s">
        <v>128</v>
      </c>
      <c r="C66" s="21" t="s">
        <v>129</v>
      </c>
      <c r="D66" s="22" t="s">
        <v>130</v>
      </c>
      <c r="E66" s="114">
        <v>28</v>
      </c>
      <c r="F66" s="43" t="s">
        <v>149</v>
      </c>
      <c r="G66" s="28" t="s">
        <v>200</v>
      </c>
      <c r="H66" s="50">
        <f t="shared" ref="H66:H72" si="7">I66+J66</f>
        <v>99000</v>
      </c>
      <c r="I66" s="50">
        <v>99000</v>
      </c>
      <c r="J66" s="50"/>
      <c r="K66" s="50"/>
    </row>
    <row r="67" spans="1:13" s="36" customFormat="1" ht="46.8" x14ac:dyDescent="0.3">
      <c r="A67" s="21" t="s">
        <v>224</v>
      </c>
      <c r="B67" s="21" t="s">
        <v>225</v>
      </c>
      <c r="C67" s="21" t="s">
        <v>226</v>
      </c>
      <c r="D67" s="22" t="s">
        <v>227</v>
      </c>
      <c r="E67" s="107">
        <v>28</v>
      </c>
      <c r="F67" s="44" t="s">
        <v>149</v>
      </c>
      <c r="G67" s="28" t="s">
        <v>200</v>
      </c>
      <c r="H67" s="50">
        <f>I67+J67</f>
        <v>275000</v>
      </c>
      <c r="I67" s="50"/>
      <c r="J67" s="50">
        <v>275000</v>
      </c>
      <c r="K67" s="50"/>
    </row>
    <row r="68" spans="1:13" s="25" customFormat="1" ht="62.4" x14ac:dyDescent="0.3">
      <c r="A68" s="31" t="s">
        <v>211</v>
      </c>
      <c r="B68" s="24">
        <v>3140</v>
      </c>
      <c r="C68" s="21" t="s">
        <v>27</v>
      </c>
      <c r="D68" s="22" t="s">
        <v>16</v>
      </c>
      <c r="E68" s="107">
        <v>25</v>
      </c>
      <c r="F68" s="23" t="s">
        <v>170</v>
      </c>
      <c r="G68" s="24" t="s">
        <v>212</v>
      </c>
      <c r="H68" s="50">
        <f>I68+J68</f>
        <v>150000</v>
      </c>
      <c r="I68" s="50">
        <v>150000</v>
      </c>
      <c r="J68" s="50"/>
      <c r="K68" s="50"/>
    </row>
    <row r="69" spans="1:13" s="25" customFormat="1" ht="46.8" x14ac:dyDescent="0.3">
      <c r="A69" s="21" t="s">
        <v>131</v>
      </c>
      <c r="B69" s="21" t="s">
        <v>132</v>
      </c>
      <c r="C69" s="21" t="s">
        <v>133</v>
      </c>
      <c r="D69" s="22" t="s">
        <v>134</v>
      </c>
      <c r="E69" s="107">
        <v>28</v>
      </c>
      <c r="F69" s="44" t="s">
        <v>149</v>
      </c>
      <c r="G69" s="28" t="s">
        <v>200</v>
      </c>
      <c r="H69" s="50">
        <f t="shared" ref="H69:H71" si="8">I69+J69</f>
        <v>260000</v>
      </c>
      <c r="I69" s="50">
        <v>260000</v>
      </c>
      <c r="J69" s="50"/>
      <c r="K69" s="50"/>
    </row>
    <row r="70" spans="1:13" s="25" customFormat="1" ht="46.8" x14ac:dyDescent="0.3">
      <c r="A70" s="21" t="s">
        <v>135</v>
      </c>
      <c r="B70" s="21" t="s">
        <v>136</v>
      </c>
      <c r="C70" s="21" t="s">
        <v>133</v>
      </c>
      <c r="D70" s="22" t="s">
        <v>137</v>
      </c>
      <c r="E70" s="107">
        <v>28</v>
      </c>
      <c r="F70" s="44" t="s">
        <v>149</v>
      </c>
      <c r="G70" s="24" t="s">
        <v>200</v>
      </c>
      <c r="H70" s="50">
        <f t="shared" si="8"/>
        <v>24000</v>
      </c>
      <c r="I70" s="50">
        <v>24000</v>
      </c>
      <c r="J70" s="50"/>
      <c r="K70" s="50"/>
    </row>
    <row r="71" spans="1:13" s="25" customFormat="1" ht="46.8" x14ac:dyDescent="0.3">
      <c r="A71" s="21" t="s">
        <v>138</v>
      </c>
      <c r="B71" s="21" t="s">
        <v>139</v>
      </c>
      <c r="C71" s="21" t="s">
        <v>140</v>
      </c>
      <c r="D71" s="22" t="s">
        <v>141</v>
      </c>
      <c r="E71" s="114">
        <v>28</v>
      </c>
      <c r="F71" s="43" t="s">
        <v>149</v>
      </c>
      <c r="G71" s="28" t="s">
        <v>200</v>
      </c>
      <c r="H71" s="50">
        <f t="shared" si="8"/>
        <v>192000</v>
      </c>
      <c r="I71" s="50">
        <v>192000</v>
      </c>
      <c r="J71" s="50"/>
      <c r="K71" s="50"/>
    </row>
    <row r="72" spans="1:13" s="25" customFormat="1" ht="46.8" x14ac:dyDescent="0.3">
      <c r="A72" s="21" t="s">
        <v>142</v>
      </c>
      <c r="B72" s="21" t="s">
        <v>143</v>
      </c>
      <c r="C72" s="21" t="s">
        <v>144</v>
      </c>
      <c r="D72" s="22" t="s">
        <v>145</v>
      </c>
      <c r="E72" s="114">
        <v>28</v>
      </c>
      <c r="F72" s="43" t="s">
        <v>149</v>
      </c>
      <c r="G72" s="28" t="s">
        <v>200</v>
      </c>
      <c r="H72" s="50">
        <f t="shared" si="7"/>
        <v>600000</v>
      </c>
      <c r="I72" s="50">
        <v>600000</v>
      </c>
      <c r="J72" s="50"/>
      <c r="K72" s="50"/>
    </row>
    <row r="73" spans="1:13" s="57" customFormat="1" ht="15.6" x14ac:dyDescent="0.3">
      <c r="A73" s="34" t="s">
        <v>22</v>
      </c>
      <c r="B73" s="34"/>
      <c r="C73" s="34"/>
      <c r="D73" s="131" t="s">
        <v>156</v>
      </c>
      <c r="E73" s="132"/>
      <c r="F73" s="133"/>
      <c r="G73" s="35"/>
      <c r="H73" s="49">
        <f>H74</f>
        <v>4068700</v>
      </c>
      <c r="I73" s="49">
        <f>I74</f>
        <v>4068700</v>
      </c>
      <c r="J73" s="49"/>
      <c r="K73" s="49"/>
    </row>
    <row r="74" spans="1:13" s="58" customFormat="1" ht="15.6" x14ac:dyDescent="0.3">
      <c r="A74" s="34" t="s">
        <v>23</v>
      </c>
      <c r="B74" s="34"/>
      <c r="C74" s="34"/>
      <c r="D74" s="131" t="s">
        <v>156</v>
      </c>
      <c r="E74" s="132"/>
      <c r="F74" s="133"/>
      <c r="G74" s="35"/>
      <c r="H74" s="49">
        <f>SUM(H75:H80)</f>
        <v>4068700</v>
      </c>
      <c r="I74" s="49">
        <f>SUM(I75:I80)</f>
        <v>4068700</v>
      </c>
      <c r="J74" s="49"/>
      <c r="K74" s="49"/>
    </row>
    <row r="75" spans="1:13" s="58" customFormat="1" ht="46.8" x14ac:dyDescent="0.3">
      <c r="A75" s="21" t="s">
        <v>195</v>
      </c>
      <c r="B75" s="21" t="s">
        <v>128</v>
      </c>
      <c r="C75" s="21" t="s">
        <v>129</v>
      </c>
      <c r="D75" s="22" t="s">
        <v>130</v>
      </c>
      <c r="E75" s="107">
        <v>29</v>
      </c>
      <c r="F75" s="23" t="s">
        <v>171</v>
      </c>
      <c r="G75" s="24" t="s">
        <v>201</v>
      </c>
      <c r="H75" s="50">
        <f t="shared" ref="H75:H80" si="9">I75+J75</f>
        <v>30000</v>
      </c>
      <c r="I75" s="50">
        <v>30000</v>
      </c>
      <c r="J75" s="50"/>
      <c r="K75" s="50"/>
    </row>
    <row r="76" spans="1:13" s="58" customFormat="1" ht="46.8" x14ac:dyDescent="0.3">
      <c r="A76" s="21" t="s">
        <v>195</v>
      </c>
      <c r="B76" s="21" t="s">
        <v>128</v>
      </c>
      <c r="C76" s="21" t="s">
        <v>129</v>
      </c>
      <c r="D76" s="22" t="s">
        <v>130</v>
      </c>
      <c r="E76" s="107">
        <v>30</v>
      </c>
      <c r="F76" s="23" t="s">
        <v>162</v>
      </c>
      <c r="G76" s="24" t="s">
        <v>188</v>
      </c>
      <c r="H76" s="50">
        <f t="shared" si="9"/>
        <v>69000</v>
      </c>
      <c r="I76" s="50">
        <v>69000</v>
      </c>
      <c r="J76" s="50"/>
      <c r="K76" s="50"/>
    </row>
    <row r="77" spans="1:13" s="58" customFormat="1" ht="46.8" x14ac:dyDescent="0.3">
      <c r="A77" s="21" t="s">
        <v>42</v>
      </c>
      <c r="B77" s="21" t="s">
        <v>43</v>
      </c>
      <c r="C77" s="21" t="s">
        <v>27</v>
      </c>
      <c r="D77" s="22" t="s">
        <v>44</v>
      </c>
      <c r="E77" s="107">
        <v>29</v>
      </c>
      <c r="F77" s="23" t="s">
        <v>171</v>
      </c>
      <c r="G77" s="24" t="s">
        <v>201</v>
      </c>
      <c r="H77" s="50">
        <f t="shared" si="9"/>
        <v>913000</v>
      </c>
      <c r="I77" s="50">
        <v>913000</v>
      </c>
      <c r="J77" s="50"/>
      <c r="K77" s="50"/>
    </row>
    <row r="78" spans="1:13" s="57" customFormat="1" ht="46.8" x14ac:dyDescent="0.3">
      <c r="A78" s="21" t="s">
        <v>110</v>
      </c>
      <c r="B78" s="21" t="s">
        <v>111</v>
      </c>
      <c r="C78" s="21" t="s">
        <v>38</v>
      </c>
      <c r="D78" s="22" t="s">
        <v>112</v>
      </c>
      <c r="E78" s="107">
        <v>30</v>
      </c>
      <c r="F78" s="23" t="s">
        <v>162</v>
      </c>
      <c r="G78" s="24" t="s">
        <v>188</v>
      </c>
      <c r="H78" s="50">
        <f t="shared" si="9"/>
        <v>895000</v>
      </c>
      <c r="I78" s="50">
        <f>950000-55000</f>
        <v>895000</v>
      </c>
      <c r="J78" s="50"/>
      <c r="K78" s="50"/>
    </row>
    <row r="79" spans="1:13" s="57" customFormat="1" ht="46.8" x14ac:dyDescent="0.3">
      <c r="A79" s="21" t="s">
        <v>114</v>
      </c>
      <c r="B79" s="21" t="s">
        <v>113</v>
      </c>
      <c r="C79" s="21" t="s">
        <v>38</v>
      </c>
      <c r="D79" s="22" t="s">
        <v>115</v>
      </c>
      <c r="E79" s="107">
        <v>30</v>
      </c>
      <c r="F79" s="23" t="s">
        <v>162</v>
      </c>
      <c r="G79" s="24" t="s">
        <v>188</v>
      </c>
      <c r="H79" s="50">
        <f t="shared" si="9"/>
        <v>320000</v>
      </c>
      <c r="I79" s="50">
        <v>320000</v>
      </c>
      <c r="J79" s="50"/>
      <c r="K79" s="50"/>
    </row>
    <row r="80" spans="1:13" s="57" customFormat="1" ht="46.8" x14ac:dyDescent="0.3">
      <c r="A80" s="21" t="s">
        <v>36</v>
      </c>
      <c r="B80" s="21" t="s">
        <v>37</v>
      </c>
      <c r="C80" s="21" t="s">
        <v>38</v>
      </c>
      <c r="D80" s="29" t="s">
        <v>63</v>
      </c>
      <c r="E80" s="102">
        <v>30</v>
      </c>
      <c r="F80" s="23" t="s">
        <v>162</v>
      </c>
      <c r="G80" s="24" t="s">
        <v>188</v>
      </c>
      <c r="H80" s="50">
        <f t="shared" si="9"/>
        <v>1841700</v>
      </c>
      <c r="I80" s="50">
        <f>1786700+55000</f>
        <v>1841700</v>
      </c>
      <c r="J80" s="50"/>
      <c r="K80" s="50"/>
    </row>
    <row r="81" spans="1:11" s="57" customFormat="1" ht="27" customHeight="1" x14ac:dyDescent="0.3">
      <c r="A81" s="68" t="s">
        <v>12</v>
      </c>
      <c r="B81" s="68"/>
      <c r="C81" s="68"/>
      <c r="D81" s="147" t="s">
        <v>150</v>
      </c>
      <c r="E81" s="148"/>
      <c r="F81" s="149"/>
      <c r="G81" s="80"/>
      <c r="H81" s="69">
        <f>H82</f>
        <v>159493153.88</v>
      </c>
      <c r="I81" s="69">
        <f>I82</f>
        <v>148003042</v>
      </c>
      <c r="J81" s="69">
        <f>J82</f>
        <v>11490111.880000001</v>
      </c>
      <c r="K81" s="69">
        <f>K82</f>
        <v>10659309</v>
      </c>
    </row>
    <row r="82" spans="1:11" s="58" customFormat="1" ht="30" customHeight="1" x14ac:dyDescent="0.3">
      <c r="A82" s="68" t="s">
        <v>13</v>
      </c>
      <c r="B82" s="68"/>
      <c r="C82" s="68"/>
      <c r="D82" s="147" t="s">
        <v>150</v>
      </c>
      <c r="E82" s="148"/>
      <c r="F82" s="149"/>
      <c r="G82" s="80"/>
      <c r="H82" s="69">
        <f>SUM(H83:H98)</f>
        <v>159493153.88</v>
      </c>
      <c r="I82" s="69">
        <f t="shared" ref="I82:K82" si="10">SUM(I83:I98)</f>
        <v>148003042</v>
      </c>
      <c r="J82" s="69">
        <f t="shared" si="10"/>
        <v>11490111.880000001</v>
      </c>
      <c r="K82" s="69">
        <f t="shared" si="10"/>
        <v>10659309</v>
      </c>
    </row>
    <row r="83" spans="1:11" s="58" customFormat="1" ht="46.8" x14ac:dyDescent="0.3">
      <c r="A83" s="24" t="s">
        <v>240</v>
      </c>
      <c r="B83" s="24" t="s">
        <v>241</v>
      </c>
      <c r="C83" s="24" t="s">
        <v>242</v>
      </c>
      <c r="D83" s="26" t="s">
        <v>243</v>
      </c>
      <c r="E83" s="108">
        <v>53</v>
      </c>
      <c r="F83" s="23" t="s">
        <v>238</v>
      </c>
      <c r="G83" s="24" t="s">
        <v>239</v>
      </c>
      <c r="H83" s="74">
        <f>I83+J83</f>
        <v>30000</v>
      </c>
      <c r="I83" s="74">
        <v>30000</v>
      </c>
      <c r="J83" s="69"/>
      <c r="K83" s="69"/>
    </row>
    <row r="84" spans="1:11" s="58" customFormat="1" ht="78" x14ac:dyDescent="0.3">
      <c r="A84" s="24">
        <v>1216011</v>
      </c>
      <c r="B84" s="24">
        <v>6011</v>
      </c>
      <c r="C84" s="31" t="s">
        <v>257</v>
      </c>
      <c r="D84" s="26" t="s">
        <v>258</v>
      </c>
      <c r="E84" s="108">
        <v>40</v>
      </c>
      <c r="F84" s="72" t="s">
        <v>259</v>
      </c>
      <c r="G84" s="24" t="s">
        <v>260</v>
      </c>
      <c r="H84" s="74">
        <f>I84+J84</f>
        <v>3246524</v>
      </c>
      <c r="I84" s="74"/>
      <c r="J84" s="74">
        <f>3044185+202339</f>
        <v>3246524</v>
      </c>
      <c r="K84" s="74">
        <f>3044185+202339</f>
        <v>3246524</v>
      </c>
    </row>
    <row r="85" spans="1:11" s="58" customFormat="1" ht="52.95" customHeight="1" x14ac:dyDescent="0.3">
      <c r="A85" s="24">
        <v>1216011</v>
      </c>
      <c r="B85" s="24">
        <v>6011</v>
      </c>
      <c r="C85" s="31" t="s">
        <v>257</v>
      </c>
      <c r="D85" s="26" t="s">
        <v>258</v>
      </c>
      <c r="E85" s="108">
        <v>5</v>
      </c>
      <c r="F85" s="79" t="s">
        <v>222</v>
      </c>
      <c r="G85" s="73" t="s">
        <v>183</v>
      </c>
      <c r="H85" s="74">
        <f t="shared" ref="H85:H91" si="11">I85+J85</f>
        <v>979196</v>
      </c>
      <c r="I85" s="74">
        <v>319069</v>
      </c>
      <c r="J85" s="74">
        <f>660127</f>
        <v>660127</v>
      </c>
      <c r="K85" s="74">
        <f>660127</f>
        <v>660127</v>
      </c>
    </row>
    <row r="86" spans="1:11" s="36" customFormat="1" ht="105.6" x14ac:dyDescent="0.3">
      <c r="A86" s="24">
        <v>1216011</v>
      </c>
      <c r="B86" s="24">
        <v>6011</v>
      </c>
      <c r="C86" s="31" t="s">
        <v>257</v>
      </c>
      <c r="D86" s="26" t="s">
        <v>258</v>
      </c>
      <c r="E86" s="108">
        <v>59</v>
      </c>
      <c r="F86" s="87" t="s">
        <v>300</v>
      </c>
      <c r="G86" s="24" t="s">
        <v>302</v>
      </c>
      <c r="H86" s="50">
        <f t="shared" si="11"/>
        <v>325175</v>
      </c>
      <c r="I86" s="50"/>
      <c r="J86" s="50">
        <v>325175</v>
      </c>
      <c r="K86" s="50">
        <v>325175</v>
      </c>
    </row>
    <row r="87" spans="1:11" s="36" customFormat="1" ht="46.8" x14ac:dyDescent="0.3">
      <c r="A87" s="24">
        <v>1216013</v>
      </c>
      <c r="B87" s="24">
        <v>6013</v>
      </c>
      <c r="C87" s="31" t="s">
        <v>20</v>
      </c>
      <c r="D87" s="26" t="s">
        <v>270</v>
      </c>
      <c r="E87" s="108"/>
      <c r="F87" s="79" t="s">
        <v>222</v>
      </c>
      <c r="G87" s="73" t="s">
        <v>183</v>
      </c>
      <c r="H87" s="50">
        <f t="shared" si="11"/>
        <v>1304221</v>
      </c>
      <c r="I87" s="50">
        <v>59940</v>
      </c>
      <c r="J87" s="50">
        <v>1244281</v>
      </c>
      <c r="K87" s="50">
        <v>1244281</v>
      </c>
    </row>
    <row r="88" spans="1:11" s="57" customFormat="1" ht="46.8" x14ac:dyDescent="0.3">
      <c r="A88" s="70" t="s">
        <v>116</v>
      </c>
      <c r="B88" s="70" t="s">
        <v>117</v>
      </c>
      <c r="C88" s="70" t="s">
        <v>20</v>
      </c>
      <c r="D88" s="77" t="s">
        <v>118</v>
      </c>
      <c r="E88" s="115">
        <v>9</v>
      </c>
      <c r="F88" s="23" t="s">
        <v>210</v>
      </c>
      <c r="G88" s="24" t="s">
        <v>204</v>
      </c>
      <c r="H88" s="74">
        <f t="shared" si="11"/>
        <v>300000</v>
      </c>
      <c r="I88" s="74">
        <v>300000</v>
      </c>
      <c r="J88" s="74"/>
      <c r="K88" s="74"/>
    </row>
    <row r="89" spans="1:11" s="57" customFormat="1" ht="78" x14ac:dyDescent="0.3">
      <c r="A89" s="70" t="s">
        <v>116</v>
      </c>
      <c r="B89" s="70" t="s">
        <v>117</v>
      </c>
      <c r="C89" s="70" t="s">
        <v>20</v>
      </c>
      <c r="D89" s="77" t="s">
        <v>118</v>
      </c>
      <c r="E89" s="115">
        <v>40</v>
      </c>
      <c r="F89" s="72" t="s">
        <v>259</v>
      </c>
      <c r="G89" s="24" t="s">
        <v>260</v>
      </c>
      <c r="H89" s="74">
        <f t="shared" si="11"/>
        <v>1980702</v>
      </c>
      <c r="I89" s="74"/>
      <c r="J89" s="74">
        <f>495000+1485702</f>
        <v>1980702</v>
      </c>
      <c r="K89" s="74">
        <f>495000+1485702</f>
        <v>1980702</v>
      </c>
    </row>
    <row r="90" spans="1:11" s="57" customFormat="1" ht="46.8" x14ac:dyDescent="0.3">
      <c r="A90" s="70" t="s">
        <v>31</v>
      </c>
      <c r="B90" s="70" t="s">
        <v>56</v>
      </c>
      <c r="C90" s="70" t="s">
        <v>20</v>
      </c>
      <c r="D90" s="71" t="s">
        <v>57</v>
      </c>
      <c r="E90" s="116">
        <v>5</v>
      </c>
      <c r="F90" s="79" t="s">
        <v>222</v>
      </c>
      <c r="G90" s="73" t="s">
        <v>183</v>
      </c>
      <c r="H90" s="74">
        <f t="shared" si="11"/>
        <v>1493000</v>
      </c>
      <c r="I90" s="74">
        <v>1493000</v>
      </c>
      <c r="J90" s="74"/>
      <c r="K90" s="74"/>
    </row>
    <row r="91" spans="1:11" s="57" customFormat="1" ht="78" x14ac:dyDescent="0.3">
      <c r="A91" s="70" t="s">
        <v>31</v>
      </c>
      <c r="B91" s="70" t="s">
        <v>56</v>
      </c>
      <c r="C91" s="70" t="s">
        <v>20</v>
      </c>
      <c r="D91" s="71" t="s">
        <v>57</v>
      </c>
      <c r="E91" s="116"/>
      <c r="F91" s="86" t="s">
        <v>316</v>
      </c>
      <c r="G91" s="24" t="s">
        <v>317</v>
      </c>
      <c r="H91" s="74">
        <f t="shared" si="11"/>
        <v>1200000</v>
      </c>
      <c r="I91" s="74"/>
      <c r="J91" s="74">
        <v>1200000</v>
      </c>
      <c r="K91" s="74">
        <v>1200000</v>
      </c>
    </row>
    <row r="92" spans="1:11" s="57" customFormat="1" ht="46.8" x14ac:dyDescent="0.3">
      <c r="A92" s="70" t="s">
        <v>19</v>
      </c>
      <c r="B92" s="70" t="s">
        <v>55</v>
      </c>
      <c r="C92" s="70" t="s">
        <v>20</v>
      </c>
      <c r="D92" s="78" t="s">
        <v>30</v>
      </c>
      <c r="E92" s="115">
        <v>5</v>
      </c>
      <c r="F92" s="79" t="s">
        <v>222</v>
      </c>
      <c r="G92" s="73" t="s">
        <v>183</v>
      </c>
      <c r="H92" s="74">
        <f t="shared" ref="H92:H95" si="12">I92+J92</f>
        <v>74684500</v>
      </c>
      <c r="I92" s="74">
        <f>74060000-50000+30000+550000-690000-55000</f>
        <v>73845000</v>
      </c>
      <c r="J92" s="74">
        <f>839500+550000-550000</f>
        <v>839500</v>
      </c>
      <c r="K92" s="74">
        <f>839500+550000-550000</f>
        <v>839500</v>
      </c>
    </row>
    <row r="93" spans="1:11" s="57" customFormat="1" ht="46.8" x14ac:dyDescent="0.3">
      <c r="A93" s="70" t="s">
        <v>33</v>
      </c>
      <c r="B93" s="70" t="s">
        <v>58</v>
      </c>
      <c r="C93" s="70" t="s">
        <v>32</v>
      </c>
      <c r="D93" s="71" t="s">
        <v>34</v>
      </c>
      <c r="E93" s="116">
        <v>5</v>
      </c>
      <c r="F93" s="79" t="s">
        <v>222</v>
      </c>
      <c r="G93" s="73" t="s">
        <v>183</v>
      </c>
      <c r="H93" s="74">
        <f t="shared" si="12"/>
        <v>25700000</v>
      </c>
      <c r="I93" s="74">
        <v>25700000</v>
      </c>
      <c r="J93" s="74"/>
      <c r="K93" s="74"/>
    </row>
    <row r="94" spans="1:11" s="57" customFormat="1" ht="109.2" x14ac:dyDescent="0.3">
      <c r="A94" s="70" t="s">
        <v>261</v>
      </c>
      <c r="B94" s="70" t="s">
        <v>262</v>
      </c>
      <c r="C94" s="31" t="s">
        <v>21</v>
      </c>
      <c r="D94" s="26" t="s">
        <v>263</v>
      </c>
      <c r="E94" s="108">
        <v>40</v>
      </c>
      <c r="F94" s="72" t="s">
        <v>259</v>
      </c>
      <c r="G94" s="24" t="s">
        <v>260</v>
      </c>
      <c r="H94" s="74">
        <f t="shared" si="12"/>
        <v>580802.88</v>
      </c>
      <c r="I94" s="74"/>
      <c r="J94" s="74">
        <f>393146+187656.88</f>
        <v>580802.88</v>
      </c>
      <c r="K94" s="74"/>
    </row>
    <row r="95" spans="1:11" s="57" customFormat="1" ht="46.8" x14ac:dyDescent="0.3">
      <c r="A95" s="70" t="s">
        <v>187</v>
      </c>
      <c r="B95" s="70" t="s">
        <v>35</v>
      </c>
      <c r="C95" s="70" t="s">
        <v>21</v>
      </c>
      <c r="D95" s="77" t="s">
        <v>53</v>
      </c>
      <c r="E95" s="115">
        <v>51</v>
      </c>
      <c r="F95" s="72" t="s">
        <v>223</v>
      </c>
      <c r="G95" s="24" t="s">
        <v>235</v>
      </c>
      <c r="H95" s="74">
        <f t="shared" si="12"/>
        <v>44171102</v>
      </c>
      <c r="I95" s="74">
        <f>31215000+3554300+1350000+8051802</f>
        <v>44171102</v>
      </c>
      <c r="J95" s="74"/>
      <c r="K95" s="74"/>
    </row>
    <row r="96" spans="1:11" s="57" customFormat="1" ht="46.8" x14ac:dyDescent="0.3">
      <c r="A96" s="73">
        <v>1218110</v>
      </c>
      <c r="B96" s="73">
        <v>8110</v>
      </c>
      <c r="C96" s="75" t="s">
        <v>164</v>
      </c>
      <c r="D96" s="76" t="s">
        <v>165</v>
      </c>
      <c r="E96" s="117">
        <v>17</v>
      </c>
      <c r="F96" s="72" t="s">
        <v>155</v>
      </c>
      <c r="G96" s="73" t="s">
        <v>175</v>
      </c>
      <c r="H96" s="74">
        <f>I96+J96</f>
        <v>3235231</v>
      </c>
      <c r="I96" s="74">
        <f>835000+552900+58341+62000+500000+63990</f>
        <v>2072231</v>
      </c>
      <c r="J96" s="74">
        <f>150000+2213000-1200000</f>
        <v>1163000</v>
      </c>
      <c r="K96" s="74">
        <f>150000+2213000-1200000</f>
        <v>1163000</v>
      </c>
    </row>
    <row r="97" spans="1:11" s="57" customFormat="1" ht="109.2" x14ac:dyDescent="0.3">
      <c r="A97" s="21" t="s">
        <v>249</v>
      </c>
      <c r="B97" s="21" t="s">
        <v>157</v>
      </c>
      <c r="C97" s="21" t="s">
        <v>85</v>
      </c>
      <c r="D97" s="29" t="s">
        <v>158</v>
      </c>
      <c r="E97" s="111">
        <v>52</v>
      </c>
      <c r="F97" s="26" t="s">
        <v>296</v>
      </c>
      <c r="G97" s="24" t="s">
        <v>237</v>
      </c>
      <c r="H97" s="74">
        <f>I97+J97</f>
        <v>12700</v>
      </c>
      <c r="I97" s="74">
        <v>12700</v>
      </c>
      <c r="J97" s="74"/>
      <c r="K97" s="74"/>
    </row>
    <row r="98" spans="1:11" s="25" customFormat="1" ht="90" x14ac:dyDescent="0.3">
      <c r="A98" s="21" t="s">
        <v>303</v>
      </c>
      <c r="B98" s="21" t="s">
        <v>304</v>
      </c>
      <c r="C98" s="24" t="s">
        <v>305</v>
      </c>
      <c r="D98" s="26" t="s">
        <v>306</v>
      </c>
      <c r="E98" s="128">
        <v>56</v>
      </c>
      <c r="F98" s="86" t="s">
        <v>299</v>
      </c>
      <c r="G98" s="24" t="s">
        <v>301</v>
      </c>
      <c r="H98" s="50">
        <f>I98+J98</f>
        <v>250000</v>
      </c>
      <c r="I98" s="50"/>
      <c r="J98" s="50">
        <v>250000</v>
      </c>
      <c r="K98" s="50"/>
    </row>
    <row r="99" spans="1:11" s="25" customFormat="1" ht="30" customHeight="1" x14ac:dyDescent="0.3">
      <c r="A99" s="34" t="s">
        <v>264</v>
      </c>
      <c r="B99" s="34"/>
      <c r="C99" s="34"/>
      <c r="D99" s="131" t="s">
        <v>266</v>
      </c>
      <c r="E99" s="132"/>
      <c r="F99" s="133"/>
      <c r="G99" s="35"/>
      <c r="H99" s="49">
        <f>H100</f>
        <v>138381726</v>
      </c>
      <c r="I99" s="49">
        <f>I100</f>
        <v>0</v>
      </c>
      <c r="J99" s="49">
        <f>J100</f>
        <v>138381726</v>
      </c>
      <c r="K99" s="49">
        <f>K100</f>
        <v>138381726</v>
      </c>
    </row>
    <row r="100" spans="1:11" s="36" customFormat="1" ht="30" customHeight="1" x14ac:dyDescent="0.3">
      <c r="A100" s="34" t="s">
        <v>265</v>
      </c>
      <c r="B100" s="34"/>
      <c r="C100" s="34"/>
      <c r="D100" s="131" t="s">
        <v>266</v>
      </c>
      <c r="E100" s="132"/>
      <c r="F100" s="133"/>
      <c r="G100" s="35"/>
      <c r="H100" s="49">
        <f>SUM(H101:H112)</f>
        <v>138381726</v>
      </c>
      <c r="I100" s="49">
        <f t="shared" ref="I100:K100" si="13">SUM(I101:I112)</f>
        <v>0</v>
      </c>
      <c r="J100" s="49">
        <f t="shared" si="13"/>
        <v>138381726</v>
      </c>
      <c r="K100" s="49">
        <f t="shared" si="13"/>
        <v>138381726</v>
      </c>
    </row>
    <row r="101" spans="1:11" s="57" customFormat="1" ht="46.8" x14ac:dyDescent="0.3">
      <c r="A101" s="21" t="s">
        <v>267</v>
      </c>
      <c r="B101" s="21" t="s">
        <v>65</v>
      </c>
      <c r="C101" s="21" t="s">
        <v>66</v>
      </c>
      <c r="D101" s="22" t="s">
        <v>67</v>
      </c>
      <c r="E101" s="107">
        <v>15</v>
      </c>
      <c r="F101" s="23" t="s">
        <v>229</v>
      </c>
      <c r="G101" s="24" t="s">
        <v>172</v>
      </c>
      <c r="H101" s="74">
        <f t="shared" ref="H101:H112" si="14">I101+J101</f>
        <v>1150627</v>
      </c>
      <c r="I101" s="74"/>
      <c r="J101" s="74">
        <f>1205627-30000-25000</f>
        <v>1150627</v>
      </c>
      <c r="K101" s="74">
        <f>1205627-30000-25000</f>
        <v>1150627</v>
      </c>
    </row>
    <row r="102" spans="1:11" s="57" customFormat="1" ht="46.8" x14ac:dyDescent="0.3">
      <c r="A102" s="21" t="s">
        <v>268</v>
      </c>
      <c r="B102" s="21" t="s">
        <v>269</v>
      </c>
      <c r="C102" s="31" t="s">
        <v>20</v>
      </c>
      <c r="D102" s="26" t="s">
        <v>270</v>
      </c>
      <c r="E102" s="108">
        <v>5</v>
      </c>
      <c r="F102" s="79" t="s">
        <v>222</v>
      </c>
      <c r="G102" s="73" t="s">
        <v>183</v>
      </c>
      <c r="H102" s="74">
        <f t="shared" si="14"/>
        <v>382750</v>
      </c>
      <c r="I102" s="74"/>
      <c r="J102" s="74">
        <v>382750</v>
      </c>
      <c r="K102" s="74">
        <v>382750</v>
      </c>
    </row>
    <row r="103" spans="1:11" s="57" customFormat="1" ht="46.8" x14ac:dyDescent="0.3">
      <c r="A103" s="21" t="s">
        <v>271</v>
      </c>
      <c r="B103" s="21" t="s">
        <v>117</v>
      </c>
      <c r="C103" s="70" t="s">
        <v>20</v>
      </c>
      <c r="D103" s="77" t="s">
        <v>118</v>
      </c>
      <c r="E103" s="115">
        <v>9</v>
      </c>
      <c r="F103" s="23" t="s">
        <v>210</v>
      </c>
      <c r="G103" s="24" t="s">
        <v>204</v>
      </c>
      <c r="H103" s="74">
        <f t="shared" si="14"/>
        <v>23415217</v>
      </c>
      <c r="I103" s="74"/>
      <c r="J103" s="74">
        <v>23415217</v>
      </c>
      <c r="K103" s="74">
        <v>23415217</v>
      </c>
    </row>
    <row r="104" spans="1:11" s="25" customFormat="1" ht="90" x14ac:dyDescent="0.3">
      <c r="A104" s="21" t="s">
        <v>272</v>
      </c>
      <c r="B104" s="21" t="s">
        <v>273</v>
      </c>
      <c r="C104" s="31" t="s">
        <v>20</v>
      </c>
      <c r="D104" s="26" t="s">
        <v>274</v>
      </c>
      <c r="E104" s="108">
        <v>56</v>
      </c>
      <c r="F104" s="87" t="s">
        <v>299</v>
      </c>
      <c r="G104" s="24" t="s">
        <v>301</v>
      </c>
      <c r="H104" s="50">
        <f t="shared" si="14"/>
        <v>1194873</v>
      </c>
      <c r="I104" s="50"/>
      <c r="J104" s="50">
        <f>2439154-1244281</f>
        <v>1194873</v>
      </c>
      <c r="K104" s="50">
        <f>2439154-1244281</f>
        <v>1194873</v>
      </c>
    </row>
    <row r="105" spans="1:11" s="57" customFormat="1" ht="46.8" x14ac:dyDescent="0.3">
      <c r="A105" s="21" t="s">
        <v>276</v>
      </c>
      <c r="B105" s="21" t="s">
        <v>277</v>
      </c>
      <c r="C105" s="75" t="s">
        <v>194</v>
      </c>
      <c r="D105" s="98" t="s">
        <v>275</v>
      </c>
      <c r="E105" s="117">
        <v>5</v>
      </c>
      <c r="F105" s="72" t="s">
        <v>222</v>
      </c>
      <c r="G105" s="73" t="s">
        <v>183</v>
      </c>
      <c r="H105" s="74">
        <f t="shared" si="14"/>
        <v>29001250</v>
      </c>
      <c r="I105" s="74"/>
      <c r="J105" s="74">
        <f>19000000+10001250</f>
        <v>29001250</v>
      </c>
      <c r="K105" s="74">
        <f>19000000+10001250</f>
        <v>29001250</v>
      </c>
    </row>
    <row r="106" spans="1:11" s="57" customFormat="1" ht="46.8" x14ac:dyDescent="0.3">
      <c r="A106" s="21" t="s">
        <v>293</v>
      </c>
      <c r="B106" s="21" t="s">
        <v>294</v>
      </c>
      <c r="C106" s="31" t="s">
        <v>21</v>
      </c>
      <c r="D106" s="26" t="s">
        <v>295</v>
      </c>
      <c r="E106" s="120">
        <v>17</v>
      </c>
      <c r="F106" s="23" t="s">
        <v>163</v>
      </c>
      <c r="G106" s="24" t="s">
        <v>175</v>
      </c>
      <c r="H106" s="74">
        <f t="shared" si="14"/>
        <v>26491442</v>
      </c>
      <c r="I106" s="74"/>
      <c r="J106" s="74">
        <v>26491442</v>
      </c>
      <c r="K106" s="74">
        <v>26491442</v>
      </c>
    </row>
    <row r="107" spans="1:11" s="57" customFormat="1" ht="62.4" x14ac:dyDescent="0.3">
      <c r="A107" s="73">
        <v>1517370</v>
      </c>
      <c r="B107" s="73">
        <v>7370</v>
      </c>
      <c r="C107" s="75" t="s">
        <v>21</v>
      </c>
      <c r="D107" s="76" t="s">
        <v>278</v>
      </c>
      <c r="E107" s="117">
        <v>20</v>
      </c>
      <c r="F107" s="72" t="s">
        <v>280</v>
      </c>
      <c r="G107" s="73" t="s">
        <v>279</v>
      </c>
      <c r="H107" s="74">
        <f t="shared" si="14"/>
        <v>27585022</v>
      </c>
      <c r="I107" s="74"/>
      <c r="J107" s="74">
        <f>7664771+2000000+17920251</f>
        <v>27585022</v>
      </c>
      <c r="K107" s="74">
        <f>7664771+2000000+17920251</f>
        <v>27585022</v>
      </c>
    </row>
    <row r="108" spans="1:11" s="57" customFormat="1" ht="46.8" x14ac:dyDescent="0.3">
      <c r="A108" s="70" t="s">
        <v>281</v>
      </c>
      <c r="B108" s="70" t="s">
        <v>282</v>
      </c>
      <c r="C108" s="75" t="s">
        <v>21</v>
      </c>
      <c r="D108" s="76" t="s">
        <v>278</v>
      </c>
      <c r="E108" s="117">
        <v>5</v>
      </c>
      <c r="F108" s="72" t="s">
        <v>222</v>
      </c>
      <c r="G108" s="73" t="s">
        <v>183</v>
      </c>
      <c r="H108" s="74">
        <f t="shared" si="14"/>
        <v>118569</v>
      </c>
      <c r="I108" s="74"/>
      <c r="J108" s="74">
        <v>118569</v>
      </c>
      <c r="K108" s="74">
        <v>118569</v>
      </c>
    </row>
    <row r="109" spans="1:11" s="25" customFormat="1" ht="90" x14ac:dyDescent="0.3">
      <c r="A109" s="21" t="s">
        <v>281</v>
      </c>
      <c r="B109" s="21" t="s">
        <v>282</v>
      </c>
      <c r="C109" s="31" t="s">
        <v>21</v>
      </c>
      <c r="D109" s="127" t="s">
        <v>278</v>
      </c>
      <c r="E109" s="108">
        <v>56</v>
      </c>
      <c r="F109" s="87" t="s">
        <v>299</v>
      </c>
      <c r="G109" s="24" t="s">
        <v>301</v>
      </c>
      <c r="H109" s="50">
        <f t="shared" si="14"/>
        <v>37107</v>
      </c>
      <c r="I109" s="50"/>
      <c r="J109" s="50">
        <v>37107</v>
      </c>
      <c r="K109" s="50">
        <v>37107</v>
      </c>
    </row>
    <row r="110" spans="1:11" s="25" customFormat="1" ht="90" x14ac:dyDescent="0.3">
      <c r="A110" s="24">
        <v>1517640</v>
      </c>
      <c r="B110" s="24">
        <v>7640</v>
      </c>
      <c r="C110" s="31" t="s">
        <v>254</v>
      </c>
      <c r="D110" s="127" t="s">
        <v>255</v>
      </c>
      <c r="E110" s="108">
        <v>56</v>
      </c>
      <c r="F110" s="87" t="s">
        <v>299</v>
      </c>
      <c r="G110" s="24" t="s">
        <v>301</v>
      </c>
      <c r="H110" s="50">
        <f t="shared" si="14"/>
        <v>121222</v>
      </c>
      <c r="I110" s="50"/>
      <c r="J110" s="50">
        <v>121222</v>
      </c>
      <c r="K110" s="50">
        <v>121222</v>
      </c>
    </row>
    <row r="111" spans="1:11" s="57" customFormat="1" ht="46.8" x14ac:dyDescent="0.3">
      <c r="A111" s="73">
        <v>1517640</v>
      </c>
      <c r="B111" s="73">
        <v>7640</v>
      </c>
      <c r="C111" s="75" t="s">
        <v>254</v>
      </c>
      <c r="D111" s="76" t="s">
        <v>255</v>
      </c>
      <c r="E111" s="117">
        <v>15</v>
      </c>
      <c r="F111" s="72" t="s">
        <v>283</v>
      </c>
      <c r="G111" s="73" t="s">
        <v>172</v>
      </c>
      <c r="H111" s="74">
        <f t="shared" si="14"/>
        <v>7598869</v>
      </c>
      <c r="I111" s="74"/>
      <c r="J111" s="74">
        <v>7598869</v>
      </c>
      <c r="K111" s="74">
        <v>7598869</v>
      </c>
    </row>
    <row r="112" spans="1:11" s="57" customFormat="1" ht="46.8" x14ac:dyDescent="0.3">
      <c r="A112" s="73">
        <v>1518110</v>
      </c>
      <c r="B112" s="73">
        <v>8110</v>
      </c>
      <c r="C112" s="75" t="s">
        <v>164</v>
      </c>
      <c r="D112" s="76" t="s">
        <v>165</v>
      </c>
      <c r="E112" s="117">
        <v>17</v>
      </c>
      <c r="F112" s="72" t="s">
        <v>155</v>
      </c>
      <c r="G112" s="73" t="s">
        <v>175</v>
      </c>
      <c r="H112" s="74">
        <f t="shared" si="14"/>
        <v>21284778</v>
      </c>
      <c r="I112" s="74"/>
      <c r="J112" s="74">
        <f>22333778-1000000-49000</f>
        <v>21284778</v>
      </c>
      <c r="K112" s="74">
        <f>22333778-1000000-49000</f>
        <v>21284778</v>
      </c>
    </row>
    <row r="113" spans="1:11" s="25" customFormat="1" ht="30" customHeight="1" x14ac:dyDescent="0.3">
      <c r="A113" s="34" t="s">
        <v>39</v>
      </c>
      <c r="B113" s="34"/>
      <c r="C113" s="34"/>
      <c r="D113" s="138" t="s">
        <v>151</v>
      </c>
      <c r="E113" s="138"/>
      <c r="F113" s="138"/>
      <c r="G113" s="35"/>
      <c r="H113" s="49">
        <f>H114</f>
        <v>20118300</v>
      </c>
      <c r="I113" s="49">
        <f>I114</f>
        <v>20118300</v>
      </c>
      <c r="J113" s="49">
        <f>J114</f>
        <v>0</v>
      </c>
      <c r="K113" s="49">
        <f>K114</f>
        <v>0</v>
      </c>
    </row>
    <row r="114" spans="1:11" s="36" customFormat="1" ht="30" customHeight="1" x14ac:dyDescent="0.3">
      <c r="A114" s="34" t="s">
        <v>40</v>
      </c>
      <c r="B114" s="34"/>
      <c r="C114" s="34"/>
      <c r="D114" s="131" t="s">
        <v>151</v>
      </c>
      <c r="E114" s="132"/>
      <c r="F114" s="133"/>
      <c r="G114" s="35"/>
      <c r="H114" s="49">
        <f>SUM(H115:H117)</f>
        <v>20118300</v>
      </c>
      <c r="I114" s="49">
        <f>SUM(I115:I117)</f>
        <v>20118300</v>
      </c>
      <c r="J114" s="49">
        <f>SUM(J115:J117)</f>
        <v>0</v>
      </c>
      <c r="K114" s="49">
        <f>SUM(K115:K117)</f>
        <v>0</v>
      </c>
    </row>
    <row r="115" spans="1:11" s="36" customFormat="1" ht="109.2" x14ac:dyDescent="0.3">
      <c r="A115" s="21" t="s">
        <v>205</v>
      </c>
      <c r="B115" s="21" t="s">
        <v>206</v>
      </c>
      <c r="C115" s="21" t="s">
        <v>194</v>
      </c>
      <c r="D115" s="26" t="s">
        <v>207</v>
      </c>
      <c r="E115" s="108">
        <v>45</v>
      </c>
      <c r="F115" s="26" t="s">
        <v>209</v>
      </c>
      <c r="G115" s="33" t="s">
        <v>236</v>
      </c>
      <c r="H115" s="50">
        <f>I115+J115</f>
        <v>1500000</v>
      </c>
      <c r="I115" s="50">
        <v>1500000</v>
      </c>
      <c r="J115" s="50">
        <f>K115</f>
        <v>0</v>
      </c>
      <c r="K115" s="50"/>
    </row>
    <row r="116" spans="1:11" s="36" customFormat="1" ht="46.8" x14ac:dyDescent="0.3">
      <c r="A116" s="21" t="s">
        <v>41</v>
      </c>
      <c r="B116" s="21" t="s">
        <v>35</v>
      </c>
      <c r="C116" s="21" t="s">
        <v>21</v>
      </c>
      <c r="D116" s="37" t="s">
        <v>53</v>
      </c>
      <c r="E116" s="102">
        <v>51</v>
      </c>
      <c r="F116" s="23" t="s">
        <v>223</v>
      </c>
      <c r="G116" s="24" t="s">
        <v>235</v>
      </c>
      <c r="H116" s="50">
        <f>I116+J116</f>
        <v>18468300</v>
      </c>
      <c r="I116" s="50">
        <f>18281300+187000</f>
        <v>18468300</v>
      </c>
      <c r="J116" s="50"/>
      <c r="K116" s="50"/>
    </row>
    <row r="117" spans="1:11" s="25" customFormat="1" ht="109.2" x14ac:dyDescent="0.3">
      <c r="A117" s="21" t="s">
        <v>190</v>
      </c>
      <c r="B117" s="21" t="s">
        <v>157</v>
      </c>
      <c r="C117" s="21" t="s">
        <v>85</v>
      </c>
      <c r="D117" s="29" t="s">
        <v>158</v>
      </c>
      <c r="E117" s="111">
        <v>52</v>
      </c>
      <c r="F117" s="26" t="s">
        <v>296</v>
      </c>
      <c r="G117" s="24" t="s">
        <v>237</v>
      </c>
      <c r="H117" s="50">
        <f>I117+J117</f>
        <v>150000</v>
      </c>
      <c r="I117" s="50">
        <v>150000</v>
      </c>
      <c r="J117" s="50"/>
      <c r="K117" s="50"/>
    </row>
    <row r="118" spans="1:11" s="25" customFormat="1" ht="15.6" x14ac:dyDescent="0.3">
      <c r="A118" s="34" t="s">
        <v>193</v>
      </c>
      <c r="B118" s="34"/>
      <c r="C118" s="34"/>
      <c r="D118" s="131" t="s">
        <v>191</v>
      </c>
      <c r="E118" s="132"/>
      <c r="F118" s="133"/>
      <c r="G118" s="24"/>
      <c r="H118" s="49">
        <f>H119</f>
        <v>64785281</v>
      </c>
      <c r="I118" s="49">
        <f>I119</f>
        <v>16082514</v>
      </c>
      <c r="J118" s="49">
        <f>J119</f>
        <v>48702767</v>
      </c>
      <c r="K118" s="49">
        <f>K119</f>
        <v>48702767</v>
      </c>
    </row>
    <row r="119" spans="1:11" s="25" customFormat="1" ht="15.6" x14ac:dyDescent="0.3">
      <c r="A119" s="34" t="s">
        <v>192</v>
      </c>
      <c r="B119" s="34"/>
      <c r="C119" s="34"/>
      <c r="D119" s="131" t="s">
        <v>191</v>
      </c>
      <c r="E119" s="132"/>
      <c r="F119" s="133"/>
      <c r="G119" s="24"/>
      <c r="H119" s="49">
        <f>SUM(H120:H129)</f>
        <v>64785281</v>
      </c>
      <c r="I119" s="49">
        <f>SUM(I120:I129)</f>
        <v>16082514</v>
      </c>
      <c r="J119" s="49">
        <f>SUM(J120:J129)</f>
        <v>48702767</v>
      </c>
      <c r="K119" s="49">
        <f>SUM(K120:K129)</f>
        <v>48702767</v>
      </c>
    </row>
    <row r="120" spans="1:11" s="25" customFormat="1" ht="93.6" x14ac:dyDescent="0.3">
      <c r="A120" s="24">
        <v>3719770</v>
      </c>
      <c r="B120" s="62">
        <v>9770</v>
      </c>
      <c r="C120" s="31" t="s">
        <v>128</v>
      </c>
      <c r="D120" s="26" t="s">
        <v>218</v>
      </c>
      <c r="E120" s="118">
        <v>54</v>
      </c>
      <c r="F120" s="23" t="s">
        <v>228</v>
      </c>
      <c r="G120" s="24" t="s">
        <v>244</v>
      </c>
      <c r="H120" s="50">
        <f t="shared" ref="H120:H129" si="15">I120+J120</f>
        <v>1570500</v>
      </c>
      <c r="I120" s="50">
        <f>1261500+309000</f>
        <v>1570500</v>
      </c>
      <c r="J120" s="50"/>
      <c r="K120" s="50"/>
    </row>
    <row r="121" spans="1:11" s="25" customFormat="1" ht="31.2" x14ac:dyDescent="0.3">
      <c r="A121" s="24">
        <v>3719770</v>
      </c>
      <c r="B121" s="62">
        <v>9770</v>
      </c>
      <c r="C121" s="31" t="s">
        <v>128</v>
      </c>
      <c r="D121" s="26" t="s">
        <v>208</v>
      </c>
      <c r="E121" s="108">
        <v>55</v>
      </c>
      <c r="F121" s="26" t="s">
        <v>231</v>
      </c>
      <c r="G121" s="33" t="s">
        <v>245</v>
      </c>
      <c r="H121" s="50">
        <f t="shared" si="15"/>
        <v>300000</v>
      </c>
      <c r="I121" s="50">
        <v>300000</v>
      </c>
      <c r="J121" s="50"/>
      <c r="K121" s="50"/>
    </row>
    <row r="122" spans="1:11" s="25" customFormat="1" ht="46.8" x14ac:dyDescent="0.3">
      <c r="A122" s="24">
        <v>3719770</v>
      </c>
      <c r="B122" s="62">
        <v>9770</v>
      </c>
      <c r="C122" s="31" t="s">
        <v>128</v>
      </c>
      <c r="D122" s="26" t="s">
        <v>218</v>
      </c>
      <c r="E122" s="108">
        <v>14</v>
      </c>
      <c r="F122" s="23" t="s">
        <v>78</v>
      </c>
      <c r="G122" s="24" t="s">
        <v>174</v>
      </c>
      <c r="H122" s="50">
        <f t="shared" si="15"/>
        <v>2237000</v>
      </c>
      <c r="I122" s="50">
        <v>2237000</v>
      </c>
      <c r="J122" s="50"/>
      <c r="K122" s="50"/>
    </row>
    <row r="123" spans="1:11" s="25" customFormat="1" ht="46.8" x14ac:dyDescent="0.3">
      <c r="A123" s="24">
        <v>3719770</v>
      </c>
      <c r="B123" s="62">
        <v>9770</v>
      </c>
      <c r="C123" s="31" t="s">
        <v>128</v>
      </c>
      <c r="D123" s="26" t="s">
        <v>208</v>
      </c>
      <c r="E123" s="120">
        <v>30</v>
      </c>
      <c r="F123" s="23" t="s">
        <v>162</v>
      </c>
      <c r="G123" s="24" t="s">
        <v>188</v>
      </c>
      <c r="H123" s="50">
        <f t="shared" si="15"/>
        <v>300000</v>
      </c>
      <c r="I123" s="50">
        <v>300000</v>
      </c>
      <c r="J123" s="50"/>
      <c r="K123" s="50"/>
    </row>
    <row r="124" spans="1:11" s="25" customFormat="1" ht="62.4" x14ac:dyDescent="0.3">
      <c r="A124" s="24">
        <v>3719770</v>
      </c>
      <c r="B124" s="62">
        <v>9770</v>
      </c>
      <c r="C124" s="31" t="s">
        <v>128</v>
      </c>
      <c r="D124" s="26" t="s">
        <v>208</v>
      </c>
      <c r="E124" s="122">
        <v>50</v>
      </c>
      <c r="F124" s="87" t="s">
        <v>284</v>
      </c>
      <c r="G124" s="24" t="s">
        <v>285</v>
      </c>
      <c r="H124" s="50">
        <f t="shared" si="15"/>
        <v>1800000</v>
      </c>
      <c r="I124" s="50"/>
      <c r="J124" s="50">
        <v>1800000</v>
      </c>
      <c r="K124" s="50">
        <v>1800000</v>
      </c>
    </row>
    <row r="125" spans="1:11" s="25" customFormat="1" ht="109.2" x14ac:dyDescent="0.3">
      <c r="A125" s="21" t="s">
        <v>246</v>
      </c>
      <c r="B125" s="24" t="s">
        <v>247</v>
      </c>
      <c r="C125" s="85" t="s">
        <v>128</v>
      </c>
      <c r="D125" s="86" t="s">
        <v>248</v>
      </c>
      <c r="E125" s="119">
        <v>52</v>
      </c>
      <c r="F125" s="26" t="s">
        <v>296</v>
      </c>
      <c r="G125" s="24" t="s">
        <v>237</v>
      </c>
      <c r="H125" s="50">
        <f t="shared" si="15"/>
        <v>36901381</v>
      </c>
      <c r="I125" s="50">
        <f>190000+1000000+1835334+1000000+2000000+295600+2377680</f>
        <v>8698614</v>
      </c>
      <c r="J125" s="50">
        <f>1300000+6800000+1902000+4750000+1943963+2204400+5202404+4100000</f>
        <v>28202767</v>
      </c>
      <c r="K125" s="50">
        <f>1300000+6800000+1902000+4750000+1943963+2204400+5202404+4100000</f>
        <v>28202767</v>
      </c>
    </row>
    <row r="126" spans="1:11" s="25" customFormat="1" ht="62.4" x14ac:dyDescent="0.3">
      <c r="A126" s="21" t="s">
        <v>246</v>
      </c>
      <c r="B126" s="24" t="s">
        <v>247</v>
      </c>
      <c r="C126" s="85" t="s">
        <v>128</v>
      </c>
      <c r="D126" s="86" t="s">
        <v>248</v>
      </c>
      <c r="E126" s="119">
        <v>50</v>
      </c>
      <c r="F126" s="87" t="s">
        <v>284</v>
      </c>
      <c r="G126" s="24" t="s">
        <v>285</v>
      </c>
      <c r="H126" s="50">
        <f t="shared" si="15"/>
        <v>16200000</v>
      </c>
      <c r="I126" s="50"/>
      <c r="J126" s="50">
        <f>5000000+3200000+8000000</f>
        <v>16200000</v>
      </c>
      <c r="K126" s="50">
        <f>5000000+3200000+8000000</f>
        <v>16200000</v>
      </c>
    </row>
    <row r="127" spans="1:11" s="25" customFormat="1" ht="46.8" x14ac:dyDescent="0.3">
      <c r="A127" s="21" t="s">
        <v>246</v>
      </c>
      <c r="B127" s="24" t="s">
        <v>247</v>
      </c>
      <c r="C127" s="85" t="s">
        <v>128</v>
      </c>
      <c r="D127" s="86" t="s">
        <v>248</v>
      </c>
      <c r="E127" s="119">
        <v>57</v>
      </c>
      <c r="F127" s="87" t="s">
        <v>286</v>
      </c>
      <c r="G127" s="24" t="s">
        <v>289</v>
      </c>
      <c r="H127" s="50">
        <f t="shared" si="15"/>
        <v>2000000</v>
      </c>
      <c r="I127" s="50">
        <v>2000000</v>
      </c>
      <c r="J127" s="50"/>
      <c r="K127" s="50"/>
    </row>
    <row r="128" spans="1:11" s="25" customFormat="1" ht="46.8" x14ac:dyDescent="0.3">
      <c r="A128" s="21" t="s">
        <v>246</v>
      </c>
      <c r="B128" s="24" t="s">
        <v>247</v>
      </c>
      <c r="C128" s="85" t="s">
        <v>128</v>
      </c>
      <c r="D128" s="86" t="s">
        <v>248</v>
      </c>
      <c r="E128" s="119">
        <v>58</v>
      </c>
      <c r="F128" s="87" t="s">
        <v>287</v>
      </c>
      <c r="G128" s="24" t="s">
        <v>290</v>
      </c>
      <c r="H128" s="50">
        <f t="shared" si="15"/>
        <v>2526400</v>
      </c>
      <c r="I128" s="50">
        <f>950000+26400</f>
        <v>976400</v>
      </c>
      <c r="J128" s="50">
        <v>1550000</v>
      </c>
      <c r="K128" s="50">
        <v>1550000</v>
      </c>
    </row>
    <row r="129" spans="1:12" s="25" customFormat="1" ht="46.8" x14ac:dyDescent="0.3">
      <c r="A129" s="21" t="s">
        <v>246</v>
      </c>
      <c r="B129" s="24" t="s">
        <v>247</v>
      </c>
      <c r="C129" s="85" t="s">
        <v>128</v>
      </c>
      <c r="D129" s="86" t="s">
        <v>248</v>
      </c>
      <c r="E129" s="120">
        <v>17</v>
      </c>
      <c r="F129" s="23" t="s">
        <v>163</v>
      </c>
      <c r="G129" s="24" t="s">
        <v>175</v>
      </c>
      <c r="H129" s="50">
        <f t="shared" si="15"/>
        <v>950000</v>
      </c>
      <c r="I129" s="50"/>
      <c r="J129" s="50">
        <v>950000</v>
      </c>
      <c r="K129" s="50">
        <v>950000</v>
      </c>
    </row>
    <row r="130" spans="1:12" s="100" customFormat="1" ht="18" x14ac:dyDescent="0.35">
      <c r="A130" s="99"/>
      <c r="B130" s="99"/>
      <c r="C130" s="99"/>
      <c r="D130" s="135" t="s">
        <v>232</v>
      </c>
      <c r="E130" s="136"/>
      <c r="F130" s="137"/>
      <c r="G130" s="99"/>
      <c r="H130" s="82">
        <f>H16+H31+H47+H61+H64+H73+H81+H99+H113+H118</f>
        <v>550114909.88</v>
      </c>
      <c r="I130" s="82">
        <f>I16+I31+I47+I61+I64+I73+I81+I99+I113+I118</f>
        <v>323851806.63999999</v>
      </c>
      <c r="J130" s="82">
        <f>J16+J31+J47+J61+J64+J73+J81+J99+J113+J118</f>
        <v>226263103.24000001</v>
      </c>
      <c r="K130" s="82">
        <f>K16+K31+K47+K61+K64+K73+K81+K99+K113+K118</f>
        <v>225057300.36000001</v>
      </c>
    </row>
    <row r="131" spans="1:12" s="36" customFormat="1" ht="46.8" x14ac:dyDescent="0.3">
      <c r="A131" s="24">
        <v>1</v>
      </c>
      <c r="B131" s="63"/>
      <c r="C131" s="63"/>
      <c r="D131" s="64"/>
      <c r="E131" s="120">
        <v>1</v>
      </c>
      <c r="F131" s="23" t="s">
        <v>28</v>
      </c>
      <c r="G131" s="24" t="s">
        <v>181</v>
      </c>
      <c r="H131" s="50">
        <f>H44</f>
        <v>360000</v>
      </c>
      <c r="I131" s="50">
        <f>I44</f>
        <v>360000</v>
      </c>
      <c r="J131" s="50"/>
      <c r="K131" s="50"/>
    </row>
    <row r="132" spans="1:12" s="25" customFormat="1" ht="46.8" x14ac:dyDescent="0.3">
      <c r="A132" s="24">
        <v>2</v>
      </c>
      <c r="B132" s="63"/>
      <c r="C132" s="63"/>
      <c r="D132" s="64"/>
      <c r="E132" s="120">
        <v>5</v>
      </c>
      <c r="F132" s="23" t="s">
        <v>222</v>
      </c>
      <c r="G132" s="24" t="s">
        <v>183</v>
      </c>
      <c r="H132" s="50">
        <f>H85+H87+H90+H92+H93+H102+H105+H108</f>
        <v>133663486</v>
      </c>
      <c r="I132" s="50">
        <f>I85+I87+I90+I92+I93+I102+I105+I108</f>
        <v>101417009</v>
      </c>
      <c r="J132" s="50">
        <f>J85+J87+J90+J92+J93+J102+J105+J108</f>
        <v>32246477</v>
      </c>
      <c r="K132" s="50">
        <f>K85+K87+K90+K92+K93+K102+K105+K108</f>
        <v>32246477</v>
      </c>
    </row>
    <row r="133" spans="1:12" s="25" customFormat="1" ht="46.8" x14ac:dyDescent="0.3">
      <c r="A133" s="24">
        <v>3</v>
      </c>
      <c r="B133" s="63"/>
      <c r="C133" s="63"/>
      <c r="D133" s="64"/>
      <c r="E133" s="120">
        <v>9</v>
      </c>
      <c r="F133" s="23" t="s">
        <v>210</v>
      </c>
      <c r="G133" s="24" t="s">
        <v>204</v>
      </c>
      <c r="H133" s="50">
        <f>H88+H103</f>
        <v>23715217</v>
      </c>
      <c r="I133" s="50">
        <f>I88+I103</f>
        <v>300000</v>
      </c>
      <c r="J133" s="50">
        <f>J88+J103</f>
        <v>23415217</v>
      </c>
      <c r="K133" s="50">
        <f>K88+K103</f>
        <v>23415217</v>
      </c>
    </row>
    <row r="134" spans="1:12" s="25" customFormat="1" ht="62.4" x14ac:dyDescent="0.3">
      <c r="A134" s="24">
        <v>4</v>
      </c>
      <c r="B134" s="63"/>
      <c r="C134" s="63"/>
      <c r="D134" s="64"/>
      <c r="E134" s="120">
        <v>13</v>
      </c>
      <c r="F134" s="23" t="s">
        <v>91</v>
      </c>
      <c r="G134" s="24" t="s">
        <v>182</v>
      </c>
      <c r="H134" s="50">
        <f>H23+H50+H60+H33</f>
        <v>14115300</v>
      </c>
      <c r="I134" s="50">
        <f>I23+I50+I60+I33</f>
        <v>14115300</v>
      </c>
      <c r="J134" s="50">
        <f>J23+J50+J60+J33</f>
        <v>0</v>
      </c>
      <c r="K134" s="50">
        <f>K23+K50+K60+K33</f>
        <v>0</v>
      </c>
    </row>
    <row r="135" spans="1:12" s="25" customFormat="1" ht="46.8" x14ac:dyDescent="0.3">
      <c r="A135" s="24">
        <v>5</v>
      </c>
      <c r="B135" s="63"/>
      <c r="C135" s="63"/>
      <c r="D135" s="64"/>
      <c r="E135" s="120">
        <v>14</v>
      </c>
      <c r="F135" s="23" t="s">
        <v>78</v>
      </c>
      <c r="G135" s="24" t="s">
        <v>174</v>
      </c>
      <c r="H135" s="50">
        <f>H22+H45+H49+H51+H53+H54+H55+H56+H57+H58+H59+H63+H122</f>
        <v>52416000</v>
      </c>
      <c r="I135" s="50">
        <f>I22+I45+I49+I51+I53+I54+I55+I56+I57+I58+I59+I63+I122</f>
        <v>52416000</v>
      </c>
      <c r="J135" s="50">
        <f>J22+J45+J49+J51+J53+J54+J55+J56+J57+J58+J59+J63+J122</f>
        <v>0</v>
      </c>
      <c r="K135" s="50">
        <f>K22+K45+K49+K51+K53+K54+K55+K56+K57+K58+K59+K63+K122</f>
        <v>0</v>
      </c>
    </row>
    <row r="136" spans="1:12" s="25" customFormat="1" ht="46.8" x14ac:dyDescent="0.3">
      <c r="A136" s="24">
        <v>6</v>
      </c>
      <c r="B136" s="63"/>
      <c r="C136" s="63"/>
      <c r="D136" s="81"/>
      <c r="E136" s="120">
        <v>15</v>
      </c>
      <c r="F136" s="23" t="s">
        <v>229</v>
      </c>
      <c r="G136" s="24" t="s">
        <v>172</v>
      </c>
      <c r="H136" s="50">
        <f>H18+H19+H20+H21+H24+H101+H111</f>
        <v>59134405</v>
      </c>
      <c r="I136" s="50">
        <f t="shared" ref="I136:K136" si="16">I18+I19+I20+I21+I24+I101+I111</f>
        <v>45070219</v>
      </c>
      <c r="J136" s="50">
        <f t="shared" si="16"/>
        <v>14064186</v>
      </c>
      <c r="K136" s="50">
        <f t="shared" si="16"/>
        <v>14064186</v>
      </c>
      <c r="L136" s="47"/>
    </row>
    <row r="137" spans="1:12" s="25" customFormat="1" ht="46.8" x14ac:dyDescent="0.3">
      <c r="A137" s="24">
        <v>7</v>
      </c>
      <c r="B137" s="63"/>
      <c r="C137" s="63"/>
      <c r="D137" s="81"/>
      <c r="E137" s="120">
        <v>16</v>
      </c>
      <c r="F137" s="23" t="s">
        <v>119</v>
      </c>
      <c r="G137" s="24" t="s">
        <v>176</v>
      </c>
      <c r="H137" s="50">
        <f>H34+H36+H40</f>
        <v>22299283</v>
      </c>
      <c r="I137" s="50">
        <f t="shared" ref="I137:K137" si="17">I34+I36+I40</f>
        <v>15715800</v>
      </c>
      <c r="J137" s="50">
        <f t="shared" si="17"/>
        <v>6583483</v>
      </c>
      <c r="K137" s="50">
        <f t="shared" si="17"/>
        <v>6583483</v>
      </c>
      <c r="L137" s="47"/>
    </row>
    <row r="138" spans="1:12" s="25" customFormat="1" ht="46.8" x14ac:dyDescent="0.3">
      <c r="A138" s="24">
        <v>8</v>
      </c>
      <c r="B138" s="63"/>
      <c r="C138" s="63"/>
      <c r="D138" s="64"/>
      <c r="E138" s="120">
        <v>17</v>
      </c>
      <c r="F138" s="23" t="s">
        <v>163</v>
      </c>
      <c r="G138" s="24" t="s">
        <v>175</v>
      </c>
      <c r="H138" s="50">
        <f>H25+H46+H96+H106+H112+H129</f>
        <v>65331708</v>
      </c>
      <c r="I138" s="50">
        <f>I25+I46+I96+I106+I112+I129</f>
        <v>2794462.64</v>
      </c>
      <c r="J138" s="50">
        <f>J25+J46+J96+J106+J112+J129</f>
        <v>62537245.359999999</v>
      </c>
      <c r="K138" s="50">
        <f>K25+K46+K96+K106+K112+K129</f>
        <v>62537245.359999999</v>
      </c>
      <c r="L138" s="47"/>
    </row>
    <row r="139" spans="1:12" s="25" customFormat="1" ht="124.8" x14ac:dyDescent="0.3">
      <c r="A139" s="24">
        <v>9</v>
      </c>
      <c r="B139" s="63"/>
      <c r="C139" s="63"/>
      <c r="D139" s="64"/>
      <c r="E139" s="121">
        <v>18</v>
      </c>
      <c r="F139" s="32" t="s">
        <v>198</v>
      </c>
      <c r="G139" s="24" t="s">
        <v>199</v>
      </c>
      <c r="H139" s="50">
        <f>H26</f>
        <v>786030</v>
      </c>
      <c r="I139" s="50">
        <f>I26</f>
        <v>786030</v>
      </c>
      <c r="J139" s="50">
        <f>J26</f>
        <v>0</v>
      </c>
      <c r="K139" s="50">
        <f>K26</f>
        <v>0</v>
      </c>
      <c r="L139" s="47"/>
    </row>
    <row r="140" spans="1:12" s="25" customFormat="1" ht="62.4" x14ac:dyDescent="0.3">
      <c r="A140" s="24">
        <v>10</v>
      </c>
      <c r="B140" s="63"/>
      <c r="C140" s="63"/>
      <c r="D140" s="64"/>
      <c r="E140" s="120">
        <v>20</v>
      </c>
      <c r="F140" s="72" t="s">
        <v>280</v>
      </c>
      <c r="G140" s="73" t="s">
        <v>279</v>
      </c>
      <c r="H140" s="50">
        <f>H107</f>
        <v>27585022</v>
      </c>
      <c r="I140" s="50">
        <f>I107</f>
        <v>0</v>
      </c>
      <c r="J140" s="50">
        <f>J107</f>
        <v>27585022</v>
      </c>
      <c r="K140" s="50">
        <f>K107</f>
        <v>27585022</v>
      </c>
      <c r="L140" s="47"/>
    </row>
    <row r="141" spans="1:12" s="25" customFormat="1" ht="46.8" x14ac:dyDescent="0.3">
      <c r="A141" s="24">
        <v>11</v>
      </c>
      <c r="B141" s="63"/>
      <c r="C141" s="63"/>
      <c r="D141" s="64"/>
      <c r="E141" s="121">
        <v>23</v>
      </c>
      <c r="F141" s="32" t="s">
        <v>159</v>
      </c>
      <c r="G141" s="24" t="s">
        <v>161</v>
      </c>
      <c r="H141" s="50">
        <f>H37</f>
        <v>200000</v>
      </c>
      <c r="I141" s="50">
        <f>I37</f>
        <v>200000</v>
      </c>
      <c r="J141" s="50"/>
      <c r="K141" s="50"/>
      <c r="L141" s="47"/>
    </row>
    <row r="142" spans="1:12" s="25" customFormat="1" ht="46.8" x14ac:dyDescent="0.3">
      <c r="A142" s="24">
        <v>12</v>
      </c>
      <c r="B142" s="63"/>
      <c r="C142" s="63"/>
      <c r="D142" s="64"/>
      <c r="E142" s="120">
        <v>25</v>
      </c>
      <c r="F142" s="44" t="s">
        <v>170</v>
      </c>
      <c r="G142" s="24" t="s">
        <v>212</v>
      </c>
      <c r="H142" s="50">
        <f>H43+H68</f>
        <v>4289500</v>
      </c>
      <c r="I142" s="50">
        <f>I43+I68</f>
        <v>4289500</v>
      </c>
      <c r="J142" s="50">
        <f>J43+J68</f>
        <v>0</v>
      </c>
      <c r="K142" s="50">
        <f>K43+K68</f>
        <v>0</v>
      </c>
      <c r="L142" s="47"/>
    </row>
    <row r="143" spans="1:12" s="25" customFormat="1" ht="46.8" x14ac:dyDescent="0.3">
      <c r="A143" s="24">
        <v>13</v>
      </c>
      <c r="B143" s="63"/>
      <c r="C143" s="63"/>
      <c r="D143" s="64"/>
      <c r="E143" s="120">
        <v>28</v>
      </c>
      <c r="F143" s="44" t="s">
        <v>149</v>
      </c>
      <c r="G143" s="28" t="s">
        <v>200</v>
      </c>
      <c r="H143" s="50">
        <f>H66+H67+H69+H70+H71+H72</f>
        <v>1450000</v>
      </c>
      <c r="I143" s="50">
        <f>I66+I67+I69+I70+I71+I72</f>
        <v>1175000</v>
      </c>
      <c r="J143" s="50">
        <f>J66+J67+J69+J70+J71+J72</f>
        <v>275000</v>
      </c>
      <c r="K143" s="50">
        <f>K66+K67+K69+K70+K71+K72</f>
        <v>0</v>
      </c>
      <c r="L143" s="47"/>
    </row>
    <row r="144" spans="1:12" s="25" customFormat="1" ht="46.8" x14ac:dyDescent="0.3">
      <c r="A144" s="24">
        <v>14</v>
      </c>
      <c r="B144" s="63"/>
      <c r="C144" s="63"/>
      <c r="D144" s="64"/>
      <c r="E144" s="120">
        <v>29</v>
      </c>
      <c r="F144" s="23" t="s">
        <v>171</v>
      </c>
      <c r="G144" s="24" t="s">
        <v>201</v>
      </c>
      <c r="H144" s="50">
        <f>H52+H75+H77</f>
        <v>1151000</v>
      </c>
      <c r="I144" s="50">
        <f>I52+I75+I77</f>
        <v>1151000</v>
      </c>
      <c r="J144" s="50">
        <f>J52+J75+J77</f>
        <v>0</v>
      </c>
      <c r="K144" s="50">
        <f>K52+K75+K77</f>
        <v>0</v>
      </c>
      <c r="L144" s="47"/>
    </row>
    <row r="145" spans="1:12" s="25" customFormat="1" ht="46.8" x14ac:dyDescent="0.3">
      <c r="A145" s="24">
        <v>15</v>
      </c>
      <c r="B145" s="63"/>
      <c r="C145" s="63"/>
      <c r="D145" s="64"/>
      <c r="E145" s="120">
        <v>30</v>
      </c>
      <c r="F145" s="23" t="s">
        <v>162</v>
      </c>
      <c r="G145" s="24" t="s">
        <v>188</v>
      </c>
      <c r="H145" s="50">
        <f>H39+H41+H42+H76+H78+H79+H80+H123</f>
        <v>3682370</v>
      </c>
      <c r="I145" s="50">
        <f>I39+I41+I42+I76+I78+I79+I80+I123</f>
        <v>3682370</v>
      </c>
      <c r="J145" s="50">
        <f>J39+J41+J76+J78+J79+J80+J123</f>
        <v>0</v>
      </c>
      <c r="K145" s="50">
        <f>K39+K41+K76+K78+K79+K80+K123</f>
        <v>0</v>
      </c>
    </row>
    <row r="146" spans="1:12" s="25" customFormat="1" ht="62.4" x14ac:dyDescent="0.3">
      <c r="A146" s="24">
        <v>16</v>
      </c>
      <c r="B146" s="63"/>
      <c r="C146" s="63"/>
      <c r="D146" s="64"/>
      <c r="E146" s="120">
        <v>32</v>
      </c>
      <c r="F146" s="23" t="s">
        <v>186</v>
      </c>
      <c r="G146" s="24" t="s">
        <v>185</v>
      </c>
      <c r="H146" s="50">
        <f>H38</f>
        <v>15000</v>
      </c>
      <c r="I146" s="50">
        <f>I38</f>
        <v>15000</v>
      </c>
      <c r="J146" s="50">
        <f>J38</f>
        <v>0</v>
      </c>
      <c r="K146" s="50">
        <f>K38</f>
        <v>0</v>
      </c>
    </row>
    <row r="147" spans="1:12" s="25" customFormat="1" ht="62.4" x14ac:dyDescent="0.3">
      <c r="A147" s="24">
        <v>17</v>
      </c>
      <c r="B147" s="63"/>
      <c r="C147" s="63"/>
      <c r="D147" s="64"/>
      <c r="E147" s="121">
        <v>36</v>
      </c>
      <c r="F147" s="32" t="s">
        <v>189</v>
      </c>
      <c r="G147" s="24" t="s">
        <v>202</v>
      </c>
      <c r="H147" s="50">
        <f>H27</f>
        <v>2170600</v>
      </c>
      <c r="I147" s="50">
        <f>I27</f>
        <v>1979800</v>
      </c>
      <c r="J147" s="50">
        <f>J27</f>
        <v>190800</v>
      </c>
      <c r="K147" s="50">
        <f>K27</f>
        <v>190800</v>
      </c>
      <c r="L147" s="47"/>
    </row>
    <row r="148" spans="1:12" s="25" customFormat="1" ht="78" x14ac:dyDescent="0.3">
      <c r="A148" s="24">
        <v>18</v>
      </c>
      <c r="B148" s="63"/>
      <c r="C148" s="63"/>
      <c r="D148" s="64"/>
      <c r="E148" s="120">
        <v>40</v>
      </c>
      <c r="F148" s="72" t="s">
        <v>259</v>
      </c>
      <c r="G148" s="24" t="s">
        <v>260</v>
      </c>
      <c r="H148" s="50">
        <f>H84+H89+H94</f>
        <v>5808028.8799999999</v>
      </c>
      <c r="I148" s="50">
        <f>I84+I89+I94</f>
        <v>0</v>
      </c>
      <c r="J148" s="50">
        <f>J84+J89+J94</f>
        <v>5808028.8799999999</v>
      </c>
      <c r="K148" s="50">
        <f>K84+K89+K94</f>
        <v>5227226</v>
      </c>
      <c r="L148" s="47"/>
    </row>
    <row r="149" spans="1:12" s="25" customFormat="1" ht="109.2" x14ac:dyDescent="0.3">
      <c r="A149" s="24">
        <v>19</v>
      </c>
      <c r="B149" s="63"/>
      <c r="C149" s="63"/>
      <c r="D149" s="64"/>
      <c r="E149" s="120">
        <v>45</v>
      </c>
      <c r="F149" s="26" t="s">
        <v>209</v>
      </c>
      <c r="G149" s="33" t="s">
        <v>236</v>
      </c>
      <c r="H149" s="50">
        <f>I149+J149</f>
        <v>1500000</v>
      </c>
      <c r="I149" s="50">
        <v>1500000</v>
      </c>
      <c r="J149" s="50">
        <f>K149</f>
        <v>0</v>
      </c>
      <c r="K149" s="50"/>
      <c r="L149" s="47"/>
    </row>
    <row r="150" spans="1:12" s="25" customFormat="1" ht="62.4" x14ac:dyDescent="0.3">
      <c r="A150" s="24">
        <v>20</v>
      </c>
      <c r="B150" s="63"/>
      <c r="C150" s="63"/>
      <c r="D150" s="64"/>
      <c r="E150" s="122">
        <v>50</v>
      </c>
      <c r="F150" s="87" t="s">
        <v>284</v>
      </c>
      <c r="G150" s="24" t="s">
        <v>285</v>
      </c>
      <c r="H150" s="50">
        <f>H124+H126</f>
        <v>18000000</v>
      </c>
      <c r="I150" s="50">
        <f>I124+I126</f>
        <v>0</v>
      </c>
      <c r="J150" s="50">
        <f>J124+J126</f>
        <v>18000000</v>
      </c>
      <c r="K150" s="50">
        <f>K124+K126</f>
        <v>18000000</v>
      </c>
      <c r="L150" s="47"/>
    </row>
    <row r="151" spans="1:12" s="25" customFormat="1" ht="46.8" x14ac:dyDescent="0.3">
      <c r="A151" s="24">
        <v>21</v>
      </c>
      <c r="B151" s="63"/>
      <c r="C151" s="63"/>
      <c r="D151" s="64"/>
      <c r="E151" s="120">
        <v>51</v>
      </c>
      <c r="F151" s="44" t="s">
        <v>223</v>
      </c>
      <c r="G151" s="24" t="s">
        <v>235</v>
      </c>
      <c r="H151" s="50">
        <f>H95+H116</f>
        <v>62639402</v>
      </c>
      <c r="I151" s="50">
        <f>I95+I116</f>
        <v>62639402</v>
      </c>
      <c r="J151" s="50">
        <f>J95+J116</f>
        <v>0</v>
      </c>
      <c r="K151" s="50">
        <f>K95+K116</f>
        <v>0</v>
      </c>
      <c r="L151" s="47"/>
    </row>
    <row r="152" spans="1:12" s="25" customFormat="1" ht="120" customHeight="1" x14ac:dyDescent="0.3">
      <c r="A152" s="24">
        <v>22</v>
      </c>
      <c r="B152" s="63"/>
      <c r="C152" s="63"/>
      <c r="D152" s="64"/>
      <c r="E152" s="121">
        <v>52</v>
      </c>
      <c r="F152" s="26" t="s">
        <v>296</v>
      </c>
      <c r="G152" s="24" t="s">
        <v>308</v>
      </c>
      <c r="H152" s="50">
        <f>I152+J152</f>
        <v>69736449</v>
      </c>
      <c r="I152" s="50">
        <f>I28+I29+I97+I117+I125+30889168</f>
        <v>40257182</v>
      </c>
      <c r="J152" s="50">
        <f>J28+J29+J97+J117+J125</f>
        <v>29479267</v>
      </c>
      <c r="K152" s="50">
        <f>K28+K29+K97+K117+K125</f>
        <v>29479267</v>
      </c>
      <c r="L152" s="47"/>
    </row>
    <row r="153" spans="1:12" s="25" customFormat="1" ht="46.8" x14ac:dyDescent="0.3">
      <c r="A153" s="24">
        <v>23</v>
      </c>
      <c r="B153" s="63"/>
      <c r="C153" s="63"/>
      <c r="D153" s="64"/>
      <c r="E153" s="121">
        <v>53</v>
      </c>
      <c r="F153" s="32" t="s">
        <v>238</v>
      </c>
      <c r="G153" s="24" t="s">
        <v>239</v>
      </c>
      <c r="H153" s="50">
        <f>H83</f>
        <v>30000</v>
      </c>
      <c r="I153" s="50">
        <f>I83</f>
        <v>30000</v>
      </c>
      <c r="J153" s="50">
        <f>J83</f>
        <v>0</v>
      </c>
      <c r="K153" s="50">
        <f>K83</f>
        <v>0</v>
      </c>
      <c r="L153" s="47"/>
    </row>
    <row r="154" spans="1:12" s="25" customFormat="1" ht="93.6" x14ac:dyDescent="0.3">
      <c r="A154" s="24">
        <v>24</v>
      </c>
      <c r="B154" s="63"/>
      <c r="C154" s="63"/>
      <c r="D154" s="64"/>
      <c r="E154" s="120">
        <v>54</v>
      </c>
      <c r="F154" s="23" t="s">
        <v>228</v>
      </c>
      <c r="G154" s="24" t="s">
        <v>244</v>
      </c>
      <c r="H154" s="50">
        <f t="shared" ref="H154:K155" si="18">H120</f>
        <v>1570500</v>
      </c>
      <c r="I154" s="50">
        <f t="shared" si="18"/>
        <v>1570500</v>
      </c>
      <c r="J154" s="50">
        <f t="shared" si="18"/>
        <v>0</v>
      </c>
      <c r="K154" s="50">
        <f t="shared" si="18"/>
        <v>0</v>
      </c>
      <c r="L154" s="47"/>
    </row>
    <row r="155" spans="1:12" s="25" customFormat="1" ht="31.2" x14ac:dyDescent="0.3">
      <c r="A155" s="24">
        <v>25</v>
      </c>
      <c r="B155" s="63"/>
      <c r="C155" s="63"/>
      <c r="D155" s="64"/>
      <c r="E155" s="120">
        <v>55</v>
      </c>
      <c r="F155" s="26" t="s">
        <v>230</v>
      </c>
      <c r="G155" s="33" t="s">
        <v>245</v>
      </c>
      <c r="H155" s="50">
        <f t="shared" si="18"/>
        <v>300000</v>
      </c>
      <c r="I155" s="50">
        <f t="shared" si="18"/>
        <v>300000</v>
      </c>
      <c r="J155" s="50">
        <f t="shared" si="18"/>
        <v>0</v>
      </c>
      <c r="K155" s="50">
        <f t="shared" si="18"/>
        <v>0</v>
      </c>
      <c r="L155" s="47"/>
    </row>
    <row r="156" spans="1:12" s="25" customFormat="1" ht="46.8" x14ac:dyDescent="0.3">
      <c r="A156" s="24">
        <v>26</v>
      </c>
      <c r="B156" s="63"/>
      <c r="C156" s="63"/>
      <c r="D156" s="64"/>
      <c r="E156" s="122">
        <v>57</v>
      </c>
      <c r="F156" s="87" t="s">
        <v>286</v>
      </c>
      <c r="G156" s="24" t="s">
        <v>289</v>
      </c>
      <c r="H156" s="50">
        <f>H127</f>
        <v>2000000</v>
      </c>
      <c r="I156" s="50">
        <f t="shared" ref="I156:K156" si="19">I127</f>
        <v>2000000</v>
      </c>
      <c r="J156" s="50">
        <f t="shared" si="19"/>
        <v>0</v>
      </c>
      <c r="K156" s="50">
        <f t="shared" si="19"/>
        <v>0</v>
      </c>
      <c r="L156" s="47"/>
    </row>
    <row r="157" spans="1:12" s="25" customFormat="1" ht="46.8" x14ac:dyDescent="0.3">
      <c r="A157" s="24">
        <v>27</v>
      </c>
      <c r="B157" s="63"/>
      <c r="C157" s="63"/>
      <c r="D157" s="64"/>
      <c r="E157" s="122">
        <v>58</v>
      </c>
      <c r="F157" s="87" t="s">
        <v>287</v>
      </c>
      <c r="G157" s="24" t="s">
        <v>290</v>
      </c>
      <c r="H157" s="50">
        <f>H128</f>
        <v>2526400</v>
      </c>
      <c r="I157" s="50">
        <f t="shared" ref="I157:K157" si="20">I128</f>
        <v>976400</v>
      </c>
      <c r="J157" s="50">
        <f t="shared" si="20"/>
        <v>1550000</v>
      </c>
      <c r="K157" s="50">
        <f t="shared" si="20"/>
        <v>1550000</v>
      </c>
      <c r="L157" s="47"/>
    </row>
    <row r="158" spans="1:12" s="25" customFormat="1" ht="90" x14ac:dyDescent="0.3">
      <c r="A158" s="24">
        <v>28</v>
      </c>
      <c r="B158" s="63"/>
      <c r="C158" s="63"/>
      <c r="D158" s="64"/>
      <c r="E158" s="122">
        <v>56</v>
      </c>
      <c r="F158" s="87" t="s">
        <v>299</v>
      </c>
      <c r="G158" s="24" t="s">
        <v>301</v>
      </c>
      <c r="H158" s="50">
        <f>H30+H35+H98+H104+H109+H110</f>
        <v>3003202</v>
      </c>
      <c r="I158" s="50">
        <f>I30+I35+I98+I104+I109+I110</f>
        <v>0</v>
      </c>
      <c r="J158" s="50">
        <f>J30+J35+J98+J104+J109+J110</f>
        <v>3003202</v>
      </c>
      <c r="K158" s="50">
        <f>K30+K35+K98+K104+K109+K110</f>
        <v>2653202</v>
      </c>
      <c r="L158" s="47"/>
    </row>
    <row r="159" spans="1:12" s="25" customFormat="1" ht="105.6" x14ac:dyDescent="0.3">
      <c r="A159" s="24">
        <v>29</v>
      </c>
      <c r="B159" s="63"/>
      <c r="C159" s="63"/>
      <c r="D159" s="64"/>
      <c r="E159" s="122">
        <v>59</v>
      </c>
      <c r="F159" s="87" t="s">
        <v>300</v>
      </c>
      <c r="G159" s="24" t="s">
        <v>302</v>
      </c>
      <c r="H159" s="50">
        <f>H86</f>
        <v>325175</v>
      </c>
      <c r="I159" s="50">
        <f>I86</f>
        <v>0</v>
      </c>
      <c r="J159" s="50">
        <f>J86</f>
        <v>325175</v>
      </c>
      <c r="K159" s="50">
        <f>K86</f>
        <v>325175</v>
      </c>
      <c r="L159" s="47"/>
    </row>
    <row r="160" spans="1:12" s="25" customFormat="1" ht="78" x14ac:dyDescent="0.3">
      <c r="A160" s="24">
        <v>30</v>
      </c>
      <c r="B160" s="63"/>
      <c r="C160" s="63"/>
      <c r="D160" s="64"/>
      <c r="E160" s="120"/>
      <c r="F160" s="86" t="s">
        <v>316</v>
      </c>
      <c r="G160" s="24" t="s">
        <v>317</v>
      </c>
      <c r="H160" s="50">
        <f>H91</f>
        <v>1200000</v>
      </c>
      <c r="I160" s="50">
        <f t="shared" ref="I160:K160" si="21">I91</f>
        <v>0</v>
      </c>
      <c r="J160" s="50">
        <f t="shared" si="21"/>
        <v>1200000</v>
      </c>
      <c r="K160" s="50">
        <f t="shared" si="21"/>
        <v>1200000</v>
      </c>
      <c r="L160" s="47"/>
    </row>
    <row r="161" spans="1:12" s="84" customFormat="1" ht="17.399999999999999" x14ac:dyDescent="0.3">
      <c r="A161" s="135" t="s">
        <v>233</v>
      </c>
      <c r="B161" s="136"/>
      <c r="C161" s="136"/>
      <c r="D161" s="136"/>
      <c r="E161" s="136"/>
      <c r="F161" s="136"/>
      <c r="G161" s="137"/>
      <c r="H161" s="82">
        <f>I161+J161</f>
        <v>581004077.88</v>
      </c>
      <c r="I161" s="82">
        <f>SUM(I131:I160)</f>
        <v>354740974.63999999</v>
      </c>
      <c r="J161" s="82">
        <f t="shared" ref="J161:K161" si="22">SUM(J131:J160)</f>
        <v>226263103.24000001</v>
      </c>
      <c r="K161" s="82">
        <f t="shared" si="22"/>
        <v>225057300.36000001</v>
      </c>
      <c r="L161" s="83"/>
    </row>
    <row r="162" spans="1:12" s="25" customFormat="1" ht="15.6" x14ac:dyDescent="0.3">
      <c r="A162" s="39"/>
      <c r="B162" s="48"/>
      <c r="C162" s="39"/>
      <c r="D162" s="25" t="s">
        <v>219</v>
      </c>
      <c r="E162" s="36"/>
      <c r="F162" s="20"/>
      <c r="G162" s="48" t="s">
        <v>220</v>
      </c>
      <c r="H162" s="48"/>
      <c r="I162" s="48"/>
      <c r="J162" s="48"/>
      <c r="K162" s="48"/>
      <c r="L162" s="47"/>
    </row>
    <row r="163" spans="1:12" s="25" customFormat="1" ht="15.6" x14ac:dyDescent="0.3">
      <c r="A163" s="17"/>
      <c r="B163" s="1"/>
      <c r="C163" s="17"/>
      <c r="D163" s="2"/>
      <c r="E163" s="90"/>
      <c r="F163" s="20"/>
      <c r="G163" s="1"/>
      <c r="H163" s="52"/>
      <c r="I163" s="52"/>
      <c r="J163" s="52"/>
      <c r="K163" s="52"/>
    </row>
    <row r="164" spans="1:12" ht="15.6" x14ac:dyDescent="0.3">
      <c r="F164" s="20"/>
      <c r="H164" s="52"/>
      <c r="I164" s="52"/>
      <c r="J164" s="52"/>
      <c r="K164" s="52"/>
    </row>
    <row r="165" spans="1:12" x14ac:dyDescent="0.3">
      <c r="B165" s="17"/>
    </row>
    <row r="166" spans="1:12" s="90" customFormat="1" x14ac:dyDescent="0.3">
      <c r="A166" s="88"/>
      <c r="B166" s="89"/>
      <c r="C166" s="88"/>
      <c r="F166" s="134"/>
      <c r="G166" s="134"/>
      <c r="H166" s="130"/>
      <c r="I166" s="130"/>
      <c r="J166" s="91"/>
      <c r="K166" s="91"/>
    </row>
    <row r="167" spans="1:12" s="90" customFormat="1" x14ac:dyDescent="0.3">
      <c r="A167" s="88"/>
      <c r="B167" s="89"/>
      <c r="C167" s="88"/>
      <c r="F167" s="134"/>
      <c r="G167" s="134"/>
      <c r="H167" s="92"/>
      <c r="I167" s="92"/>
      <c r="J167" s="92"/>
      <c r="K167" s="92"/>
    </row>
    <row r="168" spans="1:12" x14ac:dyDescent="0.3">
      <c r="H168" s="19"/>
      <c r="I168" s="19"/>
      <c r="J168" s="19"/>
      <c r="K168" s="19"/>
    </row>
    <row r="170" spans="1:12" x14ac:dyDescent="0.3">
      <c r="G170" s="89"/>
      <c r="H170" s="91"/>
      <c r="I170" s="91"/>
      <c r="J170" s="91"/>
      <c r="K170" s="91"/>
    </row>
    <row r="171" spans="1:12" s="95" customFormat="1" x14ac:dyDescent="0.3">
      <c r="A171" s="93"/>
      <c r="B171" s="94"/>
      <c r="C171" s="93"/>
      <c r="E171" s="123"/>
      <c r="F171" s="96"/>
      <c r="G171" s="94"/>
      <c r="H171" s="97"/>
      <c r="I171" s="97"/>
      <c r="J171" s="97"/>
      <c r="K171" s="97"/>
    </row>
    <row r="173" spans="1:12" x14ac:dyDescent="0.3">
      <c r="G173" s="89"/>
      <c r="H173" s="92"/>
      <c r="I173" s="92"/>
      <c r="J173" s="92"/>
      <c r="K173" s="92"/>
    </row>
    <row r="174" spans="1:12" x14ac:dyDescent="0.3">
      <c r="H174" s="52"/>
      <c r="I174" s="52"/>
      <c r="J174" s="52"/>
      <c r="K174" s="52"/>
    </row>
    <row r="176" spans="1:12" x14ac:dyDescent="0.3">
      <c r="H176" s="52"/>
    </row>
    <row r="177" spans="8:8" x14ac:dyDescent="0.3">
      <c r="H177" s="52"/>
    </row>
  </sheetData>
  <mergeCells count="42">
    <mergeCell ref="I1:K1"/>
    <mergeCell ref="I2:K2"/>
    <mergeCell ref="I3:K3"/>
    <mergeCell ref="D48:F48"/>
    <mergeCell ref="D17:F17"/>
    <mergeCell ref="D31:F31"/>
    <mergeCell ref="D16:F16"/>
    <mergeCell ref="D32:F32"/>
    <mergeCell ref="D47:F47"/>
    <mergeCell ref="I5:K5"/>
    <mergeCell ref="I6:K6"/>
    <mergeCell ref="I7:K7"/>
    <mergeCell ref="G13:G14"/>
    <mergeCell ref="H13:H14"/>
    <mergeCell ref="I13:I14"/>
    <mergeCell ref="J13:K13"/>
    <mergeCell ref="D81:F81"/>
    <mergeCell ref="D74:F74"/>
    <mergeCell ref="D82:F82"/>
    <mergeCell ref="D61:F61"/>
    <mergeCell ref="D62:F62"/>
    <mergeCell ref="D64:F64"/>
    <mergeCell ref="D65:F65"/>
    <mergeCell ref="D73:F73"/>
    <mergeCell ref="A9:K9"/>
    <mergeCell ref="F13:F14"/>
    <mergeCell ref="A10:B10"/>
    <mergeCell ref="A13:A14"/>
    <mergeCell ref="B13:B14"/>
    <mergeCell ref="C13:C14"/>
    <mergeCell ref="D13:D14"/>
    <mergeCell ref="E13:E14"/>
    <mergeCell ref="D99:F99"/>
    <mergeCell ref="D100:F100"/>
    <mergeCell ref="F166:G166"/>
    <mergeCell ref="F167:G167"/>
    <mergeCell ref="A161:G161"/>
    <mergeCell ref="D130:F130"/>
    <mergeCell ref="D119:F119"/>
    <mergeCell ref="D114:F114"/>
    <mergeCell ref="D113:F113"/>
    <mergeCell ref="D118:F118"/>
  </mergeCells>
  <pageMargins left="0.39370078740157483" right="0.39370078740157483" top="0.59055118110236227" bottom="0.19685039370078741" header="0.51181102362204722" footer="0.51181102362204722"/>
  <pageSetup paperSize="9" scale="50" fitToHeight="9" orientation="landscape" r:id="rId1"/>
  <headerFooter differentFirst="1">
    <oddHeader>&amp;C&amp;P</oddHeader>
  </headerFooter>
  <rowBreaks count="3" manualBreakCount="3">
    <brk id="30" max="10" man="1"/>
    <brk id="95" max="10" man="1"/>
    <brk id="11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2024</vt:lpstr>
      <vt:lpstr>'2024'!Заголовки_для_друку</vt:lpstr>
      <vt:lpstr>'2024'!Область_друку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2024-08-05T14:29:24Z</dcterms:modified>
</cp:coreProperties>
</file>