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1 півріччя\"/>
    </mc:Choice>
  </mc:AlternateContent>
  <bookViews>
    <workbookView xWindow="-120" yWindow="-120" windowWidth="20736" windowHeight="11760"/>
  </bookViews>
  <sheets>
    <sheet name="2024" sheetId="10" r:id="rId1"/>
  </sheets>
  <definedNames>
    <definedName name="_xlnm.Print_Titles" localSheetId="0">'2024'!$3:$8</definedName>
    <definedName name="_xlnm.Print_Area" localSheetId="0">'2024'!$A$1:$T$154</definedName>
  </definedNames>
  <calcPr calcId="152511"/>
</workbook>
</file>

<file path=xl/calcChain.xml><?xml version="1.0" encoding="utf-8"?>
<calcChain xmlns="http://schemas.openxmlformats.org/spreadsheetml/2006/main">
  <c r="M10" i="10" l="1"/>
  <c r="N10" i="10"/>
  <c r="M11" i="10"/>
  <c r="N11" i="10"/>
  <c r="P11" i="10"/>
  <c r="M12" i="10"/>
  <c r="N12" i="10"/>
  <c r="P12" i="10"/>
  <c r="M13" i="10"/>
  <c r="N13" i="10"/>
  <c r="O13" i="10"/>
  <c r="P13" i="10"/>
  <c r="M14" i="10"/>
  <c r="N14" i="10"/>
  <c r="O14" i="10"/>
  <c r="P14" i="10"/>
  <c r="M15" i="10"/>
  <c r="N15" i="10"/>
  <c r="O15" i="10"/>
  <c r="P15" i="10"/>
  <c r="M16" i="10"/>
  <c r="N16" i="10"/>
  <c r="O16" i="10"/>
  <c r="P16" i="10"/>
  <c r="M17" i="10"/>
  <c r="N17" i="10"/>
  <c r="O17" i="10"/>
  <c r="P17" i="10"/>
  <c r="M18" i="10"/>
  <c r="N18" i="10"/>
  <c r="O18" i="10"/>
  <c r="P18" i="10"/>
  <c r="M19" i="10"/>
  <c r="N19" i="10"/>
  <c r="O19" i="10"/>
  <c r="P19" i="10"/>
  <c r="O20" i="10"/>
  <c r="P20" i="10"/>
  <c r="M21" i="10"/>
  <c r="N21" i="10"/>
  <c r="O21" i="10"/>
  <c r="P21" i="10"/>
  <c r="M22" i="10"/>
  <c r="N22" i="10"/>
  <c r="O22" i="10"/>
  <c r="P22" i="10"/>
  <c r="M23" i="10"/>
  <c r="N23" i="10"/>
  <c r="O23" i="10"/>
  <c r="P23" i="10"/>
  <c r="M24" i="10"/>
  <c r="N24" i="10"/>
  <c r="O24" i="10"/>
  <c r="P24" i="10"/>
  <c r="M25" i="10"/>
  <c r="N25" i="10"/>
  <c r="O25" i="10"/>
  <c r="P25" i="10"/>
  <c r="M26" i="10"/>
  <c r="N26" i="10"/>
  <c r="O26" i="10"/>
  <c r="P26" i="10"/>
  <c r="M27" i="10"/>
  <c r="N27" i="10"/>
  <c r="O27" i="10"/>
  <c r="P27" i="10"/>
  <c r="M28" i="10"/>
  <c r="N28" i="10"/>
  <c r="O28" i="10"/>
  <c r="P28" i="10"/>
  <c r="M29" i="10"/>
  <c r="N29" i="10"/>
  <c r="O29" i="10"/>
  <c r="P29" i="10"/>
  <c r="M30" i="10"/>
  <c r="N30" i="10"/>
  <c r="O30" i="10"/>
  <c r="P30" i="10"/>
  <c r="M31" i="10"/>
  <c r="N31" i="10"/>
  <c r="O31" i="10"/>
  <c r="P31" i="10"/>
  <c r="M32" i="10"/>
  <c r="N32" i="10"/>
  <c r="O32" i="10"/>
  <c r="P32" i="10"/>
  <c r="M33" i="10"/>
  <c r="N33" i="10"/>
  <c r="O33" i="10"/>
  <c r="P33" i="10"/>
  <c r="M34" i="10"/>
  <c r="N34" i="10"/>
  <c r="O34" i="10"/>
  <c r="P34" i="10"/>
  <c r="M35" i="10"/>
  <c r="N35" i="10"/>
  <c r="O35" i="10"/>
  <c r="P35" i="10"/>
  <c r="M36" i="10"/>
  <c r="N36" i="10"/>
  <c r="O36" i="10"/>
  <c r="P36" i="10"/>
  <c r="M37" i="10"/>
  <c r="N37" i="10"/>
  <c r="O37" i="10"/>
  <c r="P37" i="10"/>
  <c r="M38" i="10"/>
  <c r="N38" i="10"/>
  <c r="O38" i="10"/>
  <c r="P38" i="10"/>
  <c r="M39" i="10"/>
  <c r="N39" i="10"/>
  <c r="O39" i="10"/>
  <c r="P39" i="10"/>
  <c r="M40" i="10"/>
  <c r="N40" i="10"/>
  <c r="O40" i="10"/>
  <c r="P40" i="10"/>
  <c r="M41" i="10"/>
  <c r="N41" i="10"/>
  <c r="O41" i="10"/>
  <c r="P41" i="10"/>
  <c r="M42" i="10"/>
  <c r="N42" i="10"/>
  <c r="O42" i="10"/>
  <c r="P42" i="10"/>
  <c r="M43" i="10"/>
  <c r="N43" i="10"/>
  <c r="O43" i="10"/>
  <c r="P43" i="10"/>
  <c r="M44" i="10"/>
  <c r="N44" i="10"/>
  <c r="O44" i="10"/>
  <c r="P44" i="10"/>
  <c r="M45" i="10"/>
  <c r="N45" i="10"/>
  <c r="O45" i="10"/>
  <c r="P45" i="10"/>
  <c r="M46" i="10"/>
  <c r="N46" i="10"/>
  <c r="O46" i="10"/>
  <c r="P46" i="10"/>
  <c r="M47" i="10"/>
  <c r="N47" i="10"/>
  <c r="O47" i="10"/>
  <c r="P47" i="10"/>
  <c r="M48" i="10"/>
  <c r="N48" i="10"/>
  <c r="O48" i="10"/>
  <c r="P48" i="10"/>
  <c r="M49" i="10"/>
  <c r="N49" i="10"/>
  <c r="O49" i="10"/>
  <c r="P49" i="10"/>
  <c r="M50" i="10"/>
  <c r="N50" i="10"/>
  <c r="O50" i="10"/>
  <c r="P50" i="10"/>
  <c r="M51" i="10"/>
  <c r="N51" i="10"/>
  <c r="O51" i="10"/>
  <c r="P51" i="10"/>
  <c r="M52" i="10"/>
  <c r="N52" i="10"/>
  <c r="O52" i="10"/>
  <c r="P52" i="10"/>
  <c r="M53" i="10"/>
  <c r="N53" i="10"/>
  <c r="O53" i="10"/>
  <c r="P53" i="10"/>
  <c r="M54" i="10"/>
  <c r="N54" i="10"/>
  <c r="O54" i="10"/>
  <c r="P54" i="10"/>
  <c r="M55" i="10"/>
  <c r="N55" i="10"/>
  <c r="O55" i="10"/>
  <c r="P55" i="10"/>
  <c r="M56" i="10"/>
  <c r="N56" i="10"/>
  <c r="O56" i="10"/>
  <c r="P56" i="10"/>
  <c r="M57" i="10"/>
  <c r="N57" i="10"/>
  <c r="O57" i="10"/>
  <c r="P57" i="10"/>
  <c r="M58" i="10"/>
  <c r="N58" i="10"/>
  <c r="O58" i="10"/>
  <c r="P58" i="10"/>
  <c r="M59" i="10"/>
  <c r="N59" i="10"/>
  <c r="O59" i="10"/>
  <c r="P59" i="10"/>
  <c r="M60" i="10"/>
  <c r="N60" i="10"/>
  <c r="O60" i="10"/>
  <c r="P60" i="10"/>
  <c r="M61" i="10"/>
  <c r="N61" i="10"/>
  <c r="O61" i="10"/>
  <c r="P61" i="10"/>
  <c r="M62" i="10"/>
  <c r="N62" i="10"/>
  <c r="O62" i="10"/>
  <c r="P62" i="10"/>
  <c r="M63" i="10"/>
  <c r="N63" i="10"/>
  <c r="O63" i="10"/>
  <c r="P63" i="10"/>
  <c r="M64" i="10"/>
  <c r="N64" i="10"/>
  <c r="O64" i="10"/>
  <c r="P64" i="10"/>
  <c r="M65" i="10"/>
  <c r="N65" i="10"/>
  <c r="O65" i="10"/>
  <c r="P65" i="10"/>
  <c r="M66" i="10"/>
  <c r="N66" i="10"/>
  <c r="O66" i="10"/>
  <c r="P66" i="10"/>
  <c r="M67" i="10"/>
  <c r="N67" i="10"/>
  <c r="O67" i="10"/>
  <c r="P67" i="10"/>
  <c r="M68" i="10"/>
  <c r="N68" i="10"/>
  <c r="O68" i="10"/>
  <c r="P68" i="10"/>
  <c r="M69" i="10"/>
  <c r="N69" i="10"/>
  <c r="O69" i="10"/>
  <c r="P69" i="10"/>
  <c r="M70" i="10"/>
  <c r="N70" i="10"/>
  <c r="O70" i="10"/>
  <c r="P70" i="10"/>
  <c r="M71" i="10"/>
  <c r="N71" i="10"/>
  <c r="O71" i="10"/>
  <c r="P71" i="10"/>
  <c r="M72" i="10"/>
  <c r="N72" i="10"/>
  <c r="O72" i="10"/>
  <c r="P72" i="10"/>
  <c r="M73" i="10"/>
  <c r="N73" i="10"/>
  <c r="O73" i="10"/>
  <c r="P73" i="10"/>
  <c r="M74" i="10"/>
  <c r="N74" i="10"/>
  <c r="O74" i="10"/>
  <c r="P74" i="10"/>
  <c r="M75" i="10"/>
  <c r="N75" i="10"/>
  <c r="O75" i="10"/>
  <c r="P75" i="10"/>
  <c r="M76" i="10"/>
  <c r="N76" i="10"/>
  <c r="O76" i="10"/>
  <c r="P76" i="10"/>
  <c r="M77" i="10"/>
  <c r="N77" i="10"/>
  <c r="O77" i="10"/>
  <c r="P77" i="10"/>
  <c r="M78" i="10"/>
  <c r="N78" i="10"/>
  <c r="O78" i="10"/>
  <c r="P78" i="10"/>
  <c r="M79" i="10"/>
  <c r="N79" i="10"/>
  <c r="O79" i="10"/>
  <c r="P79" i="10"/>
  <c r="M80" i="10"/>
  <c r="N80" i="10"/>
  <c r="O80" i="10"/>
  <c r="P80" i="10"/>
  <c r="M81" i="10"/>
  <c r="N81" i="10"/>
  <c r="O81" i="10"/>
  <c r="P81" i="10"/>
  <c r="M82" i="10"/>
  <c r="N82" i="10"/>
  <c r="O82" i="10"/>
  <c r="P82" i="10"/>
  <c r="M83" i="10"/>
  <c r="N83" i="10"/>
  <c r="O83" i="10"/>
  <c r="P83" i="10"/>
  <c r="M84" i="10"/>
  <c r="N84" i="10"/>
  <c r="O84" i="10"/>
  <c r="P84" i="10"/>
  <c r="M85" i="10"/>
  <c r="N85" i="10"/>
  <c r="O85" i="10"/>
  <c r="P85" i="10"/>
  <c r="M86" i="10"/>
  <c r="N86" i="10"/>
  <c r="O86" i="10"/>
  <c r="P86" i="10"/>
  <c r="M87" i="10"/>
  <c r="N87" i="10"/>
  <c r="O87" i="10"/>
  <c r="P87" i="10"/>
  <c r="M88" i="10"/>
  <c r="N88" i="10"/>
  <c r="O88" i="10"/>
  <c r="P88" i="10"/>
  <c r="M89" i="10"/>
  <c r="N89" i="10"/>
  <c r="O89" i="10"/>
  <c r="P89" i="10"/>
  <c r="M90" i="10"/>
  <c r="N90" i="10"/>
  <c r="O90" i="10"/>
  <c r="P90" i="10"/>
  <c r="M91" i="10"/>
  <c r="N91" i="10"/>
  <c r="O91" i="10"/>
  <c r="P91" i="10"/>
  <c r="M92" i="10"/>
  <c r="N92" i="10"/>
  <c r="O92" i="10"/>
  <c r="P92" i="10"/>
  <c r="M93" i="10"/>
  <c r="N93" i="10"/>
  <c r="O93" i="10"/>
  <c r="P93" i="10"/>
  <c r="M94" i="10"/>
  <c r="N94" i="10"/>
  <c r="O94" i="10"/>
  <c r="P94" i="10"/>
  <c r="M95" i="10"/>
  <c r="N95" i="10"/>
  <c r="O95" i="10"/>
  <c r="P95" i="10"/>
  <c r="M96" i="10"/>
  <c r="N96" i="10"/>
  <c r="O96" i="10"/>
  <c r="P96" i="10"/>
  <c r="M97" i="10"/>
  <c r="N97" i="10"/>
  <c r="O97" i="10"/>
  <c r="P97" i="10"/>
  <c r="M98" i="10"/>
  <c r="N98" i="10"/>
  <c r="O98" i="10"/>
  <c r="P98" i="10"/>
  <c r="M99" i="10"/>
  <c r="N99" i="10"/>
  <c r="O99" i="10"/>
  <c r="P99" i="10"/>
  <c r="M100" i="10"/>
  <c r="N100" i="10"/>
  <c r="O100" i="10"/>
  <c r="P100" i="10"/>
  <c r="M101" i="10"/>
  <c r="N101" i="10"/>
  <c r="O101" i="10"/>
  <c r="P101" i="10"/>
  <c r="M102" i="10"/>
  <c r="N102" i="10"/>
  <c r="O102" i="10"/>
  <c r="P102" i="10"/>
  <c r="M103" i="10"/>
  <c r="N103" i="10"/>
  <c r="O103" i="10"/>
  <c r="P103" i="10"/>
  <c r="M104" i="10"/>
  <c r="N104" i="10"/>
  <c r="O104" i="10"/>
  <c r="P104" i="10"/>
  <c r="M105" i="10"/>
  <c r="N105" i="10"/>
  <c r="O105" i="10"/>
  <c r="P105" i="10"/>
  <c r="M106" i="10"/>
  <c r="N106" i="10"/>
  <c r="O106" i="10"/>
  <c r="P106" i="10"/>
  <c r="M107" i="10"/>
  <c r="N107" i="10"/>
  <c r="O107" i="10"/>
  <c r="P107" i="10"/>
  <c r="M108" i="10"/>
  <c r="N108" i="10"/>
  <c r="O108" i="10"/>
  <c r="P108" i="10"/>
  <c r="M109" i="10"/>
  <c r="N109" i="10"/>
  <c r="O109" i="10"/>
  <c r="P109" i="10"/>
  <c r="M110" i="10"/>
  <c r="N110" i="10"/>
  <c r="O110" i="10"/>
  <c r="P110" i="10"/>
  <c r="M111" i="10"/>
  <c r="N111" i="10"/>
  <c r="O111" i="10"/>
  <c r="P111" i="10"/>
  <c r="M112" i="10"/>
  <c r="N112" i="10"/>
  <c r="O112" i="10"/>
  <c r="P112" i="10"/>
  <c r="M113" i="10"/>
  <c r="N113" i="10"/>
  <c r="O113" i="10"/>
  <c r="P113" i="10"/>
  <c r="M114" i="10"/>
  <c r="N114" i="10"/>
  <c r="O114" i="10"/>
  <c r="P114" i="10"/>
  <c r="M115" i="10"/>
  <c r="N115" i="10"/>
  <c r="O115" i="10"/>
  <c r="P115" i="10"/>
  <c r="M116" i="10"/>
  <c r="N116" i="10"/>
  <c r="O116" i="10"/>
  <c r="P116" i="10"/>
  <c r="M117" i="10"/>
  <c r="N117" i="10"/>
  <c r="O117" i="10"/>
  <c r="P117" i="10"/>
  <c r="M118" i="10"/>
  <c r="N118" i="10"/>
  <c r="O118" i="10"/>
  <c r="P118" i="10"/>
  <c r="M119" i="10"/>
  <c r="N119" i="10"/>
  <c r="O119" i="10"/>
  <c r="P119" i="10"/>
  <c r="M120" i="10"/>
  <c r="N120" i="10"/>
  <c r="O120" i="10"/>
  <c r="P120" i="10"/>
  <c r="M121" i="10"/>
  <c r="N121" i="10"/>
  <c r="O121" i="10"/>
  <c r="P121" i="10"/>
  <c r="M122" i="10"/>
  <c r="N122" i="10"/>
  <c r="O122" i="10"/>
  <c r="P122" i="10"/>
  <c r="M123" i="10"/>
  <c r="N123" i="10"/>
  <c r="O123" i="10"/>
  <c r="P123" i="10"/>
  <c r="M124" i="10"/>
  <c r="N124" i="10"/>
  <c r="O124" i="10"/>
  <c r="P124" i="10"/>
  <c r="M125" i="10"/>
  <c r="N125" i="10"/>
  <c r="O125" i="10"/>
  <c r="P125" i="10"/>
  <c r="M126" i="10"/>
  <c r="N126" i="10"/>
  <c r="O126" i="10"/>
  <c r="P126" i="10"/>
  <c r="M127" i="10"/>
  <c r="N127" i="10"/>
  <c r="O127" i="10"/>
  <c r="P127" i="10"/>
  <c r="M128" i="10"/>
  <c r="N128" i="10"/>
  <c r="O128" i="10"/>
  <c r="P128" i="10"/>
  <c r="M129" i="10"/>
  <c r="N129" i="10"/>
  <c r="O129" i="10"/>
  <c r="P129" i="10"/>
  <c r="M130" i="10"/>
  <c r="N130" i="10"/>
  <c r="O130" i="10"/>
  <c r="P130" i="10"/>
  <c r="M131" i="10"/>
  <c r="N131" i="10"/>
  <c r="O131" i="10"/>
  <c r="P131" i="10"/>
  <c r="M132" i="10"/>
  <c r="N132" i="10"/>
  <c r="O132" i="10"/>
  <c r="P132" i="10"/>
  <c r="M133" i="10"/>
  <c r="N133" i="10"/>
  <c r="O133" i="10"/>
  <c r="P133" i="10"/>
  <c r="M134" i="10"/>
  <c r="N134" i="10"/>
  <c r="O134" i="10"/>
  <c r="P134" i="10"/>
  <c r="N135" i="10"/>
  <c r="M136" i="10"/>
  <c r="N136" i="10"/>
  <c r="O136" i="10"/>
  <c r="P136" i="10"/>
  <c r="M137" i="10"/>
  <c r="N137" i="10"/>
  <c r="O137" i="10"/>
  <c r="P137" i="10"/>
  <c r="M138" i="10"/>
  <c r="N138" i="10"/>
  <c r="O138" i="10"/>
  <c r="P138" i="10"/>
  <c r="M139" i="10"/>
  <c r="N139" i="10"/>
  <c r="O139" i="10"/>
  <c r="P139" i="10"/>
  <c r="M140" i="10"/>
  <c r="N140" i="10"/>
  <c r="O140" i="10"/>
  <c r="P140" i="10"/>
  <c r="M141" i="10"/>
  <c r="N141" i="10"/>
  <c r="O141" i="10"/>
  <c r="P141" i="10"/>
  <c r="M142" i="10"/>
  <c r="N142" i="10"/>
  <c r="O142" i="10"/>
  <c r="P142" i="10"/>
  <c r="M143" i="10"/>
  <c r="N143" i="10"/>
  <c r="O143" i="10"/>
  <c r="P143" i="10"/>
  <c r="M144" i="10"/>
  <c r="N144" i="10"/>
  <c r="O144" i="10"/>
  <c r="P144" i="10"/>
  <c r="M145" i="10"/>
  <c r="N145" i="10"/>
  <c r="M146" i="10"/>
  <c r="N146" i="10"/>
  <c r="M147" i="10"/>
  <c r="N147" i="10"/>
  <c r="O147" i="10"/>
  <c r="P147" i="10"/>
  <c r="M148" i="10"/>
  <c r="N148" i="10"/>
  <c r="O148" i="10"/>
  <c r="P148" i="10"/>
  <c r="M149" i="10"/>
  <c r="N149" i="10"/>
  <c r="O149" i="10"/>
  <c r="P149" i="10"/>
  <c r="M150" i="10"/>
  <c r="N150" i="10"/>
  <c r="O150" i="10"/>
  <c r="P150" i="10"/>
  <c r="M151" i="10"/>
  <c r="N151" i="10"/>
  <c r="M152" i="10"/>
  <c r="N152" i="10"/>
  <c r="O152" i="10"/>
  <c r="P152" i="10"/>
  <c r="N9" i="10"/>
  <c r="M9" i="10"/>
  <c r="J138" i="10" l="1"/>
  <c r="L138" i="10"/>
  <c r="K138" i="10"/>
  <c r="G138" i="10"/>
  <c r="H138" i="10"/>
  <c r="F138" i="10"/>
  <c r="I131" i="10"/>
  <c r="Q131" i="10" s="1"/>
  <c r="R131" i="10"/>
  <c r="S131" i="10"/>
  <c r="T131" i="10"/>
  <c r="R105" i="10"/>
  <c r="S105" i="10"/>
  <c r="T105" i="10"/>
  <c r="G120" i="10"/>
  <c r="J120" i="10"/>
  <c r="L136" i="10"/>
  <c r="L120" i="10" s="1"/>
  <c r="K136" i="10"/>
  <c r="K120" i="10" s="1"/>
  <c r="L135" i="10"/>
  <c r="E131" i="10"/>
  <c r="K128" i="10"/>
  <c r="K84" i="10"/>
  <c r="K86" i="10"/>
  <c r="K67" i="10"/>
  <c r="K74" i="10"/>
  <c r="K73" i="10"/>
  <c r="K68" i="10"/>
  <c r="K57" i="10"/>
  <c r="K46" i="10"/>
  <c r="K42" i="10"/>
  <c r="K41" i="10"/>
  <c r="K48" i="10"/>
  <c r="K43" i="10"/>
  <c r="K12" i="10" l="1"/>
  <c r="R35" i="10" l="1"/>
  <c r="S35" i="10"/>
  <c r="T35" i="10"/>
  <c r="I35" i="10"/>
  <c r="E35" i="10"/>
  <c r="R34" i="10"/>
  <c r="S34" i="10"/>
  <c r="T34" i="10"/>
  <c r="I34" i="10"/>
  <c r="E34" i="10"/>
  <c r="I28" i="10"/>
  <c r="E28" i="10"/>
  <c r="R28" i="10"/>
  <c r="S28" i="10"/>
  <c r="T28" i="10"/>
  <c r="Q35" i="10" l="1"/>
  <c r="Q34" i="10"/>
  <c r="Q28" i="10"/>
  <c r="J143" i="10"/>
  <c r="G101" i="10"/>
  <c r="F101" i="10"/>
  <c r="K101" i="10"/>
  <c r="K100" i="10" s="1"/>
  <c r="L101" i="10"/>
  <c r="L100" i="10" s="1"/>
  <c r="J115" i="10"/>
  <c r="J114" i="10"/>
  <c r="J111" i="10"/>
  <c r="J101" i="10" s="1"/>
  <c r="I105" i="10"/>
  <c r="Q105" i="10" s="1"/>
  <c r="R103" i="10"/>
  <c r="S103" i="10"/>
  <c r="T103" i="10"/>
  <c r="I103" i="10"/>
  <c r="E103" i="10"/>
  <c r="J95" i="10"/>
  <c r="G92" i="10"/>
  <c r="H92" i="10"/>
  <c r="F92" i="10"/>
  <c r="K92" i="10"/>
  <c r="L92" i="10"/>
  <c r="J92" i="10"/>
  <c r="R98" i="10"/>
  <c r="S98" i="10"/>
  <c r="T98" i="10"/>
  <c r="E98" i="10"/>
  <c r="I98" i="10"/>
  <c r="Q103" i="10" l="1"/>
  <c r="Q98" i="10"/>
  <c r="J74" i="10"/>
  <c r="J60" i="10" s="1"/>
  <c r="G38" i="10"/>
  <c r="H38" i="10"/>
  <c r="F38" i="10"/>
  <c r="K38" i="10"/>
  <c r="L38" i="10"/>
  <c r="R54" i="10" l="1"/>
  <c r="S54" i="10"/>
  <c r="T54" i="10"/>
  <c r="I54" i="10"/>
  <c r="E54" i="10"/>
  <c r="R51" i="10"/>
  <c r="S51" i="10"/>
  <c r="T51" i="10"/>
  <c r="I51" i="10"/>
  <c r="E51" i="10"/>
  <c r="J44" i="10"/>
  <c r="J38" i="10" s="1"/>
  <c r="Q54" i="10" l="1"/>
  <c r="Q51" i="10"/>
  <c r="R36" i="10"/>
  <c r="S36" i="10"/>
  <c r="T36" i="10"/>
  <c r="I36" i="10"/>
  <c r="E36" i="10"/>
  <c r="J21" i="10"/>
  <c r="Q36" i="10" l="1"/>
  <c r="H151" i="10"/>
  <c r="S144" i="10"/>
  <c r="R144" i="10"/>
  <c r="T144" i="10"/>
  <c r="I144" i="10"/>
  <c r="E144" i="10"/>
  <c r="R140" i="10"/>
  <c r="S140" i="10"/>
  <c r="T140" i="10"/>
  <c r="I140" i="10"/>
  <c r="E140" i="10"/>
  <c r="F120" i="10"/>
  <c r="H136" i="10"/>
  <c r="H135" i="10"/>
  <c r="H134" i="10"/>
  <c r="H133" i="10"/>
  <c r="R133" i="10"/>
  <c r="S133" i="10"/>
  <c r="T133" i="10"/>
  <c r="I133" i="10"/>
  <c r="E133" i="10"/>
  <c r="H132" i="10"/>
  <c r="T132" i="10" s="1"/>
  <c r="R132" i="10"/>
  <c r="S132" i="10"/>
  <c r="I132" i="10"/>
  <c r="E132" i="10"/>
  <c r="Q132" i="10" s="1"/>
  <c r="H129" i="10"/>
  <c r="H126" i="10"/>
  <c r="T126" i="10" s="1"/>
  <c r="R126" i="10"/>
  <c r="S126" i="10"/>
  <c r="I126" i="10"/>
  <c r="E126" i="10"/>
  <c r="H125" i="10"/>
  <c r="H121" i="10"/>
  <c r="S121" i="10"/>
  <c r="R121" i="10"/>
  <c r="I121" i="10"/>
  <c r="E121" i="10"/>
  <c r="Q121" i="10" s="1"/>
  <c r="H122" i="10"/>
  <c r="R118" i="10"/>
  <c r="S118" i="10"/>
  <c r="T118" i="10"/>
  <c r="I118" i="10"/>
  <c r="E118" i="10"/>
  <c r="H111" i="10"/>
  <c r="R108" i="10"/>
  <c r="S108" i="10"/>
  <c r="T108" i="10"/>
  <c r="I108" i="10"/>
  <c r="E108" i="10"/>
  <c r="H106" i="10"/>
  <c r="K81" i="10"/>
  <c r="L81" i="10"/>
  <c r="J81" i="10"/>
  <c r="G81" i="10"/>
  <c r="H81" i="10"/>
  <c r="F81" i="10"/>
  <c r="R85" i="10"/>
  <c r="S85" i="10"/>
  <c r="T85" i="10"/>
  <c r="I85" i="10"/>
  <c r="E85" i="10"/>
  <c r="H120" i="10" l="1"/>
  <c r="H101" i="10"/>
  <c r="Q118" i="10"/>
  <c r="T121" i="10"/>
  <c r="Q144" i="10"/>
  <c r="Q140" i="10"/>
  <c r="Q133" i="10"/>
  <c r="Q126" i="10"/>
  <c r="Q108" i="10"/>
  <c r="Q85" i="10"/>
  <c r="K60" i="10"/>
  <c r="L60" i="10"/>
  <c r="G60" i="10"/>
  <c r="H60" i="10"/>
  <c r="F60" i="10"/>
  <c r="R75" i="10"/>
  <c r="S75" i="10"/>
  <c r="T75" i="10"/>
  <c r="I75" i="10"/>
  <c r="E75" i="10"/>
  <c r="R58" i="10"/>
  <c r="S58" i="10"/>
  <c r="T58" i="10"/>
  <c r="I58" i="10"/>
  <c r="E58" i="10"/>
  <c r="R55" i="10"/>
  <c r="S55" i="10"/>
  <c r="T55" i="10"/>
  <c r="I55" i="10"/>
  <c r="E55" i="10"/>
  <c r="Q55" i="10" l="1"/>
  <c r="Q58" i="10"/>
  <c r="Q75" i="10"/>
  <c r="K11" i="10"/>
  <c r="L11" i="10"/>
  <c r="R22" i="10"/>
  <c r="S22" i="10"/>
  <c r="T22" i="10"/>
  <c r="I22" i="10"/>
  <c r="E22" i="10"/>
  <c r="H19" i="10"/>
  <c r="Q22" i="10" l="1"/>
  <c r="E26" i="10" l="1"/>
  <c r="E27" i="10"/>
  <c r="E29" i="10"/>
  <c r="E25" i="10"/>
  <c r="J77" i="10"/>
  <c r="K77" i="10"/>
  <c r="L77" i="10"/>
  <c r="G11" i="10"/>
  <c r="I65" i="10" l="1"/>
  <c r="I31" i="10" l="1"/>
  <c r="J11" i="10"/>
  <c r="R117" i="10" l="1"/>
  <c r="S117" i="10"/>
  <c r="T117" i="10"/>
  <c r="R116" i="10"/>
  <c r="S116" i="10"/>
  <c r="T116" i="10"/>
  <c r="I117" i="10"/>
  <c r="E117" i="10"/>
  <c r="Q117" i="10" l="1"/>
  <c r="R12" i="10" l="1"/>
  <c r="T12" i="10"/>
  <c r="R13" i="10"/>
  <c r="T13" i="10"/>
  <c r="R14" i="10"/>
  <c r="S14" i="10"/>
  <c r="T14" i="10"/>
  <c r="R15" i="10"/>
  <c r="T15" i="10"/>
  <c r="R16" i="10"/>
  <c r="S16" i="10"/>
  <c r="T16" i="10"/>
  <c r="R17" i="10"/>
  <c r="S17" i="10"/>
  <c r="T17" i="10"/>
  <c r="R18" i="10"/>
  <c r="S18" i="10"/>
  <c r="R19" i="10"/>
  <c r="S19" i="10"/>
  <c r="R20" i="10"/>
  <c r="S20" i="10"/>
  <c r="S21" i="10"/>
  <c r="T21" i="10"/>
  <c r="R23" i="10"/>
  <c r="S23" i="10"/>
  <c r="T23" i="10"/>
  <c r="R25" i="10"/>
  <c r="S25" i="10"/>
  <c r="T25" i="10"/>
  <c r="R26" i="10"/>
  <c r="S26" i="10"/>
  <c r="R27" i="10"/>
  <c r="S27" i="10"/>
  <c r="R29" i="10"/>
  <c r="S29" i="10"/>
  <c r="T29" i="10"/>
  <c r="S30" i="10"/>
  <c r="T30" i="10"/>
  <c r="R31" i="10"/>
  <c r="R32" i="10"/>
  <c r="S32" i="10"/>
  <c r="T32" i="10"/>
  <c r="R33" i="10"/>
  <c r="S33" i="10"/>
  <c r="R39" i="10"/>
  <c r="S39" i="10"/>
  <c r="T39" i="10"/>
  <c r="R40" i="10"/>
  <c r="S40" i="10"/>
  <c r="T40" i="10"/>
  <c r="R41" i="10"/>
  <c r="T41" i="10"/>
  <c r="R42" i="10"/>
  <c r="T42" i="10"/>
  <c r="R43" i="10"/>
  <c r="T43" i="10"/>
  <c r="R44" i="10"/>
  <c r="S44" i="10"/>
  <c r="T44" i="10"/>
  <c r="R45" i="10"/>
  <c r="S45" i="10"/>
  <c r="T45" i="10"/>
  <c r="R46" i="10"/>
  <c r="T46" i="10"/>
  <c r="R47" i="10"/>
  <c r="S47" i="10"/>
  <c r="T47" i="10"/>
  <c r="R48" i="10"/>
  <c r="T48" i="10"/>
  <c r="R49" i="10"/>
  <c r="T49" i="10"/>
  <c r="R50" i="10"/>
  <c r="S50" i="10"/>
  <c r="T50" i="10"/>
  <c r="R52" i="10"/>
  <c r="S52" i="10"/>
  <c r="T52" i="10"/>
  <c r="R53" i="10"/>
  <c r="S53" i="10"/>
  <c r="T53" i="10"/>
  <c r="R56" i="10"/>
  <c r="S56" i="10"/>
  <c r="T56" i="10"/>
  <c r="R57" i="10"/>
  <c r="S57" i="10"/>
  <c r="T57" i="10"/>
  <c r="R61" i="10"/>
  <c r="S61" i="10"/>
  <c r="R62" i="10"/>
  <c r="S62" i="10"/>
  <c r="T62" i="10"/>
  <c r="R63" i="10"/>
  <c r="S63" i="10"/>
  <c r="T63" i="10"/>
  <c r="R64" i="10"/>
  <c r="S64" i="10"/>
  <c r="T64" i="10"/>
  <c r="R65" i="10"/>
  <c r="S65" i="10"/>
  <c r="T65" i="10"/>
  <c r="R66" i="10"/>
  <c r="S66" i="10"/>
  <c r="T66" i="10"/>
  <c r="R67" i="10"/>
  <c r="S67" i="10"/>
  <c r="T67" i="10"/>
  <c r="R68" i="10"/>
  <c r="R69" i="10"/>
  <c r="S69" i="10"/>
  <c r="T69" i="10"/>
  <c r="R70" i="10"/>
  <c r="S70" i="10"/>
  <c r="T70" i="10"/>
  <c r="R71" i="10"/>
  <c r="S71" i="10"/>
  <c r="T71" i="10"/>
  <c r="R72" i="10"/>
  <c r="S72" i="10"/>
  <c r="T72" i="10"/>
  <c r="T73" i="10"/>
  <c r="S74" i="10"/>
  <c r="T74" i="10"/>
  <c r="R78" i="10"/>
  <c r="S78" i="10"/>
  <c r="R79" i="10"/>
  <c r="S79" i="10"/>
  <c r="T79" i="10"/>
  <c r="R82" i="10"/>
  <c r="S82" i="10"/>
  <c r="T82" i="10"/>
  <c r="R83" i="10"/>
  <c r="S83" i="10"/>
  <c r="T83" i="10"/>
  <c r="R84" i="10"/>
  <c r="T84" i="10"/>
  <c r="R86" i="10"/>
  <c r="T86" i="10"/>
  <c r="R87" i="10"/>
  <c r="T87" i="10"/>
  <c r="R88" i="10"/>
  <c r="T88" i="10"/>
  <c r="R89" i="10"/>
  <c r="S89" i="10"/>
  <c r="T89" i="10"/>
  <c r="R90" i="10"/>
  <c r="S90" i="10"/>
  <c r="T90" i="10"/>
  <c r="R93" i="10"/>
  <c r="S93" i="10"/>
  <c r="R94" i="10"/>
  <c r="S94" i="10"/>
  <c r="T94" i="10"/>
  <c r="S95" i="10"/>
  <c r="T95" i="10"/>
  <c r="R96" i="10"/>
  <c r="S96" i="10"/>
  <c r="T96" i="10"/>
  <c r="R97" i="10"/>
  <c r="S97" i="10"/>
  <c r="T97" i="10"/>
  <c r="R99" i="10"/>
  <c r="S99" i="10"/>
  <c r="T99" i="10"/>
  <c r="R102" i="10"/>
  <c r="T102" i="10"/>
  <c r="R104" i="10"/>
  <c r="S104" i="10"/>
  <c r="T104" i="10"/>
  <c r="R106" i="10"/>
  <c r="R107" i="10"/>
  <c r="S107" i="10"/>
  <c r="T107" i="10"/>
  <c r="R109" i="10"/>
  <c r="S109" i="10"/>
  <c r="R110" i="10"/>
  <c r="S110" i="10"/>
  <c r="R112" i="10"/>
  <c r="S112" i="10"/>
  <c r="T112" i="10"/>
  <c r="R113" i="10"/>
  <c r="S113" i="10"/>
  <c r="T113" i="10"/>
  <c r="R122" i="10"/>
  <c r="S122" i="10"/>
  <c r="T122" i="10"/>
  <c r="R123" i="10"/>
  <c r="S123" i="10"/>
  <c r="T123" i="10"/>
  <c r="R124" i="10"/>
  <c r="R125" i="10"/>
  <c r="S125" i="10"/>
  <c r="R127" i="10"/>
  <c r="R128" i="10"/>
  <c r="S128" i="10"/>
  <c r="R129" i="10"/>
  <c r="R130" i="10"/>
  <c r="S130" i="10"/>
  <c r="R134" i="10"/>
  <c r="S134" i="10"/>
  <c r="R135" i="10"/>
  <c r="S135" i="10"/>
  <c r="R136" i="10"/>
  <c r="R139" i="10"/>
  <c r="S139" i="10"/>
  <c r="R141" i="10"/>
  <c r="S141" i="10"/>
  <c r="S142" i="10"/>
  <c r="R147" i="10"/>
  <c r="T147" i="10"/>
  <c r="R148" i="10"/>
  <c r="S148" i="10"/>
  <c r="R149" i="10"/>
  <c r="S149" i="10"/>
  <c r="R150" i="10"/>
  <c r="S150" i="10"/>
  <c r="R151" i="10"/>
  <c r="S151" i="10"/>
  <c r="S147" i="10" l="1"/>
  <c r="T148" i="10"/>
  <c r="T149" i="10"/>
  <c r="T150" i="10"/>
  <c r="T141" i="10"/>
  <c r="T142" i="10"/>
  <c r="T139" i="10"/>
  <c r="R142" i="10"/>
  <c r="T135" i="10"/>
  <c r="T134" i="10"/>
  <c r="T130" i="10"/>
  <c r="T128" i="10"/>
  <c r="T125" i="10"/>
  <c r="S106" i="10"/>
  <c r="T110" i="10"/>
  <c r="T109" i="10"/>
  <c r="T93" i="10"/>
  <c r="S77" i="10"/>
  <c r="R77" i="10"/>
  <c r="I79" i="10"/>
  <c r="Q79" i="10" s="1"/>
  <c r="I78" i="10"/>
  <c r="T61" i="10"/>
  <c r="S42" i="10"/>
  <c r="S46" i="10"/>
  <c r="S49" i="10"/>
  <c r="T33" i="10"/>
  <c r="T26" i="10"/>
  <c r="T27" i="10"/>
  <c r="T20" i="10"/>
  <c r="T18" i="10"/>
  <c r="Q78" i="10" l="1"/>
  <c r="I77" i="10"/>
  <c r="T129" i="10"/>
  <c r="S129" i="10"/>
  <c r="S84" i="10"/>
  <c r="S111" i="10"/>
  <c r="S102" i="10"/>
  <c r="S101" i="10"/>
  <c r="S138" i="10"/>
  <c r="S143" i="10"/>
  <c r="S86" i="10"/>
  <c r="R120" i="10"/>
  <c r="S87" i="10"/>
  <c r="T31" i="10"/>
  <c r="S31" i="10"/>
  <c r="R74" i="10"/>
  <c r="S88" i="10"/>
  <c r="S48" i="10"/>
  <c r="R95" i="10"/>
  <c r="T114" i="10"/>
  <c r="S114" i="10"/>
  <c r="S43" i="10"/>
  <c r="R115" i="10"/>
  <c r="R73" i="10"/>
  <c r="S12" i="10"/>
  <c r="S13" i="10"/>
  <c r="S68" i="10"/>
  <c r="R111" i="10"/>
  <c r="R143" i="10"/>
  <c r="R30" i="10"/>
  <c r="S15" i="10"/>
  <c r="R114" i="10"/>
  <c r="T77" i="10"/>
  <c r="T78" i="10"/>
  <c r="S41" i="10"/>
  <c r="T19" i="10"/>
  <c r="S115" i="10"/>
  <c r="T127" i="10"/>
  <c r="S127" i="10"/>
  <c r="T151" i="10"/>
  <c r="S73" i="10"/>
  <c r="S136" i="10"/>
  <c r="R38" i="10"/>
  <c r="T38" i="10"/>
  <c r="T143" i="10"/>
  <c r="T138" i="10"/>
  <c r="I116" i="10"/>
  <c r="T106" i="10"/>
  <c r="S60" i="10" l="1"/>
  <c r="R138" i="10"/>
  <c r="T136" i="10"/>
  <c r="R101" i="10"/>
  <c r="R60" i="10"/>
  <c r="R21" i="10"/>
  <c r="T60" i="10"/>
  <c r="T68" i="10"/>
  <c r="S38" i="10"/>
  <c r="S120" i="10" l="1"/>
  <c r="S124" i="10"/>
  <c r="E123" i="10"/>
  <c r="E124" i="10"/>
  <c r="E122" i="10"/>
  <c r="T120" i="10" l="1"/>
  <c r="T124" i="10"/>
  <c r="T115" i="10" l="1"/>
  <c r="T111" i="10"/>
  <c r="E116" i="10"/>
  <c r="Q116" i="10" s="1"/>
  <c r="T101" i="10" l="1"/>
  <c r="H24" i="10" l="1"/>
  <c r="G24" i="10"/>
  <c r="G10" i="10" s="1"/>
  <c r="F24" i="10"/>
  <c r="E52" i="10" l="1"/>
  <c r="I128" i="10" l="1"/>
  <c r="E128" i="10"/>
  <c r="I127" i="10"/>
  <c r="E127" i="10"/>
  <c r="I124" i="10"/>
  <c r="I113" i="10"/>
  <c r="E113" i="10"/>
  <c r="I109" i="10"/>
  <c r="E109" i="10"/>
  <c r="Q113" i="10" l="1"/>
  <c r="Q127" i="10"/>
  <c r="Q124" i="10"/>
  <c r="Q128" i="10"/>
  <c r="Q109" i="10"/>
  <c r="K76" i="10" l="1"/>
  <c r="S76" i="10" s="1"/>
  <c r="J76" i="10"/>
  <c r="R76" i="10" s="1"/>
  <c r="H76" i="10"/>
  <c r="I47" i="10"/>
  <c r="E47" i="10"/>
  <c r="I32" i="10"/>
  <c r="E32" i="10"/>
  <c r="I16" i="10"/>
  <c r="R92" i="10" l="1"/>
  <c r="T92" i="10"/>
  <c r="S92" i="10"/>
  <c r="Q32" i="10"/>
  <c r="Q47" i="10"/>
  <c r="E77" i="10"/>
  <c r="E76" i="10" s="1"/>
  <c r="L76" i="10"/>
  <c r="T76" i="10" s="1"/>
  <c r="Q77" i="10" l="1"/>
  <c r="T81" i="10"/>
  <c r="S81" i="10"/>
  <c r="R81" i="10"/>
  <c r="I76" i="10"/>
  <c r="Q76" i="10" s="1"/>
  <c r="E17" i="10" l="1"/>
  <c r="I15" i="10" l="1"/>
  <c r="I135" i="10"/>
  <c r="E135" i="10"/>
  <c r="E130" i="10"/>
  <c r="I142" i="10"/>
  <c r="E142" i="10"/>
  <c r="I123" i="10"/>
  <c r="Q142" i="10" l="1"/>
  <c r="Q123" i="10"/>
  <c r="Q135" i="10"/>
  <c r="I74" i="10" l="1"/>
  <c r="J24" i="10"/>
  <c r="J10" i="10" s="1"/>
  <c r="I29" i="10"/>
  <c r="I14" i="10"/>
  <c r="I13" i="10"/>
  <c r="I12" i="10"/>
  <c r="I17" i="10"/>
  <c r="Q29" i="10" l="1"/>
  <c r="R24" i="10"/>
  <c r="Q17" i="10"/>
  <c r="I11" i="10"/>
  <c r="J100" i="10"/>
  <c r="I106" i="10"/>
  <c r="E106" i="10"/>
  <c r="I94" i="10"/>
  <c r="E94" i="10"/>
  <c r="I83" i="10"/>
  <c r="E83" i="10"/>
  <c r="Q94" i="10" l="1"/>
  <c r="Q106" i="10"/>
  <c r="Q83" i="10"/>
  <c r="E30" i="10"/>
  <c r="H11" i="10" l="1"/>
  <c r="H10" i="10" s="1"/>
  <c r="F11" i="10"/>
  <c r="F10" i="10" s="1"/>
  <c r="T11" i="10" l="1"/>
  <c r="R11" i="10"/>
  <c r="S11" i="10"/>
  <c r="G37" i="10"/>
  <c r="R10" i="10" l="1"/>
  <c r="G137" i="10"/>
  <c r="H137" i="10"/>
  <c r="I39" i="10" l="1"/>
  <c r="I125" i="10" l="1"/>
  <c r="E125" i="10"/>
  <c r="Q125" i="10" l="1"/>
  <c r="K146" i="10"/>
  <c r="L146" i="10"/>
  <c r="J146" i="10"/>
  <c r="G146" i="10"/>
  <c r="H146" i="10"/>
  <c r="F146" i="10"/>
  <c r="I130" i="10"/>
  <c r="I99" i="10"/>
  <c r="I96" i="10"/>
  <c r="I97" i="10"/>
  <c r="I93" i="10"/>
  <c r="I52" i="10"/>
  <c r="Q130" i="10" l="1"/>
  <c r="R146" i="10"/>
  <c r="S146" i="10"/>
  <c r="T146" i="10"/>
  <c r="Q52" i="10"/>
  <c r="I95" i="10"/>
  <c r="I38" i="10"/>
  <c r="K37" i="10"/>
  <c r="S37" i="10" l="1"/>
  <c r="I37" i="10"/>
  <c r="J37" i="10"/>
  <c r="L24" i="10" l="1"/>
  <c r="L10" i="10" s="1"/>
  <c r="K24" i="10"/>
  <c r="K10" i="10" s="1"/>
  <c r="I10" i="10" s="1"/>
  <c r="S24" i="10" l="1"/>
  <c r="T24" i="10"/>
  <c r="I24" i="10"/>
  <c r="T10" i="10" l="1"/>
  <c r="S10" i="10"/>
  <c r="I141" i="10"/>
  <c r="E141" i="10"/>
  <c r="E136" i="10"/>
  <c r="Q141" i="10" l="1"/>
  <c r="I136" i="10"/>
  <c r="E115" i="10"/>
  <c r="E114" i="10"/>
  <c r="E73" i="10"/>
  <c r="I20" i="10"/>
  <c r="E20" i="10"/>
  <c r="E21" i="10"/>
  <c r="Q20" i="10" l="1"/>
  <c r="Q136" i="10"/>
  <c r="I73" i="10"/>
  <c r="I115" i="10"/>
  <c r="I30" i="10"/>
  <c r="I114" i="10"/>
  <c r="I21" i="10"/>
  <c r="I138" i="10"/>
  <c r="Q114" i="10" l="1"/>
  <c r="Q30" i="10"/>
  <c r="Q73" i="10"/>
  <c r="Q21" i="10"/>
  <c r="Q115" i="10"/>
  <c r="I60" i="10"/>
  <c r="E53" i="10" l="1"/>
  <c r="I134" i="10" l="1"/>
  <c r="E134" i="10"/>
  <c r="Q134" i="10" l="1"/>
  <c r="H119" i="10"/>
  <c r="G119" i="10" l="1"/>
  <c r="I33" i="10" l="1"/>
  <c r="E33" i="10"/>
  <c r="Q33" i="10" l="1"/>
  <c r="I129" i="10"/>
  <c r="E129" i="10"/>
  <c r="I104" i="10"/>
  <c r="E104" i="10"/>
  <c r="Q104" i="10" l="1"/>
  <c r="Q129" i="10"/>
  <c r="E139" i="10"/>
  <c r="E143" i="10" l="1"/>
  <c r="I107" i="10" l="1"/>
  <c r="E107" i="10"/>
  <c r="Q107" i="10" l="1"/>
  <c r="E110" i="10"/>
  <c r="I40" i="10" l="1"/>
  <c r="E40" i="10"/>
  <c r="Q40" i="10" l="1"/>
  <c r="L80" i="10" l="1"/>
  <c r="I150" i="10"/>
  <c r="E150" i="10"/>
  <c r="Q150" i="10" l="1"/>
  <c r="E43" i="10"/>
  <c r="I53" i="10" l="1"/>
  <c r="Q53" i="10" l="1"/>
  <c r="E19" i="10"/>
  <c r="E18" i="10"/>
  <c r="E16" i="10"/>
  <c r="I19" i="10"/>
  <c r="I18" i="10"/>
  <c r="Q18" i="10" l="1"/>
  <c r="Q19" i="10"/>
  <c r="Q16" i="10"/>
  <c r="I50" i="10"/>
  <c r="I49" i="10"/>
  <c r="I45" i="10"/>
  <c r="I44" i="10"/>
  <c r="E151" i="10"/>
  <c r="E45" i="10"/>
  <c r="E44" i="10"/>
  <c r="E50" i="10"/>
  <c r="E49" i="10"/>
  <c r="I43" i="10"/>
  <c r="I42" i="10"/>
  <c r="I151" i="10"/>
  <c r="Q151" i="10" l="1"/>
  <c r="Q45" i="10"/>
  <c r="Q50" i="10"/>
  <c r="Q43" i="10"/>
  <c r="Q44" i="10"/>
  <c r="Q49" i="10"/>
  <c r="I146" i="10"/>
  <c r="I101" i="10"/>
  <c r="I120" i="10"/>
  <c r="E42" i="10"/>
  <c r="Q42" i="10" l="1"/>
  <c r="E31" i="10"/>
  <c r="E149" i="10"/>
  <c r="E148" i="10"/>
  <c r="E147" i="10"/>
  <c r="H145" i="10"/>
  <c r="G145" i="10"/>
  <c r="F145" i="10"/>
  <c r="E112" i="10"/>
  <c r="E102" i="10"/>
  <c r="E99" i="10"/>
  <c r="E97" i="10"/>
  <c r="E96" i="10"/>
  <c r="E95" i="10"/>
  <c r="E93" i="10"/>
  <c r="H91" i="10"/>
  <c r="G91" i="10"/>
  <c r="F91" i="10"/>
  <c r="E90" i="10"/>
  <c r="E89" i="10"/>
  <c r="E88" i="10"/>
  <c r="E87" i="10"/>
  <c r="E86" i="10"/>
  <c r="E82" i="10"/>
  <c r="H80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H59" i="10"/>
  <c r="G59" i="10"/>
  <c r="E57" i="10"/>
  <c r="E56" i="10"/>
  <c r="E48" i="10"/>
  <c r="E46" i="10"/>
  <c r="E39" i="10"/>
  <c r="H37" i="10"/>
  <c r="F37" i="10"/>
  <c r="E23" i="10"/>
  <c r="E15" i="10"/>
  <c r="E14" i="10"/>
  <c r="E13" i="10"/>
  <c r="Q14" i="10" l="1"/>
  <c r="Q93" i="10"/>
  <c r="Q99" i="10"/>
  <c r="Q95" i="10"/>
  <c r="Q96" i="10"/>
  <c r="Q15" i="10"/>
  <c r="Q31" i="10"/>
  <c r="T80" i="10"/>
  <c r="Q97" i="10"/>
  <c r="Q39" i="10"/>
  <c r="Q13" i="10"/>
  <c r="R37" i="10"/>
  <c r="H9" i="10"/>
  <c r="G9" i="10"/>
  <c r="H100" i="10"/>
  <c r="G100" i="10"/>
  <c r="F100" i="10"/>
  <c r="E84" i="10"/>
  <c r="G80" i="10"/>
  <c r="E74" i="10"/>
  <c r="E60" i="10"/>
  <c r="E41" i="10"/>
  <c r="E111" i="10"/>
  <c r="E24" i="10"/>
  <c r="E12" i="10"/>
  <c r="E11" i="10"/>
  <c r="E92" i="10"/>
  <c r="E91" i="10" s="1"/>
  <c r="F119" i="10"/>
  <c r="F80" i="10"/>
  <c r="F137" i="10"/>
  <c r="E146" i="10"/>
  <c r="Q74" i="10" l="1"/>
  <c r="Q24" i="10"/>
  <c r="Q146" i="10"/>
  <c r="Q60" i="10"/>
  <c r="Q11" i="10"/>
  <c r="R100" i="10"/>
  <c r="T100" i="10"/>
  <c r="Q12" i="10"/>
  <c r="H152" i="10"/>
  <c r="G152" i="10"/>
  <c r="E59" i="10"/>
  <c r="E145" i="10"/>
  <c r="E120" i="10"/>
  <c r="E81" i="10"/>
  <c r="E80" i="10" s="1"/>
  <c r="E38" i="10"/>
  <c r="F59" i="10"/>
  <c r="E101" i="10"/>
  <c r="E138" i="10"/>
  <c r="E10" i="10"/>
  <c r="E9" i="10" s="1"/>
  <c r="F9" i="10"/>
  <c r="Q120" i="10" l="1"/>
  <c r="Q138" i="10"/>
  <c r="Q101" i="10"/>
  <c r="Q38" i="10"/>
  <c r="F152" i="10"/>
  <c r="E152" i="10" s="1"/>
  <c r="E137" i="10"/>
  <c r="E37" i="10"/>
  <c r="E119" i="10"/>
  <c r="E100" i="10"/>
  <c r="Q37" i="10" l="1"/>
  <c r="I23" i="10"/>
  <c r="I25" i="10"/>
  <c r="I26" i="10"/>
  <c r="I27" i="10"/>
  <c r="I41" i="10"/>
  <c r="I46" i="10"/>
  <c r="I48" i="10"/>
  <c r="I56" i="10"/>
  <c r="I57" i="10"/>
  <c r="I61" i="10"/>
  <c r="I62" i="10"/>
  <c r="I63" i="10"/>
  <c r="I64" i="10"/>
  <c r="I66" i="10"/>
  <c r="I67" i="10"/>
  <c r="I68" i="10"/>
  <c r="I69" i="10"/>
  <c r="I70" i="10"/>
  <c r="I71" i="10"/>
  <c r="I72" i="10"/>
  <c r="I82" i="10"/>
  <c r="I84" i="10"/>
  <c r="I86" i="10"/>
  <c r="I87" i="10"/>
  <c r="I88" i="10"/>
  <c r="I89" i="10"/>
  <c r="I90" i="10"/>
  <c r="I102" i="10"/>
  <c r="I110" i="10"/>
  <c r="I111" i="10"/>
  <c r="I112" i="10"/>
  <c r="I122" i="10"/>
  <c r="I139" i="10"/>
  <c r="I143" i="10"/>
  <c r="I147" i="10"/>
  <c r="I148" i="10"/>
  <c r="I149" i="10"/>
  <c r="Q143" i="10" l="1"/>
  <c r="Q71" i="10"/>
  <c r="Q68" i="10"/>
  <c r="Q90" i="10"/>
  <c r="Q111" i="10"/>
  <c r="Q46" i="10"/>
  <c r="Q89" i="10"/>
  <c r="Q87" i="10"/>
  <c r="Q70" i="10"/>
  <c r="Q48" i="10"/>
  <c r="Q41" i="10"/>
  <c r="Q149" i="10"/>
  <c r="Q147" i="10"/>
  <c r="Q23" i="10"/>
  <c r="Q56" i="10"/>
  <c r="Q102" i="10"/>
  <c r="Q66" i="10"/>
  <c r="Q26" i="10"/>
  <c r="Q148" i="10"/>
  <c r="Q112" i="10"/>
  <c r="Q110" i="10"/>
  <c r="Q27" i="10"/>
  <c r="Q65" i="10"/>
  <c r="Q64" i="10"/>
  <c r="Q63" i="10"/>
  <c r="Q62" i="10"/>
  <c r="Q82" i="10"/>
  <c r="Q69" i="10"/>
  <c r="Q67" i="10"/>
  <c r="Q88" i="10"/>
  <c r="Q25" i="10"/>
  <c r="Q86" i="10"/>
  <c r="Q84" i="10"/>
  <c r="Q139" i="10"/>
  <c r="Q61" i="10"/>
  <c r="Q122" i="10"/>
  <c r="Q72" i="10"/>
  <c r="Q57" i="10"/>
  <c r="K9" i="10"/>
  <c r="J119" i="10"/>
  <c r="K91" i="10"/>
  <c r="S91" i="10" s="1"/>
  <c r="L91" i="10"/>
  <c r="T91" i="10" s="1"/>
  <c r="J91" i="10"/>
  <c r="J145" i="10"/>
  <c r="K145" i="10"/>
  <c r="L145" i="10"/>
  <c r="K137" i="10"/>
  <c r="S137" i="10" s="1"/>
  <c r="L137" i="10"/>
  <c r="T137" i="10" s="1"/>
  <c r="L119" i="10"/>
  <c r="L59" i="10"/>
  <c r="T59" i="10" s="1"/>
  <c r="L37" i="10"/>
  <c r="K59" i="10"/>
  <c r="K80" i="10"/>
  <c r="J137" i="10"/>
  <c r="J80" i="10"/>
  <c r="K119" i="10"/>
  <c r="I92" i="10"/>
  <c r="I81" i="10"/>
  <c r="J59" i="10"/>
  <c r="S100" i="10" l="1"/>
  <c r="S119" i="10"/>
  <c r="T119" i="10"/>
  <c r="R119" i="10"/>
  <c r="R91" i="10"/>
  <c r="S59" i="10"/>
  <c r="Q81" i="10"/>
  <c r="R137" i="10"/>
  <c r="S80" i="10"/>
  <c r="Q10" i="10"/>
  <c r="Q92" i="10"/>
  <c r="R59" i="10"/>
  <c r="T145" i="10"/>
  <c r="S145" i="10"/>
  <c r="R80" i="10"/>
  <c r="R145" i="10"/>
  <c r="T37" i="10"/>
  <c r="K152" i="10"/>
  <c r="I145" i="10"/>
  <c r="I137" i="10"/>
  <c r="I91" i="10"/>
  <c r="I119" i="10"/>
  <c r="I100" i="10"/>
  <c r="L9" i="10"/>
  <c r="I80" i="10"/>
  <c r="I59" i="10"/>
  <c r="J9" i="10"/>
  <c r="J152" i="10" s="1"/>
  <c r="Q119" i="10" l="1"/>
  <c r="L152" i="10"/>
  <c r="Q80" i="10"/>
  <c r="Q137" i="10"/>
  <c r="Q145" i="10"/>
  <c r="Q100" i="10"/>
  <c r="Q91" i="10"/>
  <c r="Q59" i="10"/>
  <c r="R152" i="10"/>
  <c r="S152" i="10"/>
  <c r="I9" i="10"/>
  <c r="Q9" i="10" s="1"/>
  <c r="T9" i="10"/>
  <c r="S9" i="10"/>
  <c r="R9" i="10"/>
  <c r="T152" i="10" l="1"/>
  <c r="I152" i="10"/>
  <c r="Q152" i="10" l="1"/>
</calcChain>
</file>

<file path=xl/sharedStrings.xml><?xml version="1.0" encoding="utf-8"?>
<sst xmlns="http://schemas.openxmlformats.org/spreadsheetml/2006/main" count="531" uniqueCount="341">
  <si>
    <t>бюджет розвитку</t>
  </si>
  <si>
    <t>РАЗОМ</t>
  </si>
  <si>
    <t>Реверсна дотація</t>
  </si>
  <si>
    <t>0111</t>
  </si>
  <si>
    <t>1090</t>
  </si>
  <si>
    <t>0320</t>
  </si>
  <si>
    <t>0133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</si>
  <si>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</si>
  <si>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</si>
  <si>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</si>
  <si>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</si>
  <si>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</si>
  <si>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</si>
  <si>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</si>
  <si>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</si>
  <si>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</si>
  <si>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0990</t>
  </si>
  <si>
    <t>1040</t>
  </si>
  <si>
    <t>0810</t>
  </si>
  <si>
    <t>Утримання та навчально-тренувальна робота комунальних дитячо-юнацьких спортивних шкіл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</si>
  <si>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</si>
  <si>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</si>
  <si>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</si>
  <si>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</si>
  <si>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</si>
  <si>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</si>
  <si>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</si>
  <si>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</si>
  <si>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</si>
  <si>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</si>
  <si>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</si>
  <si>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</si>
  <si>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</si>
  <si>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Надання пільг окремим категоріям громадян з оплати послуг зв'язку</t>
  </si>
  <si>
    <t>3112</t>
  </si>
  <si>
    <t>4060</t>
  </si>
  <si>
    <t>0824</t>
  </si>
  <si>
    <t>0828</t>
  </si>
  <si>
    <t>0829</t>
  </si>
  <si>
    <t>0610</t>
  </si>
  <si>
    <t>6030</t>
  </si>
  <si>
    <t>0456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</si>
  <si>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</si>
  <si>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</si>
  <si>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</si>
  <si>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</si>
  <si>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</si>
  <si>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</si>
  <si>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Інші заходи та заклади молодіжної політики</t>
  </si>
  <si>
    <t>1115061</t>
  </si>
  <si>
    <t>5061</t>
  </si>
  <si>
    <t>Забезпечення діяльності місцевих центрів фізичного здоров я населення "Спорт для всіх" та проведення фізкультурно-масових заходів серед населення регіону</t>
  </si>
  <si>
    <t>0150</t>
  </si>
  <si>
    <t xml:space="preserve">Організаційне, інформатично-аналітичне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</si>
  <si>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2100</t>
  </si>
  <si>
    <t>Організація благоустрою  населених пунктів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</si>
  <si>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</si>
  <si>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</si>
  <si>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</si>
  <si>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</si>
  <si>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</si>
  <si>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</si>
  <si>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</si>
  <si>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</si>
  <si>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</si>
  <si>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</si>
  <si>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</si>
  <si>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</si>
  <si>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</si>
  <si>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</si>
  <si>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</si>
  <si>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</si>
  <si>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</si>
  <si>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</si>
  <si>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</si>
  <si>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Утримання та забезпечення діяльності центрів соціальних служб для сім'ї, дітей та молоді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</si>
  <si>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</si>
  <si>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</si>
  <si>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</si>
  <si>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</si>
  <si>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</si>
  <si>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</si>
  <si>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</si>
  <si>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</si>
  <si>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Забезпечення діяльності музеїв і виставок</t>
  </si>
  <si>
    <t>1014060</t>
  </si>
  <si>
    <t>Забезпечення діяльності палаців і будинків культури, клубів, центрів дозвілля та інших клубних закладів</t>
  </si>
  <si>
    <t>1110160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</si>
  <si>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</si>
  <si>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</si>
  <si>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</si>
  <si>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</si>
  <si>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</si>
  <si>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</si>
  <si>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</si>
  <si>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</si>
  <si>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</si>
  <si>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</si>
  <si>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</si>
  <si>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</si>
  <si>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</si>
  <si>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0218110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</si>
  <si>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</si>
  <si>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</si>
  <si>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6011</t>
  </si>
  <si>
    <t>Експлуатація та технічне обслуговування житлового фонду</t>
  </si>
  <si>
    <t>6013</t>
  </si>
  <si>
    <t>Забезпечення діяльності водопровідно-каналізаційного господарства</t>
  </si>
  <si>
    <t>Інша діяльність у сфері державного управління</t>
  </si>
  <si>
    <t>3710180</t>
  </si>
  <si>
    <t>9110</t>
  </si>
  <si>
    <t>3719110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</si>
  <si>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</si>
  <si>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</si>
  <si>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</si>
  <si>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</si>
  <si>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</si>
  <si>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</si>
  <si>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</si>
  <si>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</si>
  <si>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</si>
  <si>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 xml:space="preserve">Інша діяльність у сфері державного управління </t>
  </si>
  <si>
    <t>3104</t>
  </si>
  <si>
    <t>0813104</t>
  </si>
  <si>
    <t>1217461</t>
  </si>
  <si>
    <t>6012</t>
  </si>
  <si>
    <t>1216012</t>
  </si>
  <si>
    <t>Забезпечення діяльності з виробництва, транспортування, постачання теплової енергії</t>
  </si>
  <si>
    <t>0763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</si>
  <si>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</si>
  <si>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</si>
  <si>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</si>
  <si>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</si>
  <si>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</si>
  <si>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7693</t>
  </si>
  <si>
    <t>Інші заходи, пов'язані з економічною діяльністю</t>
  </si>
  <si>
    <t>Заходи із запобігання та ліквідації надзвичайних ситуацій та наслідків стихійного лиха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</si>
  <si>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</si>
  <si>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0813160</t>
  </si>
  <si>
    <t>3160</t>
  </si>
  <si>
    <t>Надання соціальних гарантій  фізичним особам, які надають соціальні послуги громадянам похилого віку,  особам з інвалідністю,  дітям з інвалідністю,  хворим, які не здатні до самообслуговування і потребують сторонньої допомоги</t>
  </si>
  <si>
    <t>0813180</t>
  </si>
  <si>
    <t>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</si>
  <si>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</si>
  <si>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0813192</t>
  </si>
  <si>
    <t>3192</t>
  </si>
  <si>
    <t>Надання фінансової підтримки громадським організаціям ветеранів і осіб з інвалідністю,   діяльність яких має соціальну спрямованість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</si>
  <si>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</si>
  <si>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</si>
  <si>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</si>
  <si>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</si>
  <si>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</si>
  <si>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</si>
  <si>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</si>
  <si>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</si>
  <si>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</si>
  <si>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Інша діяльність, пов'язана з експлуатацією об'єктів житлово - комунального господарства</t>
  </si>
  <si>
    <t>9800</t>
  </si>
  <si>
    <t>Субвенція з місцевого бюджету державному бюджету на виконання програм соціально - економічного розвитку регіонів</t>
  </si>
  <si>
    <t>3719800</t>
  </si>
  <si>
    <t>Багатопрофільна стаціонарна медична допомога населенню</t>
  </si>
  <si>
    <t>9770</t>
  </si>
  <si>
    <t>Інші субвенції з місцевого бюджету</t>
  </si>
  <si>
    <t>3719770</t>
  </si>
  <si>
    <t>0810180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</si>
  <si>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</si>
  <si>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</si>
  <si>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</si>
  <si>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</si>
  <si>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</si>
  <si>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</si>
  <si>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</si>
  <si>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</si>
  <si>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</si>
  <si>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</si>
  <si>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</si>
  <si>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</si>
  <si>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</si>
  <si>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</si>
  <si>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спеціальний фонд</t>
  </si>
  <si>
    <t>загальний  фонд</t>
  </si>
  <si>
    <t xml:space="preserve">з них </t>
  </si>
  <si>
    <t>в тому числ:</t>
  </si>
  <si>
    <t>Темп росту, %</t>
  </si>
  <si>
    <t>Начальник фінансового управління</t>
  </si>
  <si>
    <t>0218210</t>
  </si>
  <si>
    <t>8210</t>
  </si>
  <si>
    <t>Муніципальні формування з охорони громадського порядку</t>
  </si>
  <si>
    <t>2152</t>
  </si>
  <si>
    <t>0611021</t>
  </si>
  <si>
    <t>0611022</t>
  </si>
  <si>
    <t>1021</t>
  </si>
  <si>
    <t>1022</t>
  </si>
  <si>
    <t>Надання спеціальної освіти мистецькими школами</t>
  </si>
  <si>
    <t>1011080</t>
  </si>
  <si>
    <t>1080</t>
  </si>
  <si>
    <t>0611031</t>
  </si>
  <si>
    <t>1031</t>
  </si>
  <si>
    <t>0611032</t>
  </si>
  <si>
    <t>1032</t>
  </si>
  <si>
    <t>0611141</t>
  </si>
  <si>
    <t>1141</t>
  </si>
  <si>
    <t>0611151</t>
  </si>
  <si>
    <t>1151</t>
  </si>
  <si>
    <t xml:space="preserve">Забезпечення діяльності інклюзивно - ресурсних центрів  за  рахунок  коштів  місцевого бюджету </t>
  </si>
  <si>
    <t>0611152</t>
  </si>
  <si>
    <t>1152</t>
  </si>
  <si>
    <t>Забезпечення діяльності інклюзивно - ресурсних центрів  за  рахунок  освітньої  субвенції</t>
  </si>
  <si>
    <t>Виконавчий комітет Чорноморської міської ради Одеського району  Одеської області</t>
  </si>
  <si>
    <t>Виконавчий комітет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</si>
  <si>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</si>
  <si>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Відділ  культури Чорноморської міської ради Одеського району Одеської області</t>
  </si>
  <si>
    <t>Управління капітального будівництва Чорноморської міської ради Одеського району Одеської області</t>
  </si>
  <si>
    <t>Управління комунальної  власності  та земельних відносин Чорноморської 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</si>
  <si>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</si>
  <si>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Фінансове управління Чорноморської міської ради Одеського району  Одеської області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</si>
  <si>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</si>
  <si>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</si>
  <si>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</si>
  <si>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Ольга ЯКОВЕНКО</t>
  </si>
  <si>
    <t>Відділ комунального господарства та благоустрою Чорноморської  міської ради Одеського району Одеської області</t>
  </si>
  <si>
    <t>0380</t>
  </si>
  <si>
    <t>Стоматологічна допомога населенню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</si>
  <si>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</si>
  <si>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</si>
  <si>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</si>
  <si>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позашкільної освіти закладами позашкільної  освіти, заходи із позашкільної роботи з дітьми</t>
  </si>
  <si>
    <t>0610180</t>
  </si>
  <si>
    <t>1210180</t>
  </si>
  <si>
    <t>1516030</t>
  </si>
  <si>
    <t>0218230</t>
  </si>
  <si>
    <t>8230</t>
  </si>
  <si>
    <t>Інші заходи громадського порядку та безпеки</t>
  </si>
  <si>
    <t>7390</t>
  </si>
  <si>
    <t>Розвиток мережі центрів надання адміністративних послуг</t>
  </si>
  <si>
    <t>Керівництво і управління у відповідній сфері у містах (місті Києві), селищах, селах, територіальних громадах</t>
  </si>
  <si>
    <t>1517390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</si>
  <si>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</si>
  <si>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</si>
  <si>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</si>
  <si>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</si>
  <si>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</si>
  <si>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</si>
  <si>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</si>
  <si>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Інші заходи, пов`язані з економічною діяльністю</t>
  </si>
  <si>
    <t>Заходи та роботи з територіальної оборони</t>
  </si>
  <si>
    <t>1518110</t>
  </si>
  <si>
    <t>3116017</t>
  </si>
  <si>
    <t>Інша діяльність, пов`язана з експлуатацією об`єктів житлово-комунального господарства</t>
  </si>
  <si>
    <t>8240</t>
  </si>
  <si>
    <t>Відхилення, грн</t>
  </si>
  <si>
    <t>Забезпечення діяльності центрів професійного розвитку педагогічних працівників</t>
  </si>
  <si>
    <t>1516050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</si>
  <si>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</si>
  <si>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1516011</t>
  </si>
  <si>
    <t>Надання  загальної  середньої  освіти  закладами  загальної  середньої  освіти за  рахунок коштів  місцевого  бюджету</t>
  </si>
  <si>
    <t>Надання  загальної  середньої  освіти  спеціальними  закладами  загальної  середньої  освіти  для  дітей,  які  потребують  корекції  фізичного  та/або  розумового  розвитку, за  рахунок  місцевого бюджету</t>
  </si>
  <si>
    <t>Надання  загальної  середньої  освіти  закладами  загальної  середньої  освіти за  рахунок  освітньої  субвенції</t>
  </si>
  <si>
    <t>Надання  загальної  середньої  освіти  спеціальними  закладами  загальної  середньої  освіти  для  дітей,  які  потребують  корекції  фізичного  та/або  розумового  розвитку за рахунок  освітньої  субвенції</t>
  </si>
  <si>
    <t>Управління освіти Чорноморської  міської ради Одеського району Одеської області</t>
  </si>
  <si>
    <t>Управління освіти Чорноморської  міської ради  Одеського району Одеської області</t>
  </si>
  <si>
    <t>Відділ молоді та спорту Чорноморської  міської ради  Одеського району Одеської області</t>
  </si>
  <si>
    <t>Відділ молоді та спорту Чорноморської  міської ради Одеського району Одеської області</t>
  </si>
  <si>
    <t>1010180</t>
  </si>
  <si>
    <t>1110180</t>
  </si>
  <si>
    <t>0217680</t>
  </si>
  <si>
    <t>7680</t>
  </si>
  <si>
    <t>Членські внески до асоціацій органів місцевого самоврядування</t>
  </si>
  <si>
    <t>1510180</t>
  </si>
  <si>
    <t>0443</t>
  </si>
  <si>
    <t>Розроблення схем планування та забудови територій (містобудівної документації)</t>
  </si>
  <si>
    <t>1517640</t>
  </si>
  <si>
    <t>7640</t>
  </si>
  <si>
    <t>0470</t>
  </si>
  <si>
    <t>Заходи з енергозбереження</t>
  </si>
  <si>
    <t>0218220</t>
  </si>
  <si>
    <t>Заходи та роботи з мобілізаційної підготовки місцевого значення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</si>
  <si>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</si>
  <si>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</si>
  <si>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</si>
  <si>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</si>
  <si>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0900000</t>
  </si>
  <si>
    <t/>
  </si>
  <si>
    <t>Служба у справах дітей Чорноморської мiської ради Одеського району Одеської областi</t>
  </si>
  <si>
    <t>0910000</t>
  </si>
  <si>
    <t>0910160</t>
  </si>
  <si>
    <t>0913112</t>
  </si>
  <si>
    <t>1216015</t>
  </si>
  <si>
    <t>6015</t>
  </si>
  <si>
    <t>Забезпечення надійної та безперебійної експлуатації ліфтів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</si>
  <si>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</si>
  <si>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0540</t>
  </si>
  <si>
    <t>Природоохоронні заходи за рахунок цільових фондів</t>
  </si>
  <si>
    <t>1516013</t>
  </si>
  <si>
    <t>1516015</t>
  </si>
  <si>
    <t>0611160</t>
  </si>
  <si>
    <t>Разом</t>
  </si>
  <si>
    <t>усього</t>
  </si>
  <si>
    <t>Виконано за  1  півріччя  2023 року, грн</t>
  </si>
  <si>
    <t>Виконано за  1  півріччя  2024  року, грн</t>
  </si>
  <si>
    <t>0213112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</si>
  <si>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</si>
  <si>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</si>
  <si>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</si>
  <si>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0618110</t>
  </si>
  <si>
    <t>0818110</t>
  </si>
  <si>
    <t>8110</t>
  </si>
  <si>
    <t>Заходи із запобігання поширенню інфекційних захворювань за рахунок коштів резервного фонду місцевого бюджету</t>
  </si>
  <si>
    <t>1510150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</si>
  <si>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</si>
  <si>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Будівництво 1 освітніх установ та закладів</t>
  </si>
  <si>
    <t>Реалізація інших заходів щодо соціально-економічного розвитку територій</t>
  </si>
  <si>
    <t>3110180</t>
  </si>
  <si>
    <t>3118240</t>
  </si>
  <si>
    <t>0218775</t>
  </si>
  <si>
    <t>Інші заходи за рахунок коштів резервного фонду місцевого бюджету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</si>
  <si>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</si>
  <si>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</si>
  <si>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</si>
  <si>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</si>
  <si>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</si>
  <si>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1115049</t>
  </si>
  <si>
    <t>5049</t>
  </si>
  <si>
    <t>1210170</t>
  </si>
  <si>
    <t>1213210</t>
  </si>
  <si>
    <t>33210</t>
  </si>
  <si>
    <t>0217350</t>
  </si>
  <si>
    <t>0218340</t>
  </si>
  <si>
    <t>0218240</t>
  </si>
  <si>
    <t>7310</t>
  </si>
  <si>
    <t>Будівництво об'єктів житлово-комунального господарства</t>
  </si>
  <si>
    <t>Виконання окремих заходів з реалізації соціального проекту "Активні парки - локації здорової України"</t>
  </si>
  <si>
    <t>1050</t>
  </si>
  <si>
    <t>Організація та проведення громадських робіт</t>
  </si>
  <si>
    <t>у 44 рази</t>
  </si>
  <si>
    <t>у 20 разів</t>
  </si>
  <si>
    <t>у 12 разів</t>
  </si>
  <si>
    <t>у 13 разів</t>
  </si>
  <si>
    <t>у 10 разів</t>
  </si>
  <si>
    <t>у 12,7 разів</t>
  </si>
  <si>
    <t>Показники  бюджету Чорноморської міської територіальної громади за видатками  за 1 півріччя  2024 року  порівняно з аналогічними показниками за   відповідний  період  попереднього  бюджетного  періоду   із зазначенням динаміки їх зміни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</si>
</sst>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0.0%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8" fillId="0" borderId="0"/>
    <xf numFmtId="0" fontId="7" fillId="0" borderId="0"/>
    <xf numFmtId="0" fontId="7" fillId="0" borderId="0"/>
    <xf numFmtId="0" fontId="15" fillId="0" borderId="0"/>
    <xf numFmtId="0" fontId="14" fillId="0" borderId="0"/>
    <xf numFmtId="0" fontId="6" fillId="0" borderId="0"/>
    <xf numFmtId="0" fontId="5" fillId="0" borderId="0"/>
    <xf numFmtId="0" fontId="7" fillId="0" borderId="0"/>
    <xf numFmtId="0" fontId="18" fillId="3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9" fillId="2" borderId="0" xfId="0" applyFont="1" applyFill="1"/>
    <xf numFmtId="49" fontId="9" fillId="2" borderId="0" xfId="0" applyNumberFormat="1" applyFont="1" applyFill="1"/>
    <xf numFmtId="164" fontId="9" fillId="2" borderId="0" xfId="2" applyNumberFormat="1" applyFont="1" applyFill="1"/>
    <xf numFmtId="0" fontId="9" fillId="2" borderId="0" xfId="2" applyFont="1" applyFill="1"/>
    <xf numFmtId="4" fontId="9" fillId="2" borderId="0" xfId="0" applyNumberFormat="1" applyFont="1" applyFill="1"/>
    <xf numFmtId="2" fontId="9" fillId="2" borderId="0" xfId="0" applyNumberFormat="1" applyFont="1" applyFill="1"/>
    <xf numFmtId="3" fontId="9" fillId="2" borderId="0" xfId="2" applyNumberFormat="1" applyFont="1" applyFill="1"/>
    <xf numFmtId="0" fontId="9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0" fillId="2" borderId="1" xfId="2" applyFont="1" applyFill="1" applyBorder="1" applyAlignment="1">
      <alignment horizontal="left" vertical="center" wrapText="1"/>
    </xf>
    <xf numFmtId="166" fontId="10" fillId="2" borderId="1" xfId="2" applyNumberFormat="1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left" vertical="center" wrapText="1"/>
    </xf>
    <xf numFmtId="166" fontId="11" fillId="2" borderId="1" xfId="2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left" vertical="center" wrapText="1"/>
    </xf>
    <xf numFmtId="0" fontId="9" fillId="2" borderId="1" xfId="3" applyFont="1" applyFill="1" applyBorder="1" applyAlignment="1">
      <alignment horizontal="left" vertical="center" wrapText="1"/>
    </xf>
    <xf numFmtId="49" fontId="9" fillId="2" borderId="1" xfId="2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left" vertical="center"/>
    </xf>
    <xf numFmtId="0" fontId="16" fillId="2" borderId="1" xfId="4" quotePrefix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2" fillId="2" borderId="5" xfId="4" quotePrefix="1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horizontal="center" vertical="center" wrapText="1"/>
    </xf>
    <xf numFmtId="49" fontId="12" fillId="2" borderId="1" xfId="4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6" fillId="2" borderId="1" xfId="4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9" fillId="2" borderId="0" xfId="0" applyNumberFormat="1" applyFont="1" applyFill="1"/>
    <xf numFmtId="3" fontId="9" fillId="2" borderId="0" xfId="0" applyNumberFormat="1" applyFont="1" applyFill="1"/>
    <xf numFmtId="0" fontId="10" fillId="2" borderId="1" xfId="0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left" vertical="center" wrapText="1"/>
    </xf>
    <xf numFmtId="3" fontId="10" fillId="2" borderId="1" xfId="2" applyNumberFormat="1" applyFont="1" applyFill="1" applyBorder="1" applyAlignment="1">
      <alignment horizontal="left" vertical="center"/>
    </xf>
    <xf numFmtId="3" fontId="9" fillId="2" borderId="1" xfId="2" applyNumberFormat="1" applyFont="1" applyFill="1" applyBorder="1" applyAlignment="1">
      <alignment horizontal="left" vertical="center"/>
    </xf>
    <xf numFmtId="3" fontId="11" fillId="2" borderId="1" xfId="2" applyNumberFormat="1" applyFont="1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4" quotePrefix="1" applyFont="1" applyFill="1" applyBorder="1" applyAlignment="1">
      <alignment horizontal="left" vertical="center" wrapText="1"/>
    </xf>
    <xf numFmtId="166" fontId="9" fillId="2" borderId="1" xfId="2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3" fontId="9" fillId="4" borderId="1" xfId="2" applyNumberFormat="1" applyFont="1" applyFill="1" applyBorder="1" applyAlignment="1">
      <alignment horizontal="left" vertical="center"/>
    </xf>
    <xf numFmtId="0" fontId="12" fillId="2" borderId="1" xfId="13" quotePrefix="1" applyFont="1" applyFill="1" applyBorder="1" applyAlignment="1">
      <alignment vertical="center" wrapText="1"/>
    </xf>
    <xf numFmtId="0" fontId="12" fillId="2" borderId="1" xfId="12" quotePrefix="1" applyFont="1" applyFill="1" applyBorder="1" applyAlignment="1">
      <alignment horizontal="left" vertical="center" wrapText="1"/>
    </xf>
    <xf numFmtId="0" fontId="12" fillId="2" borderId="1" xfId="10" quotePrefix="1" applyFont="1" applyFill="1" applyBorder="1" applyAlignment="1">
      <alignment horizontal="left" vertical="center" wrapText="1"/>
    </xf>
    <xf numFmtId="0" fontId="12" fillId="2" borderId="1" xfId="11" quotePrefix="1" applyFont="1" applyFill="1" applyBorder="1" applyAlignment="1">
      <alignment horizontal="left" vertical="center" wrapText="1"/>
    </xf>
    <xf numFmtId="0" fontId="13" fillId="2" borderId="1" xfId="11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left" vertical="center" wrapText="1"/>
    </xf>
    <xf numFmtId="2" fontId="12" fillId="0" borderId="1" xfId="0" quotePrefix="1" applyNumberFormat="1" applyFont="1" applyFill="1" applyBorder="1" applyAlignment="1">
      <alignment horizontal="left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0" fontId="12" fillId="2" borderId="1" xfId="13" quotePrefix="1" applyFont="1" applyFill="1" applyBorder="1" applyAlignment="1">
      <alignment horizontal="left" vertical="center" wrapText="1"/>
    </xf>
    <xf numFmtId="0" fontId="12" fillId="0" borderId="5" xfId="0" quotePrefix="1" applyFont="1" applyFill="1" applyBorder="1" applyAlignment="1">
      <alignment horizontal="left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 wrapText="1"/>
    </xf>
    <xf numFmtId="49" fontId="12" fillId="2" borderId="1" xfId="10" applyNumberFormat="1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49" fontId="12" fillId="2" borderId="1" xfId="11" applyNumberFormat="1" applyFont="1" applyFill="1" applyBorder="1" applyAlignment="1">
      <alignment horizontal="center" vertical="center" wrapText="1"/>
    </xf>
    <xf numFmtId="0" fontId="12" fillId="2" borderId="1" xfId="11" applyFont="1" applyFill="1" applyBorder="1" applyAlignment="1">
      <alignment horizontal="center" vertical="center" wrapText="1"/>
    </xf>
    <xf numFmtId="49" fontId="9" fillId="2" borderId="1" xfId="11" applyNumberFormat="1" applyFont="1" applyFill="1" applyBorder="1" applyAlignment="1">
      <alignment horizontal="center" vertical="center"/>
    </xf>
    <xf numFmtId="0" fontId="12" fillId="2" borderId="1" xfId="13" applyFont="1" applyFill="1" applyBorder="1" applyAlignment="1">
      <alignment horizontal="center" vertical="center" wrapText="1"/>
    </xf>
    <xf numFmtId="49" fontId="12" fillId="2" borderId="1" xfId="1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13" applyFont="1" applyFill="1" applyBorder="1" applyAlignment="1">
      <alignment vertical="center" wrapText="1"/>
    </xf>
    <xf numFmtId="49" fontId="9" fillId="2" borderId="1" xfId="13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49" fontId="9" fillId="2" borderId="3" xfId="1" applyNumberFormat="1" applyFont="1" applyFill="1" applyBorder="1" applyAlignment="1" applyProtection="1">
      <alignment horizontal="center" vertical="center" wrapText="1"/>
    </xf>
    <xf numFmtId="49" fontId="9" fillId="2" borderId="4" xfId="1" applyNumberFormat="1" applyFont="1" applyFill="1" applyBorder="1" applyAlignment="1" applyProtection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</cellXfs>
  <cellStyles count="14">
    <cellStyle name="Гарний 2" xfId="9"/>
    <cellStyle name="Звичайний" xfId="0" builtinId="0"/>
    <cellStyle name="Звичайний 2" xfId="4"/>
    <cellStyle name="Звичайний 3" xfId="6"/>
    <cellStyle name="Звичайний 4" xfId="7"/>
    <cellStyle name="Звичайний 5" xfId="10"/>
    <cellStyle name="Звичайний 6" xfId="11"/>
    <cellStyle name="Звичайний 7" xfId="12"/>
    <cellStyle name="Звичайний 8" xfId="13"/>
    <cellStyle name="Обычный 2" xfId="5"/>
    <cellStyle name="Обычный 2 2" xfId="8"/>
    <cellStyle name="Обычный 3" xfId="1"/>
    <cellStyle name="Обычный_дод 2" xfId="3"/>
    <cellStyle name="Обычный_до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1"/>
  <sheetViews>
    <sheetView showZeros="0" tabSelected="1" view="pageBreakPreview" zoomScale="69" zoomScaleNormal="75" zoomScaleSheetLayoutView="69" workbookViewId="0">
      <pane xSplit="4" ySplit="8" topLeftCell="E150" activePane="bottomRight" state="frozen"/>
      <selection pane="topRight" activeCell="E1" sqref="E1"/>
      <selection pane="bottomLeft" activeCell="A13" sqref="A13"/>
      <selection pane="bottomRight" activeCell="D3" sqref="D3:D7"/>
    </sheetView>
  </sheetViews>
  <sheetFormatPr defaultColWidth="8.88671875" defaultRowHeight="18"/>
  <cols>
    <col min="1" max="1" width="15.33203125" style="30" customWidth="1"/>
    <col min="2" max="2" width="11.44140625" style="2" customWidth="1"/>
    <col min="3" max="3" width="14.33203125" style="2" customWidth="1"/>
    <col min="4" max="4" width="53.33203125" style="1" customWidth="1"/>
    <col min="5" max="5" width="20.88671875" style="1" customWidth="1"/>
    <col min="6" max="6" width="22.5546875" style="1" customWidth="1"/>
    <col min="7" max="7" width="19.33203125" style="1" customWidth="1"/>
    <col min="8" max="8" width="19.6640625" style="1" customWidth="1"/>
    <col min="9" max="9" width="22.44140625" style="1" customWidth="1"/>
    <col min="10" max="10" width="19.6640625" style="1" customWidth="1"/>
    <col min="11" max="11" width="19.109375" style="1" customWidth="1"/>
    <col min="12" max="12" width="21.5546875" style="1" customWidth="1"/>
    <col min="13" max="13" width="14.109375" style="1" customWidth="1"/>
    <col min="14" max="14" width="14.5546875" style="1" customWidth="1"/>
    <col min="15" max="15" width="14.44140625" style="1" customWidth="1"/>
    <col min="16" max="16" width="15.6640625" style="1" customWidth="1"/>
    <col min="17" max="17" width="21.109375" style="1" customWidth="1"/>
    <col min="18" max="18" width="20.109375" style="1" customWidth="1"/>
    <col min="19" max="19" width="19.109375" style="1" customWidth="1"/>
    <col min="20" max="20" width="20" style="1" customWidth="1"/>
    <col min="21" max="21" width="14.33203125" style="1" bestFit="1" customWidth="1"/>
    <col min="22" max="16384" width="8.88671875" style="1"/>
  </cols>
  <sheetData>
    <row r="1" spans="1:21">
      <c r="A1" s="32"/>
      <c r="E1" s="31"/>
      <c r="F1" s="31"/>
      <c r="G1" s="31"/>
      <c r="H1" s="31"/>
      <c r="I1" s="31"/>
      <c r="J1" s="31"/>
      <c r="K1" s="33"/>
      <c r="L1" s="31"/>
      <c r="M1" s="31"/>
      <c r="N1" s="33"/>
    </row>
    <row r="2" spans="1:21" ht="59.25" customHeight="1">
      <c r="A2" s="82" t="s">
        <v>340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1" ht="20.399999999999999" customHeight="1">
      <c r="A3" s="88" t="s">
        <v>165</v>
      </c>
      <c r="B3" s="88" t="s">
        <v>166</v>
      </c>
      <c r="C3" s="91" t="s">
        <v>167</v>
      </c>
      <c r="D3" s="92" t="s">
        <v>168</v>
      </c>
      <c r="E3" s="85" t="s">
        <v>298</v>
      </c>
      <c r="F3" s="86"/>
      <c r="G3" s="86"/>
      <c r="H3" s="87"/>
      <c r="I3" s="85" t="s">
        <v>299</v>
      </c>
      <c r="J3" s="86"/>
      <c r="K3" s="86"/>
      <c r="L3" s="87"/>
      <c r="M3" s="85" t="s">
        <v>183</v>
      </c>
      <c r="N3" s="86"/>
      <c r="O3" s="86"/>
      <c r="P3" s="87"/>
      <c r="Q3" s="85" t="s">
        <v>250</v>
      </c>
      <c r="R3" s="86"/>
      <c r="S3" s="86"/>
      <c r="T3" s="87"/>
    </row>
    <row r="4" spans="1:21" ht="25.5" customHeight="1">
      <c r="A4" s="89"/>
      <c r="B4" s="89"/>
      <c r="C4" s="91"/>
      <c r="D4" s="92"/>
      <c r="E4" s="83" t="s">
        <v>296</v>
      </c>
      <c r="F4" s="83" t="s">
        <v>182</v>
      </c>
      <c r="G4" s="83"/>
      <c r="H4" s="83"/>
      <c r="I4" s="83" t="s">
        <v>296</v>
      </c>
      <c r="J4" s="83" t="s">
        <v>182</v>
      </c>
      <c r="K4" s="83"/>
      <c r="L4" s="83"/>
      <c r="M4" s="83" t="s">
        <v>296</v>
      </c>
      <c r="N4" s="83" t="s">
        <v>182</v>
      </c>
      <c r="O4" s="83"/>
      <c r="P4" s="83"/>
      <c r="Q4" s="83" t="s">
        <v>296</v>
      </c>
      <c r="R4" s="83" t="s">
        <v>182</v>
      </c>
      <c r="S4" s="83"/>
      <c r="T4" s="83"/>
    </row>
    <row r="5" spans="1:21" ht="15" customHeight="1">
      <c r="A5" s="89"/>
      <c r="B5" s="89"/>
      <c r="C5" s="91"/>
      <c r="D5" s="92"/>
      <c r="E5" s="83"/>
      <c r="F5" s="83" t="s">
        <v>180</v>
      </c>
      <c r="G5" s="83" t="s">
        <v>179</v>
      </c>
      <c r="H5" s="83"/>
      <c r="I5" s="83"/>
      <c r="J5" s="83" t="s">
        <v>180</v>
      </c>
      <c r="K5" s="83" t="s">
        <v>179</v>
      </c>
      <c r="L5" s="83"/>
      <c r="M5" s="83"/>
      <c r="N5" s="83" t="s">
        <v>180</v>
      </c>
      <c r="O5" s="83" t="s">
        <v>179</v>
      </c>
      <c r="P5" s="83"/>
      <c r="Q5" s="83"/>
      <c r="R5" s="83" t="s">
        <v>180</v>
      </c>
      <c r="S5" s="83" t="s">
        <v>179</v>
      </c>
      <c r="T5" s="83"/>
    </row>
    <row r="6" spans="1:21" ht="24" customHeight="1">
      <c r="A6" s="89"/>
      <c r="B6" s="89"/>
      <c r="C6" s="91"/>
      <c r="D6" s="92"/>
      <c r="E6" s="83"/>
      <c r="F6" s="84"/>
      <c r="G6" s="83" t="s">
        <v>297</v>
      </c>
      <c r="H6" s="39" t="s">
        <v>181</v>
      </c>
      <c r="I6" s="83"/>
      <c r="J6" s="84"/>
      <c r="K6" s="83" t="s">
        <v>297</v>
      </c>
      <c r="L6" s="39" t="s">
        <v>181</v>
      </c>
      <c r="M6" s="83"/>
      <c r="N6" s="84"/>
      <c r="O6" s="83" t="s">
        <v>297</v>
      </c>
      <c r="P6" s="39" t="s">
        <v>181</v>
      </c>
      <c r="Q6" s="83"/>
      <c r="R6" s="84"/>
      <c r="S6" s="83" t="s">
        <v>297</v>
      </c>
      <c r="T6" s="39" t="s">
        <v>181</v>
      </c>
    </row>
    <row r="7" spans="1:21" ht="168.75" customHeight="1">
      <c r="A7" s="90"/>
      <c r="B7" s="90"/>
      <c r="C7" s="91"/>
      <c r="D7" s="92"/>
      <c r="E7" s="83"/>
      <c r="F7" s="84"/>
      <c r="G7" s="83"/>
      <c r="H7" s="39" t="s">
        <v>0</v>
      </c>
      <c r="I7" s="83"/>
      <c r="J7" s="84"/>
      <c r="K7" s="83"/>
      <c r="L7" s="39" t="s">
        <v>0</v>
      </c>
      <c r="M7" s="83"/>
      <c r="N7" s="84"/>
      <c r="O7" s="83"/>
      <c r="P7" s="39" t="s">
        <v>0</v>
      </c>
      <c r="Q7" s="83"/>
      <c r="R7" s="84"/>
      <c r="S7" s="83"/>
      <c r="T7" s="39" t="s">
        <v>0</v>
      </c>
    </row>
    <row r="8" spans="1:21">
      <c r="A8" s="25">
        <v>1</v>
      </c>
      <c r="B8" s="25">
        <v>2</v>
      </c>
      <c r="C8" s="25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9">
        <v>17</v>
      </c>
      <c r="R8" s="9">
        <v>18</v>
      </c>
      <c r="S8" s="9">
        <v>19</v>
      </c>
      <c r="T8" s="9">
        <v>20</v>
      </c>
    </row>
    <row r="9" spans="1:21" s="34" customFormat="1" ht="52.2">
      <c r="A9" s="27" t="s">
        <v>63</v>
      </c>
      <c r="B9" s="27"/>
      <c r="C9" s="27"/>
      <c r="D9" s="10" t="s">
        <v>208</v>
      </c>
      <c r="E9" s="42">
        <f t="shared" ref="E9:L9" si="0">E10</f>
        <v>61402314.090000011</v>
      </c>
      <c r="F9" s="42">
        <f t="shared" si="0"/>
        <v>61038389.06000001</v>
      </c>
      <c r="G9" s="42">
        <f t="shared" si="0"/>
        <v>363925.02999999997</v>
      </c>
      <c r="H9" s="42">
        <f t="shared" si="0"/>
        <v>88860</v>
      </c>
      <c r="I9" s="42">
        <f t="shared" si="0"/>
        <v>74960268.469999999</v>
      </c>
      <c r="J9" s="42">
        <f t="shared" si="0"/>
        <v>67584941.239999995</v>
      </c>
      <c r="K9" s="42">
        <f t="shared" si="0"/>
        <v>7375327.2300000004</v>
      </c>
      <c r="L9" s="42">
        <f t="shared" si="0"/>
        <v>3971136.25</v>
      </c>
      <c r="M9" s="11">
        <f>IFERROR((I9/E9),"")</f>
        <v>1.2208052673735963</v>
      </c>
      <c r="N9" s="11">
        <f t="shared" ref="N9:P9" si="1">IFERROR((J9/F9),"")</f>
        <v>1.1072530301146186</v>
      </c>
      <c r="O9" s="11" t="s">
        <v>335</v>
      </c>
      <c r="P9" s="11" t="s">
        <v>334</v>
      </c>
      <c r="Q9" s="47">
        <f>I9-E9</f>
        <v>13557954.379999988</v>
      </c>
      <c r="R9" s="47">
        <f>J9-F9</f>
        <v>6546552.1799999848</v>
      </c>
      <c r="S9" s="47">
        <f t="shared" ref="S9:T9" si="2">K9-G9</f>
        <v>7011402.2000000002</v>
      </c>
      <c r="T9" s="47">
        <f t="shared" si="2"/>
        <v>3882276.25</v>
      </c>
    </row>
    <row r="10" spans="1:21" s="34" customFormat="1" ht="52.2">
      <c r="A10" s="27" t="s">
        <v>64</v>
      </c>
      <c r="B10" s="27"/>
      <c r="C10" s="27"/>
      <c r="D10" s="10" t="s">
        <v>209</v>
      </c>
      <c r="E10" s="43">
        <f>F10+G10</f>
        <v>61402314.090000011</v>
      </c>
      <c r="F10" s="43">
        <f>F11+F16+F17+F18+F19+F20+F21+F23+F24+F30+F33+F31+F36+F29+F32+F22+F34+F35+F28</f>
        <v>61038389.06000001</v>
      </c>
      <c r="G10" s="43">
        <f t="shared" ref="G10:H10" si="3">G11+G16+G17+G18+G19+G20+G21+G23+G24+G30+G33+G31+G36+G29+G32+G22+G34+G35+G28</f>
        <v>363925.02999999997</v>
      </c>
      <c r="H10" s="43">
        <f t="shared" si="3"/>
        <v>88860</v>
      </c>
      <c r="I10" s="43">
        <f>J10+K10</f>
        <v>74960268.469999999</v>
      </c>
      <c r="J10" s="43">
        <f>J11+J16+J17+J18+J19+J20+J21+J23+J24+J30+J33+J31+J36+J29+J32+J22+J34+J35+J28</f>
        <v>67584941.239999995</v>
      </c>
      <c r="K10" s="43">
        <f>K11+K16+K17+K18+K19+K20+K21+K23+K24+K30+K33+K31+K36+K29+K32+K22+K34+K35+K28</f>
        <v>7375327.2300000004</v>
      </c>
      <c r="L10" s="43">
        <f>L11+L16+L17+L18+L19+L20+L21+L23+L24+L30+L33+L31+L36+L29+L32+L22+L34+L35+L28</f>
        <v>3971136.25</v>
      </c>
      <c r="M10" s="11">
        <f t="shared" ref="M10:M73" si="4">IFERROR((I10/E10),"")</f>
        <v>1.2208052673735963</v>
      </c>
      <c r="N10" s="11">
        <f t="shared" ref="N10:N73" si="5">IFERROR((J10/F10),"")</f>
        <v>1.1072530301146186</v>
      </c>
      <c r="O10" s="11" t="s">
        <v>335</v>
      </c>
      <c r="P10" s="11" t="s">
        <v>334</v>
      </c>
      <c r="Q10" s="47">
        <f t="shared" ref="Q10:Q65" si="6">I10-E10</f>
        <v>13557954.379999988</v>
      </c>
      <c r="R10" s="47">
        <f t="shared" ref="R10:R65" si="7">J10-F10</f>
        <v>6546552.1799999848</v>
      </c>
      <c r="S10" s="47">
        <f t="shared" ref="S10:S65" si="8">K10-G10</f>
        <v>7011402.2000000002</v>
      </c>
      <c r="T10" s="47">
        <f t="shared" ref="T10:T65" si="9">L10-H10</f>
        <v>3882276.25</v>
      </c>
    </row>
    <row r="11" spans="1:21" s="53" customFormat="1" ht="90">
      <c r="A11" s="25" t="s">
        <v>65</v>
      </c>
      <c r="B11" s="25" t="s">
        <v>52</v>
      </c>
      <c r="C11" s="25" t="s">
        <v>3</v>
      </c>
      <c r="D11" s="26" t="s">
        <v>53</v>
      </c>
      <c r="E11" s="44">
        <f>F11+G11</f>
        <v>29999244.32</v>
      </c>
      <c r="F11" s="44">
        <f>F12+F13+F14+F15</f>
        <v>29662619.289999999</v>
      </c>
      <c r="G11" s="44">
        <f t="shared" ref="G11:H11" si="10">G12+G13+G14+G15</f>
        <v>336625.02999999997</v>
      </c>
      <c r="H11" s="44">
        <f t="shared" si="10"/>
        <v>61560</v>
      </c>
      <c r="I11" s="44">
        <f>J11+K11</f>
        <v>37558394.399999999</v>
      </c>
      <c r="J11" s="44">
        <f>J12+J13+J14+J15</f>
        <v>34174203.420000002</v>
      </c>
      <c r="K11" s="44">
        <f t="shared" ref="K11:L11" si="11">K12+K13+K14+K15</f>
        <v>3384190.98</v>
      </c>
      <c r="L11" s="44">
        <f t="shared" si="11"/>
        <v>0</v>
      </c>
      <c r="M11" s="51">
        <f t="shared" si="4"/>
        <v>1.2519780164915832</v>
      </c>
      <c r="N11" s="51">
        <f t="shared" si="5"/>
        <v>1.1520966198531553</v>
      </c>
      <c r="O11" s="51" t="s">
        <v>338</v>
      </c>
      <c r="P11" s="51">
        <f t="shared" ref="P10:P73" si="12">IFERROR((L11/H11),"")</f>
        <v>0</v>
      </c>
      <c r="Q11" s="46">
        <f t="shared" si="6"/>
        <v>7559150.0799999982</v>
      </c>
      <c r="R11" s="46">
        <f t="shared" si="7"/>
        <v>4511584.1300000027</v>
      </c>
      <c r="S11" s="46">
        <f t="shared" si="8"/>
        <v>3047565.95</v>
      </c>
      <c r="T11" s="46">
        <f t="shared" si="9"/>
        <v>-61560</v>
      </c>
      <c r="U11" s="35"/>
    </row>
    <row r="12" spans="1:21" s="36" customFormat="1" ht="36">
      <c r="A12" s="28"/>
      <c r="B12" s="28"/>
      <c r="C12" s="28"/>
      <c r="D12" s="12" t="s">
        <v>209</v>
      </c>
      <c r="E12" s="45">
        <f>F12+G12</f>
        <v>26814541.48</v>
      </c>
      <c r="F12" s="45">
        <v>26485412.75</v>
      </c>
      <c r="G12" s="45">
        <v>329128.73</v>
      </c>
      <c r="H12" s="45">
        <v>61560</v>
      </c>
      <c r="I12" s="45">
        <f>J12+K12</f>
        <v>34039104.780000001</v>
      </c>
      <c r="J12" s="45">
        <v>30655938.84</v>
      </c>
      <c r="K12" s="45">
        <f>33186.88+3349979.06</f>
        <v>3383165.94</v>
      </c>
      <c r="L12" s="45"/>
      <c r="M12" s="13">
        <f t="shared" si="4"/>
        <v>1.2694270683460518</v>
      </c>
      <c r="N12" s="13">
        <f t="shared" si="5"/>
        <v>1.1574650215711666</v>
      </c>
      <c r="O12" s="13" t="s">
        <v>338</v>
      </c>
      <c r="P12" s="13">
        <f t="shared" si="12"/>
        <v>0</v>
      </c>
      <c r="Q12" s="48">
        <f t="shared" si="6"/>
        <v>7224563.3000000007</v>
      </c>
      <c r="R12" s="48">
        <f t="shared" si="7"/>
        <v>4170526.09</v>
      </c>
      <c r="S12" s="48">
        <f t="shared" si="8"/>
        <v>3054037.21</v>
      </c>
      <c r="T12" s="48">
        <f t="shared" si="9"/>
        <v>-61560</v>
      </c>
    </row>
    <row r="13" spans="1:21" s="36" customFormat="1" ht="54">
      <c r="A13" s="28"/>
      <c r="B13" s="28"/>
      <c r="C13" s="28"/>
      <c r="D13" s="12" t="s">
        <v>216</v>
      </c>
      <c r="E13" s="45">
        <f t="shared" ref="E13:E30" si="13">F13+G13</f>
        <v>1226434.48</v>
      </c>
      <c r="F13" s="45">
        <v>1225459.18</v>
      </c>
      <c r="G13" s="45">
        <v>975.3</v>
      </c>
      <c r="H13" s="45"/>
      <c r="I13" s="45">
        <f t="shared" ref="I13:I14" si="14">J13+K13</f>
        <v>1397715.08</v>
      </c>
      <c r="J13" s="45">
        <v>1396690.04</v>
      </c>
      <c r="K13" s="45">
        <v>1025.04</v>
      </c>
      <c r="L13" s="45"/>
      <c r="M13" s="13">
        <f t="shared" si="4"/>
        <v>1.1396573586222072</v>
      </c>
      <c r="N13" s="13">
        <f t="shared" si="5"/>
        <v>1.1397279181506479</v>
      </c>
      <c r="O13" s="13">
        <f t="shared" ref="O10:O73" si="15">IFERROR((K13/G13),"")</f>
        <v>1.0509996924023377</v>
      </c>
      <c r="P13" s="13" t="str">
        <f t="shared" si="12"/>
        <v/>
      </c>
      <c r="Q13" s="48">
        <f t="shared" si="6"/>
        <v>171280.60000000009</v>
      </c>
      <c r="R13" s="48">
        <f t="shared" si="7"/>
        <v>171230.8600000001</v>
      </c>
      <c r="S13" s="48">
        <f t="shared" si="8"/>
        <v>49.740000000000009</v>
      </c>
      <c r="T13" s="48">
        <f t="shared" si="9"/>
        <v>0</v>
      </c>
    </row>
    <row r="14" spans="1:21" s="36" customFormat="1" ht="54">
      <c r="A14" s="28"/>
      <c r="B14" s="28"/>
      <c r="C14" s="28"/>
      <c r="D14" s="12" t="s">
        <v>217</v>
      </c>
      <c r="E14" s="45">
        <f t="shared" si="13"/>
        <v>887796.03</v>
      </c>
      <c r="F14" s="45">
        <v>887796.03</v>
      </c>
      <c r="G14" s="45"/>
      <c r="H14" s="45"/>
      <c r="I14" s="45">
        <f t="shared" si="14"/>
        <v>992856.19</v>
      </c>
      <c r="J14" s="45">
        <v>992856.19</v>
      </c>
      <c r="K14" s="45"/>
      <c r="L14" s="45"/>
      <c r="M14" s="13">
        <f t="shared" si="4"/>
        <v>1.1183381727895314</v>
      </c>
      <c r="N14" s="13">
        <f t="shared" si="5"/>
        <v>1.1183381727895314</v>
      </c>
      <c r="O14" s="13" t="str">
        <f t="shared" si="15"/>
        <v/>
      </c>
      <c r="P14" s="13" t="str">
        <f t="shared" si="12"/>
        <v/>
      </c>
      <c r="Q14" s="48">
        <f t="shared" si="6"/>
        <v>105060.15999999992</v>
      </c>
      <c r="R14" s="48">
        <f t="shared" si="7"/>
        <v>105060.15999999992</v>
      </c>
      <c r="S14" s="48">
        <f t="shared" si="8"/>
        <v>0</v>
      </c>
      <c r="T14" s="48">
        <f t="shared" si="9"/>
        <v>0</v>
      </c>
    </row>
    <row r="15" spans="1:21" s="36" customFormat="1" ht="54">
      <c r="A15" s="28"/>
      <c r="B15" s="28"/>
      <c r="C15" s="28"/>
      <c r="D15" s="12" t="s">
        <v>218</v>
      </c>
      <c r="E15" s="45">
        <f t="shared" si="13"/>
        <v>1070472.33</v>
      </c>
      <c r="F15" s="45">
        <v>1063951.33</v>
      </c>
      <c r="G15" s="45">
        <v>6521</v>
      </c>
      <c r="H15" s="45"/>
      <c r="I15" s="45">
        <f t="shared" ref="I15:I64" si="16">J15+K15</f>
        <v>1128718.3500000001</v>
      </c>
      <c r="J15" s="45">
        <v>1128718.3500000001</v>
      </c>
      <c r="K15" s="45"/>
      <c r="L15" s="45"/>
      <c r="M15" s="13">
        <f t="shared" si="4"/>
        <v>1.0544115138408108</v>
      </c>
      <c r="N15" s="13">
        <f t="shared" si="5"/>
        <v>1.0608740439283064</v>
      </c>
      <c r="O15" s="13">
        <f t="shared" si="15"/>
        <v>0</v>
      </c>
      <c r="P15" s="13" t="str">
        <f t="shared" si="12"/>
        <v/>
      </c>
      <c r="Q15" s="48">
        <f t="shared" si="6"/>
        <v>58246.020000000019</v>
      </c>
      <c r="R15" s="48">
        <f t="shared" si="7"/>
        <v>64767.020000000019</v>
      </c>
      <c r="S15" s="48">
        <f t="shared" si="8"/>
        <v>-6521</v>
      </c>
      <c r="T15" s="48">
        <f t="shared" si="9"/>
        <v>0</v>
      </c>
    </row>
    <row r="16" spans="1:21" s="53" customFormat="1" ht="54">
      <c r="A16" s="25" t="s">
        <v>116</v>
      </c>
      <c r="B16" s="25" t="s">
        <v>117</v>
      </c>
      <c r="C16" s="25" t="s">
        <v>118</v>
      </c>
      <c r="D16" s="26" t="s">
        <v>119</v>
      </c>
      <c r="E16" s="44">
        <f>F16</f>
        <v>8840</v>
      </c>
      <c r="F16" s="44">
        <v>8840</v>
      </c>
      <c r="G16" s="44"/>
      <c r="H16" s="44"/>
      <c r="I16" s="44">
        <f t="shared" si="16"/>
        <v>4400</v>
      </c>
      <c r="J16" s="44">
        <v>4400</v>
      </c>
      <c r="K16" s="44"/>
      <c r="L16" s="44"/>
      <c r="M16" s="51">
        <f t="shared" si="4"/>
        <v>0.49773755656108598</v>
      </c>
      <c r="N16" s="51">
        <f t="shared" si="5"/>
        <v>0.49773755656108598</v>
      </c>
      <c r="O16" s="51" t="str">
        <f t="shared" si="15"/>
        <v/>
      </c>
      <c r="P16" s="51" t="str">
        <f t="shared" si="12"/>
        <v/>
      </c>
      <c r="Q16" s="46">
        <f t="shared" si="6"/>
        <v>-4440</v>
      </c>
      <c r="R16" s="46">
        <f t="shared" si="7"/>
        <v>-4440</v>
      </c>
      <c r="S16" s="46">
        <f t="shared" si="8"/>
        <v>0</v>
      </c>
      <c r="T16" s="46">
        <f t="shared" si="9"/>
        <v>0</v>
      </c>
    </row>
    <row r="17" spans="1:21" s="53" customFormat="1" ht="36">
      <c r="A17" s="25" t="s">
        <v>120</v>
      </c>
      <c r="B17" s="25" t="s">
        <v>8</v>
      </c>
      <c r="C17" s="25" t="s">
        <v>6</v>
      </c>
      <c r="D17" s="26" t="s">
        <v>121</v>
      </c>
      <c r="E17" s="44">
        <f t="shared" si="13"/>
        <v>414316.35</v>
      </c>
      <c r="F17" s="44">
        <v>414316.35</v>
      </c>
      <c r="G17" s="44"/>
      <c r="H17" s="44"/>
      <c r="I17" s="44">
        <f t="shared" si="16"/>
        <v>777518.8</v>
      </c>
      <c r="J17" s="44">
        <v>777518.8</v>
      </c>
      <c r="K17" s="44"/>
      <c r="L17" s="44"/>
      <c r="M17" s="51">
        <f t="shared" si="4"/>
        <v>1.8766307436334582</v>
      </c>
      <c r="N17" s="51">
        <f t="shared" si="5"/>
        <v>1.8766307436334582</v>
      </c>
      <c r="O17" s="51" t="str">
        <f t="shared" si="15"/>
        <v/>
      </c>
      <c r="P17" s="51" t="str">
        <f t="shared" si="12"/>
        <v/>
      </c>
      <c r="Q17" s="46">
        <f t="shared" si="6"/>
        <v>363202.45000000007</v>
      </c>
      <c r="R17" s="46">
        <f t="shared" si="7"/>
        <v>363202.45000000007</v>
      </c>
      <c r="S17" s="46">
        <f t="shared" si="8"/>
        <v>0</v>
      </c>
      <c r="T17" s="46">
        <f t="shared" si="9"/>
        <v>0</v>
      </c>
    </row>
    <row r="18" spans="1:21" s="53" customFormat="1" ht="36">
      <c r="A18" s="25" t="s">
        <v>66</v>
      </c>
      <c r="B18" s="25" t="s">
        <v>28</v>
      </c>
      <c r="C18" s="25" t="s">
        <v>29</v>
      </c>
      <c r="D18" s="49" t="s">
        <v>160</v>
      </c>
      <c r="E18" s="44">
        <f t="shared" si="13"/>
        <v>10230517.09</v>
      </c>
      <c r="F18" s="44">
        <v>10230517.09</v>
      </c>
      <c r="G18" s="44"/>
      <c r="H18" s="44"/>
      <c r="I18" s="44">
        <f t="shared" si="16"/>
        <v>12504813.26</v>
      </c>
      <c r="J18" s="44">
        <v>10070176.01</v>
      </c>
      <c r="K18" s="44">
        <v>2434637.25</v>
      </c>
      <c r="L18" s="44">
        <v>2434637.25</v>
      </c>
      <c r="M18" s="51">
        <f t="shared" si="4"/>
        <v>1.2223051044236122</v>
      </c>
      <c r="N18" s="51">
        <f t="shared" si="5"/>
        <v>0.98432717734700548</v>
      </c>
      <c r="O18" s="51" t="str">
        <f t="shared" si="15"/>
        <v/>
      </c>
      <c r="P18" s="51" t="str">
        <f t="shared" si="12"/>
        <v/>
      </c>
      <c r="Q18" s="46">
        <f t="shared" si="6"/>
        <v>2274296.17</v>
      </c>
      <c r="R18" s="46">
        <f t="shared" si="7"/>
        <v>-160341.08000000007</v>
      </c>
      <c r="S18" s="46">
        <f t="shared" si="8"/>
        <v>2434637.25</v>
      </c>
      <c r="T18" s="46">
        <f t="shared" si="9"/>
        <v>2434637.25</v>
      </c>
      <c r="U18" s="35"/>
    </row>
    <row r="19" spans="1:21" s="53" customFormat="1" ht="30" customHeight="1">
      <c r="A19" s="25" t="s">
        <v>67</v>
      </c>
      <c r="B19" s="25" t="s">
        <v>54</v>
      </c>
      <c r="C19" s="25" t="s">
        <v>30</v>
      </c>
      <c r="D19" s="49" t="s">
        <v>222</v>
      </c>
      <c r="E19" s="44">
        <f t="shared" si="13"/>
        <v>2867961.09</v>
      </c>
      <c r="F19" s="44">
        <v>2840661.09</v>
      </c>
      <c r="G19" s="44">
        <v>27300</v>
      </c>
      <c r="H19" s="44">
        <f>G19</f>
        <v>27300</v>
      </c>
      <c r="I19" s="44">
        <f t="shared" si="16"/>
        <v>3291673.44</v>
      </c>
      <c r="J19" s="44">
        <v>3291673.44</v>
      </c>
      <c r="K19" s="44"/>
      <c r="L19" s="44"/>
      <c r="M19" s="51">
        <f t="shared" si="4"/>
        <v>1.1477399227895384</v>
      </c>
      <c r="N19" s="51">
        <f t="shared" si="5"/>
        <v>1.1587702072548189</v>
      </c>
      <c r="O19" s="51">
        <f t="shared" si="15"/>
        <v>0</v>
      </c>
      <c r="P19" s="51">
        <f t="shared" si="12"/>
        <v>0</v>
      </c>
      <c r="Q19" s="46">
        <f t="shared" si="6"/>
        <v>423712.35000000009</v>
      </c>
      <c r="R19" s="46">
        <f t="shared" si="7"/>
        <v>451012.35000000009</v>
      </c>
      <c r="S19" s="46">
        <f t="shared" si="8"/>
        <v>-27300</v>
      </c>
      <c r="T19" s="46">
        <f t="shared" si="9"/>
        <v>-27300</v>
      </c>
    </row>
    <row r="20" spans="1:21" s="53" customFormat="1" ht="54">
      <c r="A20" s="23" t="s">
        <v>237</v>
      </c>
      <c r="B20" s="23">
        <v>2111</v>
      </c>
      <c r="C20" s="23" t="s">
        <v>238</v>
      </c>
      <c r="D20" s="50" t="s">
        <v>239</v>
      </c>
      <c r="E20" s="44">
        <f t="shared" si="13"/>
        <v>29935.82</v>
      </c>
      <c r="F20" s="44">
        <v>29935.82</v>
      </c>
      <c r="G20" s="44"/>
      <c r="H20" s="44"/>
      <c r="I20" s="44">
        <f t="shared" si="16"/>
        <v>3807273.5</v>
      </c>
      <c r="J20" s="44">
        <v>3807273.5</v>
      </c>
      <c r="K20" s="44"/>
      <c r="L20" s="44"/>
      <c r="M20" s="51" t="s">
        <v>339</v>
      </c>
      <c r="N20" s="51" t="s">
        <v>339</v>
      </c>
      <c r="O20" s="51" t="str">
        <f t="shared" si="15"/>
        <v/>
      </c>
      <c r="P20" s="51" t="str">
        <f t="shared" si="12"/>
        <v/>
      </c>
      <c r="Q20" s="46">
        <f t="shared" si="6"/>
        <v>3777337.68</v>
      </c>
      <c r="R20" s="46">
        <f t="shared" si="7"/>
        <v>3777337.68</v>
      </c>
      <c r="S20" s="46">
        <f t="shared" si="8"/>
        <v>0</v>
      </c>
      <c r="T20" s="46">
        <f t="shared" si="9"/>
        <v>0</v>
      </c>
    </row>
    <row r="21" spans="1:21" s="53" customFormat="1" ht="36">
      <c r="A21" s="23" t="s">
        <v>240</v>
      </c>
      <c r="B21" s="23" t="s">
        <v>188</v>
      </c>
      <c r="C21" s="23" t="s">
        <v>128</v>
      </c>
      <c r="D21" s="50" t="s">
        <v>241</v>
      </c>
      <c r="E21" s="44">
        <f t="shared" si="13"/>
        <v>871660.6</v>
      </c>
      <c r="F21" s="44">
        <v>871660.6</v>
      </c>
      <c r="G21" s="44"/>
      <c r="H21" s="44"/>
      <c r="I21" s="44">
        <f t="shared" si="16"/>
        <v>721639.05999999994</v>
      </c>
      <c r="J21" s="44">
        <f>103076.58+618562.48</f>
        <v>721639.05999999994</v>
      </c>
      <c r="K21" s="44"/>
      <c r="L21" s="44"/>
      <c r="M21" s="51">
        <f t="shared" si="4"/>
        <v>0.82788996084026278</v>
      </c>
      <c r="N21" s="51">
        <f t="shared" si="5"/>
        <v>0.82788996084026278</v>
      </c>
      <c r="O21" s="51" t="str">
        <f t="shared" si="15"/>
        <v/>
      </c>
      <c r="P21" s="51" t="str">
        <f t="shared" si="12"/>
        <v/>
      </c>
      <c r="Q21" s="46">
        <f t="shared" si="6"/>
        <v>-150021.54000000004</v>
      </c>
      <c r="R21" s="46">
        <f t="shared" si="7"/>
        <v>-150021.54000000004</v>
      </c>
      <c r="S21" s="46">
        <f t="shared" si="8"/>
        <v>0</v>
      </c>
      <c r="T21" s="46">
        <f t="shared" si="9"/>
        <v>0</v>
      </c>
    </row>
    <row r="22" spans="1:21" s="53" customFormat="1" ht="36">
      <c r="A22" s="25" t="s">
        <v>300</v>
      </c>
      <c r="B22" s="25" t="s">
        <v>34</v>
      </c>
      <c r="C22" s="25" t="s">
        <v>17</v>
      </c>
      <c r="D22" s="49" t="s">
        <v>43</v>
      </c>
      <c r="E22" s="44">
        <f t="shared" si="13"/>
        <v>36000</v>
      </c>
      <c r="F22" s="44">
        <v>36000</v>
      </c>
      <c r="G22" s="44"/>
      <c r="H22" s="44"/>
      <c r="I22" s="44">
        <f t="shared" si="16"/>
        <v>0</v>
      </c>
      <c r="J22" s="44"/>
      <c r="K22" s="44"/>
      <c r="L22" s="44"/>
      <c r="M22" s="51">
        <f t="shared" si="4"/>
        <v>0</v>
      </c>
      <c r="N22" s="51">
        <f t="shared" si="5"/>
        <v>0</v>
      </c>
      <c r="O22" s="51" t="str">
        <f t="shared" si="15"/>
        <v/>
      </c>
      <c r="P22" s="51" t="str">
        <f t="shared" si="12"/>
        <v/>
      </c>
      <c r="Q22" s="46">
        <f t="shared" ref="Q22" si="17">I22-E22</f>
        <v>-36000</v>
      </c>
      <c r="R22" s="46">
        <f t="shared" ref="R22" si="18">J22-F22</f>
        <v>-36000</v>
      </c>
      <c r="S22" s="46">
        <f t="shared" ref="S22" si="19">K22-G22</f>
        <v>0</v>
      </c>
      <c r="T22" s="46">
        <f t="shared" ref="T22" si="20">L22-H22</f>
        <v>0</v>
      </c>
    </row>
    <row r="23" spans="1:21" s="53" customFormat="1" ht="36">
      <c r="A23" s="25" t="s">
        <v>149</v>
      </c>
      <c r="B23" s="25" t="s">
        <v>147</v>
      </c>
      <c r="C23" s="25" t="s">
        <v>4</v>
      </c>
      <c r="D23" s="26" t="s">
        <v>148</v>
      </c>
      <c r="E23" s="44">
        <f t="shared" si="13"/>
        <v>2293500</v>
      </c>
      <c r="F23" s="44">
        <v>2293500</v>
      </c>
      <c r="G23" s="44"/>
      <c r="H23" s="44"/>
      <c r="I23" s="44">
        <f t="shared" si="16"/>
        <v>1614500</v>
      </c>
      <c r="J23" s="44">
        <v>1614500</v>
      </c>
      <c r="K23" s="44"/>
      <c r="L23" s="44"/>
      <c r="M23" s="51">
        <f t="shared" si="4"/>
        <v>0.70394593416176154</v>
      </c>
      <c r="N23" s="51">
        <f t="shared" si="5"/>
        <v>0.70394593416176154</v>
      </c>
      <c r="O23" s="51" t="str">
        <f t="shared" si="15"/>
        <v/>
      </c>
      <c r="P23" s="51" t="str">
        <f t="shared" si="12"/>
        <v/>
      </c>
      <c r="Q23" s="46">
        <f t="shared" si="6"/>
        <v>-679000</v>
      </c>
      <c r="R23" s="46">
        <f t="shared" si="7"/>
        <v>-679000</v>
      </c>
      <c r="S23" s="46">
        <f t="shared" si="8"/>
        <v>0</v>
      </c>
      <c r="T23" s="46">
        <f t="shared" si="9"/>
        <v>0</v>
      </c>
    </row>
    <row r="24" spans="1:21" s="53" customFormat="1" ht="33.6" customHeight="1">
      <c r="A24" s="25" t="s">
        <v>68</v>
      </c>
      <c r="B24" s="25" t="s">
        <v>40</v>
      </c>
      <c r="C24" s="25" t="s">
        <v>7</v>
      </c>
      <c r="D24" s="26" t="s">
        <v>55</v>
      </c>
      <c r="E24" s="44">
        <f t="shared" si="13"/>
        <v>2908351.03</v>
      </c>
      <c r="F24" s="44">
        <f>F25+F26+F27</f>
        <v>2908351.03</v>
      </c>
      <c r="G24" s="44">
        <f t="shared" ref="G24:L24" si="21">G25+G26+G27</f>
        <v>0</v>
      </c>
      <c r="H24" s="44">
        <f t="shared" si="21"/>
        <v>0</v>
      </c>
      <c r="I24" s="44">
        <f t="shared" si="16"/>
        <v>2261073.6500000004</v>
      </c>
      <c r="J24" s="44">
        <f>J25+J26+J27</f>
        <v>2261073.6500000004</v>
      </c>
      <c r="K24" s="44">
        <f t="shared" si="21"/>
        <v>0</v>
      </c>
      <c r="L24" s="44">
        <f t="shared" si="21"/>
        <v>0</v>
      </c>
      <c r="M24" s="51">
        <f t="shared" si="4"/>
        <v>0.77744179663209378</v>
      </c>
      <c r="N24" s="51">
        <f t="shared" si="5"/>
        <v>0.77744179663209378</v>
      </c>
      <c r="O24" s="51" t="str">
        <f t="shared" si="15"/>
        <v/>
      </c>
      <c r="P24" s="51" t="str">
        <f t="shared" si="12"/>
        <v/>
      </c>
      <c r="Q24" s="46">
        <f t="shared" si="6"/>
        <v>-647277.37999999942</v>
      </c>
      <c r="R24" s="46">
        <f t="shared" si="7"/>
        <v>-647277.37999999942</v>
      </c>
      <c r="S24" s="46">
        <f t="shared" si="8"/>
        <v>0</v>
      </c>
      <c r="T24" s="46">
        <f t="shared" si="9"/>
        <v>0</v>
      </c>
    </row>
    <row r="25" spans="1:21" s="36" customFormat="1" ht="54">
      <c r="A25" s="28"/>
      <c r="B25" s="28"/>
      <c r="C25" s="28"/>
      <c r="D25" s="12" t="s">
        <v>216</v>
      </c>
      <c r="E25" s="45">
        <f t="shared" si="13"/>
        <v>1897240.08</v>
      </c>
      <c r="F25" s="45">
        <v>1897240.08</v>
      </c>
      <c r="G25" s="45"/>
      <c r="H25" s="45"/>
      <c r="I25" s="45">
        <f t="shared" si="16"/>
        <v>1773981.36</v>
      </c>
      <c r="J25" s="45">
        <v>1773981.36</v>
      </c>
      <c r="K25" s="45"/>
      <c r="L25" s="45"/>
      <c r="M25" s="13">
        <f t="shared" si="4"/>
        <v>0.93503261853924147</v>
      </c>
      <c r="N25" s="13">
        <f t="shared" si="5"/>
        <v>0.93503261853924147</v>
      </c>
      <c r="O25" s="13" t="str">
        <f t="shared" si="15"/>
        <v/>
      </c>
      <c r="P25" s="13" t="str">
        <f t="shared" si="12"/>
        <v/>
      </c>
      <c r="Q25" s="48">
        <f t="shared" si="6"/>
        <v>-123258.71999999997</v>
      </c>
      <c r="R25" s="48">
        <f t="shared" si="7"/>
        <v>-123258.71999999997</v>
      </c>
      <c r="S25" s="48">
        <f t="shared" si="8"/>
        <v>0</v>
      </c>
      <c r="T25" s="48">
        <f t="shared" si="9"/>
        <v>0</v>
      </c>
    </row>
    <row r="26" spans="1:21" s="36" customFormat="1" ht="54">
      <c r="A26" s="28"/>
      <c r="B26" s="28"/>
      <c r="C26" s="28"/>
      <c r="D26" s="12" t="s">
        <v>217</v>
      </c>
      <c r="E26" s="45">
        <f t="shared" si="13"/>
        <v>333709.63</v>
      </c>
      <c r="F26" s="45">
        <v>333709.63</v>
      </c>
      <c r="G26" s="45"/>
      <c r="H26" s="45"/>
      <c r="I26" s="45">
        <f t="shared" si="16"/>
        <v>242478.29</v>
      </c>
      <c r="J26" s="45">
        <v>242478.29</v>
      </c>
      <c r="K26" s="45"/>
      <c r="L26" s="45"/>
      <c r="M26" s="13">
        <f t="shared" si="4"/>
        <v>0.72661460204190098</v>
      </c>
      <c r="N26" s="13">
        <f t="shared" si="5"/>
        <v>0.72661460204190098</v>
      </c>
      <c r="O26" s="13" t="str">
        <f t="shared" si="15"/>
        <v/>
      </c>
      <c r="P26" s="13" t="str">
        <f t="shared" si="12"/>
        <v/>
      </c>
      <c r="Q26" s="48">
        <f t="shared" si="6"/>
        <v>-91231.34</v>
      </c>
      <c r="R26" s="48">
        <f t="shared" si="7"/>
        <v>-91231.34</v>
      </c>
      <c r="S26" s="48">
        <f t="shared" si="8"/>
        <v>0</v>
      </c>
      <c r="T26" s="48">
        <f t="shared" si="9"/>
        <v>0</v>
      </c>
    </row>
    <row r="27" spans="1:21" s="36" customFormat="1" ht="54">
      <c r="A27" s="28"/>
      <c r="B27" s="28"/>
      <c r="C27" s="28"/>
      <c r="D27" s="12" t="s">
        <v>218</v>
      </c>
      <c r="E27" s="45">
        <f t="shared" si="13"/>
        <v>677401.32</v>
      </c>
      <c r="F27" s="45">
        <v>677401.32</v>
      </c>
      <c r="G27" s="45"/>
      <c r="H27" s="45"/>
      <c r="I27" s="45">
        <f t="shared" si="16"/>
        <v>244614</v>
      </c>
      <c r="J27" s="45">
        <v>244614</v>
      </c>
      <c r="K27" s="45"/>
      <c r="L27" s="45"/>
      <c r="M27" s="13">
        <f t="shared" si="4"/>
        <v>0.3611064708288434</v>
      </c>
      <c r="N27" s="13">
        <f t="shared" si="5"/>
        <v>0.3611064708288434</v>
      </c>
      <c r="O27" s="13" t="str">
        <f t="shared" si="15"/>
        <v/>
      </c>
      <c r="P27" s="13" t="str">
        <f t="shared" si="12"/>
        <v/>
      </c>
      <c r="Q27" s="48">
        <f t="shared" si="6"/>
        <v>-432787.31999999995</v>
      </c>
      <c r="R27" s="48">
        <f t="shared" si="7"/>
        <v>-432787.31999999995</v>
      </c>
      <c r="S27" s="48">
        <f t="shared" si="8"/>
        <v>0</v>
      </c>
      <c r="T27" s="48">
        <f t="shared" si="9"/>
        <v>0</v>
      </c>
    </row>
    <row r="28" spans="1:21" s="36" customFormat="1" ht="36">
      <c r="A28" s="65" t="s">
        <v>326</v>
      </c>
      <c r="B28" s="66">
        <v>7350</v>
      </c>
      <c r="C28" s="65" t="s">
        <v>269</v>
      </c>
      <c r="D28" s="56" t="s">
        <v>270</v>
      </c>
      <c r="E28" s="45">
        <f t="shared" si="13"/>
        <v>0</v>
      </c>
      <c r="F28" s="45"/>
      <c r="G28" s="45"/>
      <c r="H28" s="45"/>
      <c r="I28" s="45">
        <f t="shared" si="16"/>
        <v>259999</v>
      </c>
      <c r="J28" s="45"/>
      <c r="K28" s="45">
        <v>259999</v>
      </c>
      <c r="L28" s="45">
        <v>259999</v>
      </c>
      <c r="M28" s="51" t="str">
        <f t="shared" si="4"/>
        <v/>
      </c>
      <c r="N28" s="51" t="str">
        <f t="shared" si="5"/>
        <v/>
      </c>
      <c r="O28" s="51" t="str">
        <f t="shared" si="15"/>
        <v/>
      </c>
      <c r="P28" s="51" t="str">
        <f t="shared" si="12"/>
        <v/>
      </c>
      <c r="Q28" s="48">
        <f t="shared" ref="Q28" si="22">I28-E28</f>
        <v>259999</v>
      </c>
      <c r="R28" s="48">
        <f t="shared" ref="R28" si="23">J28-F28</f>
        <v>0</v>
      </c>
      <c r="S28" s="48">
        <f t="shared" ref="S28" si="24">K28-G28</f>
        <v>259999</v>
      </c>
      <c r="T28" s="48">
        <f t="shared" ref="T28" si="25">L28-H28</f>
        <v>259999</v>
      </c>
    </row>
    <row r="29" spans="1:21" s="36" customFormat="1" ht="36">
      <c r="A29" s="23" t="s">
        <v>265</v>
      </c>
      <c r="B29" s="23" t="s">
        <v>266</v>
      </c>
      <c r="C29" s="23" t="s">
        <v>20</v>
      </c>
      <c r="D29" s="50" t="s">
        <v>267</v>
      </c>
      <c r="E29" s="44">
        <f t="shared" si="13"/>
        <v>70700</v>
      </c>
      <c r="F29" s="44">
        <v>70700</v>
      </c>
      <c r="G29" s="44"/>
      <c r="H29" s="44"/>
      <c r="I29" s="44">
        <f t="shared" si="16"/>
        <v>76895</v>
      </c>
      <c r="J29" s="44">
        <v>76895</v>
      </c>
      <c r="K29" s="44"/>
      <c r="L29" s="44"/>
      <c r="M29" s="51">
        <f t="shared" si="4"/>
        <v>1.0876237623762377</v>
      </c>
      <c r="N29" s="51">
        <f t="shared" si="5"/>
        <v>1.0876237623762377</v>
      </c>
      <c r="O29" s="51" t="str">
        <f t="shared" si="15"/>
        <v/>
      </c>
      <c r="P29" s="51" t="str">
        <f t="shared" si="12"/>
        <v/>
      </c>
      <c r="Q29" s="46">
        <f t="shared" si="6"/>
        <v>6195</v>
      </c>
      <c r="R29" s="46">
        <f t="shared" si="7"/>
        <v>6195</v>
      </c>
      <c r="S29" s="46">
        <f t="shared" si="8"/>
        <v>0</v>
      </c>
      <c r="T29" s="46">
        <f t="shared" si="9"/>
        <v>0</v>
      </c>
    </row>
    <row r="30" spans="1:21" s="53" customFormat="1" ht="54">
      <c r="A30" s="24" t="s">
        <v>101</v>
      </c>
      <c r="B30" s="23">
        <v>8110</v>
      </c>
      <c r="C30" s="24" t="s">
        <v>5</v>
      </c>
      <c r="D30" s="50" t="s">
        <v>136</v>
      </c>
      <c r="E30" s="44">
        <f t="shared" si="13"/>
        <v>15000</v>
      </c>
      <c r="F30" s="44">
        <v>15000</v>
      </c>
      <c r="G30" s="44"/>
      <c r="H30" s="44"/>
      <c r="I30" s="44">
        <f t="shared" si="16"/>
        <v>0</v>
      </c>
      <c r="J30" s="44"/>
      <c r="K30" s="44"/>
      <c r="L30" s="44"/>
      <c r="M30" s="51">
        <f t="shared" si="4"/>
        <v>0</v>
      </c>
      <c r="N30" s="51">
        <f t="shared" si="5"/>
        <v>0</v>
      </c>
      <c r="O30" s="51" t="str">
        <f t="shared" si="15"/>
        <v/>
      </c>
      <c r="P30" s="51" t="str">
        <f t="shared" si="12"/>
        <v/>
      </c>
      <c r="Q30" s="46">
        <f t="shared" si="6"/>
        <v>-15000</v>
      </c>
      <c r="R30" s="46">
        <f t="shared" si="7"/>
        <v>-15000</v>
      </c>
      <c r="S30" s="46">
        <f t="shared" si="8"/>
        <v>0</v>
      </c>
      <c r="T30" s="46">
        <f t="shared" si="9"/>
        <v>0</v>
      </c>
    </row>
    <row r="31" spans="1:21" s="53" customFormat="1" ht="36">
      <c r="A31" s="25" t="s">
        <v>185</v>
      </c>
      <c r="B31" s="25" t="s">
        <v>186</v>
      </c>
      <c r="C31" s="25" t="s">
        <v>5</v>
      </c>
      <c r="D31" s="49" t="s">
        <v>187</v>
      </c>
      <c r="E31" s="44">
        <f t="shared" ref="E31:E36" si="26">F31+G31</f>
        <v>8949764.75</v>
      </c>
      <c r="F31" s="44">
        <v>8949764.75</v>
      </c>
      <c r="G31" s="44"/>
      <c r="H31" s="44"/>
      <c r="I31" s="44">
        <f t="shared" ref="I31:I36" si="27">J31+K31</f>
        <v>9251677.6400000006</v>
      </c>
      <c r="J31" s="44">
        <v>9251677.6400000006</v>
      </c>
      <c r="K31" s="44"/>
      <c r="L31" s="44"/>
      <c r="M31" s="51">
        <f t="shared" si="4"/>
        <v>1.0337341704987275</v>
      </c>
      <c r="N31" s="51">
        <f t="shared" si="5"/>
        <v>1.0337341704987275</v>
      </c>
      <c r="O31" s="51" t="str">
        <f t="shared" si="15"/>
        <v/>
      </c>
      <c r="P31" s="51" t="str">
        <f t="shared" si="12"/>
        <v/>
      </c>
      <c r="Q31" s="46">
        <f t="shared" si="6"/>
        <v>301912.8900000006</v>
      </c>
      <c r="R31" s="46">
        <f t="shared" si="7"/>
        <v>301912.8900000006</v>
      </c>
      <c r="S31" s="46">
        <f t="shared" si="8"/>
        <v>0</v>
      </c>
      <c r="T31" s="46">
        <f t="shared" si="9"/>
        <v>0</v>
      </c>
    </row>
    <row r="32" spans="1:21" s="53" customFormat="1" ht="36">
      <c r="A32" s="24" t="s">
        <v>275</v>
      </c>
      <c r="B32" s="23">
        <v>8220</v>
      </c>
      <c r="C32" s="23" t="s">
        <v>221</v>
      </c>
      <c r="D32" s="50" t="s">
        <v>276</v>
      </c>
      <c r="E32" s="44">
        <f t="shared" si="26"/>
        <v>136640.04</v>
      </c>
      <c r="F32" s="44">
        <v>136640.04</v>
      </c>
      <c r="G32" s="44"/>
      <c r="H32" s="44"/>
      <c r="I32" s="44">
        <f t="shared" si="27"/>
        <v>62010</v>
      </c>
      <c r="J32" s="44">
        <v>62010</v>
      </c>
      <c r="K32" s="44"/>
      <c r="L32" s="44"/>
      <c r="M32" s="51">
        <f t="shared" si="4"/>
        <v>0.45382012475991662</v>
      </c>
      <c r="N32" s="51">
        <f t="shared" si="5"/>
        <v>0.45382012475991662</v>
      </c>
      <c r="O32" s="51" t="str">
        <f t="shared" si="15"/>
        <v/>
      </c>
      <c r="P32" s="51" t="str">
        <f t="shared" si="12"/>
        <v/>
      </c>
      <c r="Q32" s="46">
        <f t="shared" si="6"/>
        <v>-74630.040000000008</v>
      </c>
      <c r="R32" s="46">
        <f t="shared" si="7"/>
        <v>-74630.040000000008</v>
      </c>
      <c r="S32" s="46">
        <f t="shared" si="8"/>
        <v>0</v>
      </c>
      <c r="T32" s="46">
        <f t="shared" si="9"/>
        <v>0</v>
      </c>
    </row>
    <row r="33" spans="1:20" s="53" customFormat="1" ht="26.4" customHeight="1">
      <c r="A33" s="25" t="s">
        <v>230</v>
      </c>
      <c r="B33" s="25" t="s">
        <v>231</v>
      </c>
      <c r="C33" s="25" t="s">
        <v>221</v>
      </c>
      <c r="D33" s="26" t="s">
        <v>232</v>
      </c>
      <c r="E33" s="44">
        <f t="shared" si="26"/>
        <v>2569883</v>
      </c>
      <c r="F33" s="44">
        <v>2569883</v>
      </c>
      <c r="G33" s="44"/>
      <c r="H33" s="44"/>
      <c r="I33" s="44">
        <f t="shared" si="27"/>
        <v>992556</v>
      </c>
      <c r="J33" s="44">
        <v>992556</v>
      </c>
      <c r="K33" s="44"/>
      <c r="L33" s="44"/>
      <c r="M33" s="51">
        <f t="shared" si="4"/>
        <v>0.38622614336917283</v>
      </c>
      <c r="N33" s="51">
        <f t="shared" si="5"/>
        <v>0.38622614336917283</v>
      </c>
      <c r="O33" s="51" t="str">
        <f t="shared" si="15"/>
        <v/>
      </c>
      <c r="P33" s="51" t="str">
        <f t="shared" si="12"/>
        <v/>
      </c>
      <c r="Q33" s="46">
        <f t="shared" si="6"/>
        <v>-1577327</v>
      </c>
      <c r="R33" s="46">
        <f t="shared" si="7"/>
        <v>-1577327</v>
      </c>
      <c r="S33" s="46">
        <f t="shared" si="8"/>
        <v>0</v>
      </c>
      <c r="T33" s="46">
        <f t="shared" si="9"/>
        <v>0</v>
      </c>
    </row>
    <row r="34" spans="1:20" s="53" customFormat="1" ht="25.8" customHeight="1">
      <c r="A34" s="65" t="s">
        <v>328</v>
      </c>
      <c r="B34" s="66">
        <v>8240</v>
      </c>
      <c r="C34" s="65" t="s">
        <v>221</v>
      </c>
      <c r="D34" s="56" t="s">
        <v>245</v>
      </c>
      <c r="E34" s="44">
        <f t="shared" si="26"/>
        <v>0</v>
      </c>
      <c r="F34" s="44"/>
      <c r="G34" s="44"/>
      <c r="H34" s="44"/>
      <c r="I34" s="44">
        <f t="shared" si="27"/>
        <v>1276500</v>
      </c>
      <c r="J34" s="44"/>
      <c r="K34" s="44">
        <v>1276500</v>
      </c>
      <c r="L34" s="44">
        <v>1276500</v>
      </c>
      <c r="M34" s="51" t="str">
        <f t="shared" si="4"/>
        <v/>
      </c>
      <c r="N34" s="51" t="str">
        <f t="shared" si="5"/>
        <v/>
      </c>
      <c r="O34" s="51" t="str">
        <f t="shared" si="15"/>
        <v/>
      </c>
      <c r="P34" s="51" t="str">
        <f t="shared" si="12"/>
        <v/>
      </c>
      <c r="Q34" s="46">
        <f t="shared" ref="Q34" si="28">I34-E34</f>
        <v>1276500</v>
      </c>
      <c r="R34" s="46">
        <f t="shared" ref="R34" si="29">J34-F34</f>
        <v>0</v>
      </c>
      <c r="S34" s="46">
        <f t="shared" ref="S34" si="30">K34-G34</f>
        <v>1276500</v>
      </c>
      <c r="T34" s="46">
        <f t="shared" ref="T34" si="31">L34-H34</f>
        <v>1276500</v>
      </c>
    </row>
    <row r="35" spans="1:20" s="53" customFormat="1" ht="36">
      <c r="A35" s="65" t="s">
        <v>327</v>
      </c>
      <c r="B35" s="66">
        <v>8340</v>
      </c>
      <c r="C35" s="66" t="s">
        <v>291</v>
      </c>
      <c r="D35" s="56" t="s">
        <v>292</v>
      </c>
      <c r="E35" s="44">
        <f t="shared" si="26"/>
        <v>0</v>
      </c>
      <c r="F35" s="44"/>
      <c r="G35" s="44"/>
      <c r="H35" s="44"/>
      <c r="I35" s="44">
        <f t="shared" si="27"/>
        <v>20000</v>
      </c>
      <c r="J35" s="44"/>
      <c r="K35" s="44">
        <v>20000</v>
      </c>
      <c r="L35" s="44"/>
      <c r="M35" s="51" t="str">
        <f t="shared" si="4"/>
        <v/>
      </c>
      <c r="N35" s="51" t="str">
        <f t="shared" si="5"/>
        <v/>
      </c>
      <c r="O35" s="51" t="str">
        <f t="shared" si="15"/>
        <v/>
      </c>
      <c r="P35" s="51" t="str">
        <f t="shared" si="12"/>
        <v/>
      </c>
      <c r="Q35" s="46">
        <f t="shared" ref="Q35" si="32">I35-E35</f>
        <v>20000</v>
      </c>
      <c r="R35" s="46">
        <f t="shared" ref="R35" si="33">J35-F35</f>
        <v>0</v>
      </c>
      <c r="S35" s="46">
        <f t="shared" ref="S35" si="34">K35-G35</f>
        <v>20000</v>
      </c>
      <c r="T35" s="46">
        <f t="shared" ref="T35" si="35">L35-H35</f>
        <v>0</v>
      </c>
    </row>
    <row r="36" spans="1:20" s="53" customFormat="1" ht="36">
      <c r="A36" s="67" t="s">
        <v>314</v>
      </c>
      <c r="B36" s="68">
        <v>8775</v>
      </c>
      <c r="C36" s="67" t="s">
        <v>6</v>
      </c>
      <c r="D36" s="57" t="s">
        <v>315</v>
      </c>
      <c r="E36" s="44">
        <f t="shared" si="26"/>
        <v>0</v>
      </c>
      <c r="F36" s="44"/>
      <c r="G36" s="44"/>
      <c r="H36" s="44"/>
      <c r="I36" s="44">
        <f t="shared" si="27"/>
        <v>479344.72</v>
      </c>
      <c r="J36" s="44">
        <v>479344.72</v>
      </c>
      <c r="K36" s="44"/>
      <c r="L36" s="44"/>
      <c r="M36" s="51" t="str">
        <f t="shared" si="4"/>
        <v/>
      </c>
      <c r="N36" s="51" t="str">
        <f t="shared" si="5"/>
        <v/>
      </c>
      <c r="O36" s="51" t="str">
        <f t="shared" si="15"/>
        <v/>
      </c>
      <c r="P36" s="51" t="str">
        <f t="shared" si="12"/>
        <v/>
      </c>
      <c r="Q36" s="46">
        <f t="shared" ref="Q36" si="36">I36-E36</f>
        <v>479344.72</v>
      </c>
      <c r="R36" s="46">
        <f t="shared" ref="R36" si="37">J36-F36</f>
        <v>479344.72</v>
      </c>
      <c r="S36" s="46">
        <f t="shared" ref="S36" si="38">K36-G36</f>
        <v>0</v>
      </c>
      <c r="T36" s="46">
        <f t="shared" ref="T36" si="39">L36-H36</f>
        <v>0</v>
      </c>
    </row>
    <row r="37" spans="1:20" s="34" customFormat="1" ht="34.799999999999997">
      <c r="A37" s="27" t="s">
        <v>56</v>
      </c>
      <c r="B37" s="27"/>
      <c r="C37" s="27"/>
      <c r="D37" s="10" t="s">
        <v>259</v>
      </c>
      <c r="E37" s="43">
        <f t="shared" ref="E37:L37" si="40">E38</f>
        <v>189480621.12</v>
      </c>
      <c r="F37" s="43">
        <f t="shared" si="40"/>
        <v>184224996.81</v>
      </c>
      <c r="G37" s="43">
        <f t="shared" si="40"/>
        <v>5255624.3100000005</v>
      </c>
      <c r="H37" s="43">
        <f t="shared" si="40"/>
        <v>559361.42000000004</v>
      </c>
      <c r="I37" s="43">
        <f t="shared" si="40"/>
        <v>212859232.85999995</v>
      </c>
      <c r="J37" s="43">
        <f t="shared" si="40"/>
        <v>203974208.06999996</v>
      </c>
      <c r="K37" s="43">
        <f t="shared" si="40"/>
        <v>8885024.790000001</v>
      </c>
      <c r="L37" s="43">
        <f t="shared" si="40"/>
        <v>287282.61</v>
      </c>
      <c r="M37" s="11">
        <f t="shared" si="4"/>
        <v>1.1233826002987084</v>
      </c>
      <c r="N37" s="11">
        <f t="shared" si="5"/>
        <v>1.1072015828577717</v>
      </c>
      <c r="O37" s="11">
        <f t="shared" si="15"/>
        <v>1.6905745665827472</v>
      </c>
      <c r="P37" s="11">
        <f t="shared" si="12"/>
        <v>0.51359031876027483</v>
      </c>
      <c r="Q37" s="47">
        <f t="shared" si="6"/>
        <v>23378611.73999995</v>
      </c>
      <c r="R37" s="47">
        <f t="shared" si="7"/>
        <v>19749211.259999961</v>
      </c>
      <c r="S37" s="47">
        <f t="shared" si="8"/>
        <v>3629400.4800000004</v>
      </c>
      <c r="T37" s="47">
        <f t="shared" si="9"/>
        <v>-272078.81000000006</v>
      </c>
    </row>
    <row r="38" spans="1:20" s="34" customFormat="1" ht="34.799999999999997">
      <c r="A38" s="27" t="s">
        <v>57</v>
      </c>
      <c r="B38" s="27"/>
      <c r="C38" s="27"/>
      <c r="D38" s="10" t="s">
        <v>260</v>
      </c>
      <c r="E38" s="43">
        <f t="shared" ref="E38:E43" si="41">F38+G38</f>
        <v>189480621.12</v>
      </c>
      <c r="F38" s="43">
        <f>F39+F40+F41+F42+F43+F44+F45+F46+F48+F49+F50+F53+F56+F57+F52+F47+F55+F58+F51+F54</f>
        <v>184224996.81</v>
      </c>
      <c r="G38" s="43">
        <f t="shared" ref="G38:H38" si="42">G39+G40+G41+G42+G43+G44+G45+G46+G48+G49+G50+G53+G56+G57+G52+G47+G55+G58+G51+G54</f>
        <v>5255624.3100000005</v>
      </c>
      <c r="H38" s="43">
        <f t="shared" si="42"/>
        <v>559361.42000000004</v>
      </c>
      <c r="I38" s="43">
        <f t="shared" si="16"/>
        <v>212859232.85999995</v>
      </c>
      <c r="J38" s="43">
        <f>J39+J40+J41+J42+J43+J44+J45+J46+J48+J49+J50+J53+J56+J57+J52+J47+J55+J58+J51+J54</f>
        <v>203974208.06999996</v>
      </c>
      <c r="K38" s="43">
        <f t="shared" ref="K38:L38" si="43">K39+K40+K41+K42+K43+K44+K45+K46+K48+K49+K50+K53+K56+K57+K52+K47+K55+K58+K51+K54</f>
        <v>8885024.790000001</v>
      </c>
      <c r="L38" s="43">
        <f t="shared" si="43"/>
        <v>287282.61</v>
      </c>
      <c r="M38" s="11">
        <f t="shared" si="4"/>
        <v>1.1233826002987084</v>
      </c>
      <c r="N38" s="11">
        <f t="shared" si="5"/>
        <v>1.1072015828577717</v>
      </c>
      <c r="O38" s="11">
        <f t="shared" si="15"/>
        <v>1.6905745665827472</v>
      </c>
      <c r="P38" s="11">
        <f t="shared" si="12"/>
        <v>0.51359031876027483</v>
      </c>
      <c r="Q38" s="47">
        <f t="shared" si="6"/>
        <v>23378611.73999995</v>
      </c>
      <c r="R38" s="47">
        <f t="shared" si="7"/>
        <v>19749211.259999961</v>
      </c>
      <c r="S38" s="47">
        <f t="shared" si="8"/>
        <v>3629400.4800000004</v>
      </c>
      <c r="T38" s="47">
        <f t="shared" si="9"/>
        <v>-272078.81000000006</v>
      </c>
    </row>
    <row r="39" spans="1:20" s="53" customFormat="1" ht="54">
      <c r="A39" s="25" t="s">
        <v>59</v>
      </c>
      <c r="B39" s="25" t="s">
        <v>58</v>
      </c>
      <c r="C39" s="25" t="s">
        <v>3</v>
      </c>
      <c r="D39" s="21" t="s">
        <v>235</v>
      </c>
      <c r="E39" s="44">
        <f t="shared" si="41"/>
        <v>1657053.9</v>
      </c>
      <c r="F39" s="44">
        <v>1657053.9</v>
      </c>
      <c r="G39" s="44"/>
      <c r="H39" s="44"/>
      <c r="I39" s="44">
        <f>J39+K39</f>
        <v>2031238.35</v>
      </c>
      <c r="J39" s="44">
        <v>2031238.35</v>
      </c>
      <c r="K39" s="44"/>
      <c r="L39" s="44"/>
      <c r="M39" s="51">
        <f t="shared" si="4"/>
        <v>1.2258130830867966</v>
      </c>
      <c r="N39" s="51">
        <f t="shared" si="5"/>
        <v>1.2258130830867966</v>
      </c>
      <c r="O39" s="51" t="str">
        <f t="shared" si="15"/>
        <v/>
      </c>
      <c r="P39" s="51" t="str">
        <f t="shared" si="12"/>
        <v/>
      </c>
      <c r="Q39" s="46">
        <f t="shared" si="6"/>
        <v>374184.45000000019</v>
      </c>
      <c r="R39" s="46">
        <f t="shared" si="7"/>
        <v>374184.45000000019</v>
      </c>
      <c r="S39" s="46">
        <f t="shared" si="8"/>
        <v>0</v>
      </c>
      <c r="T39" s="46">
        <f t="shared" si="9"/>
        <v>0</v>
      </c>
    </row>
    <row r="40" spans="1:20" s="53" customFormat="1" ht="36">
      <c r="A40" s="25" t="s">
        <v>227</v>
      </c>
      <c r="B40" s="25" t="s">
        <v>8</v>
      </c>
      <c r="C40" s="25" t="s">
        <v>6</v>
      </c>
      <c r="D40" s="21" t="s">
        <v>121</v>
      </c>
      <c r="E40" s="44">
        <f t="shared" si="41"/>
        <v>134476.5</v>
      </c>
      <c r="F40" s="44">
        <v>134476.5</v>
      </c>
      <c r="G40" s="44"/>
      <c r="H40" s="44"/>
      <c r="I40" s="44">
        <f t="shared" si="16"/>
        <v>44910</v>
      </c>
      <c r="J40" s="44">
        <v>44910</v>
      </c>
      <c r="K40" s="44"/>
      <c r="L40" s="44"/>
      <c r="M40" s="51">
        <f t="shared" si="4"/>
        <v>0.33396169590969427</v>
      </c>
      <c r="N40" s="51">
        <f t="shared" si="5"/>
        <v>0.33396169590969427</v>
      </c>
      <c r="O40" s="51" t="str">
        <f t="shared" si="15"/>
        <v/>
      </c>
      <c r="P40" s="51" t="str">
        <f t="shared" si="12"/>
        <v/>
      </c>
      <c r="Q40" s="46">
        <f t="shared" si="6"/>
        <v>-89566.5</v>
      </c>
      <c r="R40" s="46">
        <f t="shared" si="7"/>
        <v>-89566.5</v>
      </c>
      <c r="S40" s="46">
        <f t="shared" si="8"/>
        <v>0</v>
      </c>
      <c r="T40" s="46">
        <f t="shared" si="9"/>
        <v>0</v>
      </c>
    </row>
    <row r="41" spans="1:20" s="53" customFormat="1" ht="33" customHeight="1">
      <c r="A41" s="25" t="s">
        <v>60</v>
      </c>
      <c r="B41" s="25" t="s">
        <v>9</v>
      </c>
      <c r="C41" s="25" t="s">
        <v>10</v>
      </c>
      <c r="D41" s="49" t="s">
        <v>61</v>
      </c>
      <c r="E41" s="44">
        <f t="shared" si="41"/>
        <v>37174814.5</v>
      </c>
      <c r="F41" s="44">
        <v>36719670.5</v>
      </c>
      <c r="G41" s="46">
        <v>455144</v>
      </c>
      <c r="H41" s="46"/>
      <c r="I41" s="44">
        <f t="shared" si="16"/>
        <v>39671400.020000003</v>
      </c>
      <c r="J41" s="44">
        <v>38529979.810000002</v>
      </c>
      <c r="K41" s="44">
        <f>287282.61+101748.22+752389.38</f>
        <v>1141420.21</v>
      </c>
      <c r="L41" s="44">
        <v>287282.61</v>
      </c>
      <c r="M41" s="51">
        <f t="shared" si="4"/>
        <v>1.0671579819181076</v>
      </c>
      <c r="N41" s="51">
        <f t="shared" si="5"/>
        <v>1.0493008048642485</v>
      </c>
      <c r="O41" s="51">
        <f t="shared" si="15"/>
        <v>2.5078221617773715</v>
      </c>
      <c r="P41" s="51" t="str">
        <f t="shared" si="12"/>
        <v/>
      </c>
      <c r="Q41" s="46">
        <f t="shared" si="6"/>
        <v>2496585.5200000033</v>
      </c>
      <c r="R41" s="46">
        <f t="shared" si="7"/>
        <v>1810309.3100000024</v>
      </c>
      <c r="S41" s="46">
        <f t="shared" si="8"/>
        <v>686276.21</v>
      </c>
      <c r="T41" s="46">
        <f t="shared" si="9"/>
        <v>287282.61</v>
      </c>
    </row>
    <row r="42" spans="1:20" s="53" customFormat="1" ht="54">
      <c r="A42" s="25" t="s">
        <v>189</v>
      </c>
      <c r="B42" s="25" t="s">
        <v>191</v>
      </c>
      <c r="C42" s="25" t="s">
        <v>12</v>
      </c>
      <c r="D42" s="21" t="s">
        <v>255</v>
      </c>
      <c r="E42" s="44">
        <f t="shared" si="41"/>
        <v>33915922.609999999</v>
      </c>
      <c r="F42" s="44">
        <v>30834844.300000001</v>
      </c>
      <c r="G42" s="46">
        <v>3081078.31</v>
      </c>
      <c r="H42" s="46">
        <v>559361.42000000004</v>
      </c>
      <c r="I42" s="44">
        <f t="shared" si="16"/>
        <v>37562679.490000002</v>
      </c>
      <c r="J42" s="54">
        <v>36209505.090000004</v>
      </c>
      <c r="K42" s="46">
        <f>1346584.3+6590.1</f>
        <v>1353174.4000000001</v>
      </c>
      <c r="L42" s="46"/>
      <c r="M42" s="51">
        <f t="shared" si="4"/>
        <v>1.1075234461976502</v>
      </c>
      <c r="N42" s="51">
        <f t="shared" si="5"/>
        <v>1.1743047812308882</v>
      </c>
      <c r="O42" s="51">
        <f t="shared" si="15"/>
        <v>0.43918857745618289</v>
      </c>
      <c r="P42" s="51">
        <f t="shared" si="12"/>
        <v>0</v>
      </c>
      <c r="Q42" s="46">
        <f t="shared" si="6"/>
        <v>3646756.8800000027</v>
      </c>
      <c r="R42" s="46">
        <f t="shared" si="7"/>
        <v>5374660.7900000028</v>
      </c>
      <c r="S42" s="46">
        <f t="shared" si="8"/>
        <v>-1727903.91</v>
      </c>
      <c r="T42" s="46">
        <f t="shared" si="9"/>
        <v>-559361.42000000004</v>
      </c>
    </row>
    <row r="43" spans="1:20" s="53" customFormat="1" ht="90">
      <c r="A43" s="25" t="s">
        <v>190</v>
      </c>
      <c r="B43" s="25" t="s">
        <v>192</v>
      </c>
      <c r="C43" s="25" t="s">
        <v>14</v>
      </c>
      <c r="D43" s="21" t="s">
        <v>256</v>
      </c>
      <c r="E43" s="44">
        <f t="shared" si="41"/>
        <v>2708477.65</v>
      </c>
      <c r="F43" s="44">
        <v>2496050.65</v>
      </c>
      <c r="G43" s="46">
        <v>212427</v>
      </c>
      <c r="H43" s="46"/>
      <c r="I43" s="44">
        <f t="shared" si="16"/>
        <v>4836022.34</v>
      </c>
      <c r="J43" s="44">
        <v>4770770.91</v>
      </c>
      <c r="K43" s="46">
        <f>65251.43</f>
        <v>65251.43</v>
      </c>
      <c r="L43" s="46"/>
      <c r="M43" s="51">
        <f t="shared" si="4"/>
        <v>1.7855131054893512</v>
      </c>
      <c r="N43" s="51">
        <f t="shared" si="5"/>
        <v>1.9113277649233602</v>
      </c>
      <c r="O43" s="51">
        <f t="shared" si="15"/>
        <v>0.30717107523996479</v>
      </c>
      <c r="P43" s="51" t="str">
        <f t="shared" si="12"/>
        <v/>
      </c>
      <c r="Q43" s="46">
        <f t="shared" si="6"/>
        <v>2127544.69</v>
      </c>
      <c r="R43" s="46">
        <f t="shared" si="7"/>
        <v>2274720.2600000002</v>
      </c>
      <c r="S43" s="46">
        <f t="shared" si="8"/>
        <v>-147175.57</v>
      </c>
      <c r="T43" s="46">
        <f t="shared" si="9"/>
        <v>0</v>
      </c>
    </row>
    <row r="44" spans="1:20" s="53" customFormat="1" ht="54">
      <c r="A44" s="25" t="s">
        <v>196</v>
      </c>
      <c r="B44" s="25" t="s">
        <v>197</v>
      </c>
      <c r="C44" s="25" t="s">
        <v>12</v>
      </c>
      <c r="D44" s="21" t="s">
        <v>257</v>
      </c>
      <c r="E44" s="44">
        <f t="shared" ref="E44:E45" si="44">F44+G44</f>
        <v>72034823.090000004</v>
      </c>
      <c r="F44" s="44">
        <v>72034823.090000004</v>
      </c>
      <c r="G44" s="46"/>
      <c r="H44" s="46"/>
      <c r="I44" s="44">
        <f t="shared" si="16"/>
        <v>86414891.920000002</v>
      </c>
      <c r="J44" s="44">
        <f>86379999.92+34892</f>
        <v>86414891.920000002</v>
      </c>
      <c r="K44" s="46"/>
      <c r="L44" s="46"/>
      <c r="M44" s="51">
        <f t="shared" si="4"/>
        <v>1.1996266279717742</v>
      </c>
      <c r="N44" s="51">
        <f t="shared" si="5"/>
        <v>1.1996266279717742</v>
      </c>
      <c r="O44" s="51" t="str">
        <f t="shared" si="15"/>
        <v/>
      </c>
      <c r="P44" s="51" t="str">
        <f t="shared" si="12"/>
        <v/>
      </c>
      <c r="Q44" s="46">
        <f t="shared" si="6"/>
        <v>14380068.829999998</v>
      </c>
      <c r="R44" s="46">
        <f t="shared" si="7"/>
        <v>14380068.829999998</v>
      </c>
      <c r="S44" s="46">
        <f t="shared" si="8"/>
        <v>0</v>
      </c>
      <c r="T44" s="46">
        <f t="shared" si="9"/>
        <v>0</v>
      </c>
    </row>
    <row r="45" spans="1:20" s="53" customFormat="1" ht="90">
      <c r="A45" s="25" t="s">
        <v>198</v>
      </c>
      <c r="B45" s="25" t="s">
        <v>199</v>
      </c>
      <c r="C45" s="25" t="s">
        <v>14</v>
      </c>
      <c r="D45" s="21" t="s">
        <v>258</v>
      </c>
      <c r="E45" s="44">
        <f t="shared" si="44"/>
        <v>5790166.75</v>
      </c>
      <c r="F45" s="44">
        <v>5790166.75</v>
      </c>
      <c r="G45" s="46"/>
      <c r="H45" s="46"/>
      <c r="I45" s="44">
        <f t="shared" si="16"/>
        <v>6910691.0700000003</v>
      </c>
      <c r="J45" s="44">
        <v>6910691.0700000003</v>
      </c>
      <c r="K45" s="46"/>
      <c r="L45" s="46"/>
      <c r="M45" s="51">
        <f t="shared" si="4"/>
        <v>1.1935219430424866</v>
      </c>
      <c r="N45" s="51">
        <f t="shared" si="5"/>
        <v>1.1935219430424866</v>
      </c>
      <c r="O45" s="51" t="str">
        <f t="shared" si="15"/>
        <v/>
      </c>
      <c r="P45" s="51" t="str">
        <f t="shared" si="12"/>
        <v/>
      </c>
      <c r="Q45" s="46">
        <f t="shared" si="6"/>
        <v>1120524.3200000003</v>
      </c>
      <c r="R45" s="46">
        <f t="shared" si="7"/>
        <v>1120524.3200000003</v>
      </c>
      <c r="S45" s="46">
        <f t="shared" si="8"/>
        <v>0</v>
      </c>
      <c r="T45" s="46">
        <f t="shared" si="9"/>
        <v>0</v>
      </c>
    </row>
    <row r="46" spans="1:20" s="53" customFormat="1" ht="54">
      <c r="A46" s="25" t="s">
        <v>62</v>
      </c>
      <c r="B46" s="25" t="s">
        <v>32</v>
      </c>
      <c r="C46" s="25" t="s">
        <v>15</v>
      </c>
      <c r="D46" s="21" t="s">
        <v>226</v>
      </c>
      <c r="E46" s="44">
        <f t="shared" ref="E46:E58" si="45">F46+G46</f>
        <v>9911516.3599999994</v>
      </c>
      <c r="F46" s="44">
        <v>9662948.3599999994</v>
      </c>
      <c r="G46" s="46">
        <v>248568</v>
      </c>
      <c r="H46" s="46"/>
      <c r="I46" s="44">
        <f t="shared" si="16"/>
        <v>10623871.83</v>
      </c>
      <c r="J46" s="44">
        <v>10610183.779999999</v>
      </c>
      <c r="K46" s="46">
        <f>8520+5168.05</f>
        <v>13688.05</v>
      </c>
      <c r="L46" s="46"/>
      <c r="M46" s="51">
        <f t="shared" si="4"/>
        <v>1.0718714921235322</v>
      </c>
      <c r="N46" s="51">
        <f t="shared" si="5"/>
        <v>1.0980275775788166</v>
      </c>
      <c r="O46" s="51">
        <f t="shared" si="15"/>
        <v>5.5067627369572908E-2</v>
      </c>
      <c r="P46" s="51" t="str">
        <f t="shared" si="12"/>
        <v/>
      </c>
      <c r="Q46" s="46">
        <f t="shared" si="6"/>
        <v>712355.47000000067</v>
      </c>
      <c r="R46" s="46">
        <f t="shared" si="7"/>
        <v>947235.41999999993</v>
      </c>
      <c r="S46" s="46">
        <f t="shared" si="8"/>
        <v>-234879.95</v>
      </c>
      <c r="T46" s="46">
        <f t="shared" si="9"/>
        <v>0</v>
      </c>
    </row>
    <row r="47" spans="1:20" s="53" customFormat="1" ht="36">
      <c r="A47" s="23" t="s">
        <v>277</v>
      </c>
      <c r="B47" s="23" t="s">
        <v>278</v>
      </c>
      <c r="C47" s="23" t="s">
        <v>279</v>
      </c>
      <c r="D47" s="50" t="s">
        <v>280</v>
      </c>
      <c r="E47" s="44">
        <f t="shared" si="45"/>
        <v>0</v>
      </c>
      <c r="F47" s="44"/>
      <c r="G47" s="46"/>
      <c r="H47" s="46"/>
      <c r="I47" s="44">
        <f t="shared" si="16"/>
        <v>7460</v>
      </c>
      <c r="J47" s="44">
        <v>7460</v>
      </c>
      <c r="K47" s="46"/>
      <c r="L47" s="46"/>
      <c r="M47" s="51" t="str">
        <f t="shared" si="4"/>
        <v/>
      </c>
      <c r="N47" s="51" t="str">
        <f t="shared" si="5"/>
        <v/>
      </c>
      <c r="O47" s="51" t="str">
        <f t="shared" si="15"/>
        <v/>
      </c>
      <c r="P47" s="51" t="str">
        <f t="shared" si="12"/>
        <v/>
      </c>
      <c r="Q47" s="46">
        <f t="shared" si="6"/>
        <v>7460</v>
      </c>
      <c r="R47" s="46">
        <f t="shared" si="7"/>
        <v>7460</v>
      </c>
      <c r="S47" s="46">
        <f t="shared" si="8"/>
        <v>0</v>
      </c>
      <c r="T47" s="46">
        <f t="shared" si="9"/>
        <v>0</v>
      </c>
    </row>
    <row r="48" spans="1:20" s="53" customFormat="1" ht="43.8" customHeight="1">
      <c r="A48" s="25" t="s">
        <v>200</v>
      </c>
      <c r="B48" s="25" t="s">
        <v>201</v>
      </c>
      <c r="C48" s="25" t="s">
        <v>16</v>
      </c>
      <c r="D48" s="21" t="s">
        <v>153</v>
      </c>
      <c r="E48" s="44">
        <f t="shared" si="45"/>
        <v>9695495.3900000006</v>
      </c>
      <c r="F48" s="44">
        <v>8437088.3900000006</v>
      </c>
      <c r="G48" s="46">
        <v>1258407</v>
      </c>
      <c r="H48" s="46"/>
      <c r="I48" s="44">
        <f t="shared" si="16"/>
        <v>14331885.33</v>
      </c>
      <c r="J48" s="44">
        <v>8025434.6299999999</v>
      </c>
      <c r="K48" s="46">
        <f>6306450.7</f>
        <v>6306450.7000000002</v>
      </c>
      <c r="L48" s="46"/>
      <c r="M48" s="51">
        <f t="shared" si="4"/>
        <v>1.4782004171526917</v>
      </c>
      <c r="N48" s="51">
        <f t="shared" si="5"/>
        <v>0.95120902603226132</v>
      </c>
      <c r="O48" s="51">
        <f t="shared" si="15"/>
        <v>5.0114555147897306</v>
      </c>
      <c r="P48" s="51" t="str">
        <f t="shared" si="12"/>
        <v/>
      </c>
      <c r="Q48" s="46">
        <f t="shared" si="6"/>
        <v>4636389.9399999995</v>
      </c>
      <c r="R48" s="46">
        <f t="shared" si="7"/>
        <v>-411653.76000000071</v>
      </c>
      <c r="S48" s="46">
        <f t="shared" si="8"/>
        <v>5048043.7</v>
      </c>
      <c r="T48" s="46">
        <f t="shared" si="9"/>
        <v>0</v>
      </c>
    </row>
    <row r="49" spans="1:20" s="53" customFormat="1" ht="64.2" customHeight="1">
      <c r="A49" s="25" t="s">
        <v>202</v>
      </c>
      <c r="B49" s="25" t="s">
        <v>203</v>
      </c>
      <c r="C49" s="25" t="s">
        <v>16</v>
      </c>
      <c r="D49" s="21" t="s">
        <v>204</v>
      </c>
      <c r="E49" s="44">
        <f t="shared" si="45"/>
        <v>315687.2</v>
      </c>
      <c r="F49" s="44">
        <v>315687.2</v>
      </c>
      <c r="G49" s="46"/>
      <c r="H49" s="46"/>
      <c r="I49" s="44">
        <f t="shared" si="16"/>
        <v>161079.79</v>
      </c>
      <c r="J49" s="44">
        <v>161079.79</v>
      </c>
      <c r="K49" s="46"/>
      <c r="L49" s="46"/>
      <c r="M49" s="51">
        <f t="shared" si="4"/>
        <v>0.51025125503979885</v>
      </c>
      <c r="N49" s="51">
        <f t="shared" si="5"/>
        <v>0.51025125503979885</v>
      </c>
      <c r="O49" s="51" t="str">
        <f t="shared" si="15"/>
        <v/>
      </c>
      <c r="P49" s="51" t="str">
        <f t="shared" si="12"/>
        <v/>
      </c>
      <c r="Q49" s="46">
        <f t="shared" si="6"/>
        <v>-154607.41</v>
      </c>
      <c r="R49" s="46">
        <f t="shared" si="7"/>
        <v>-154607.41</v>
      </c>
      <c r="S49" s="46">
        <f t="shared" si="8"/>
        <v>0</v>
      </c>
      <c r="T49" s="46">
        <f t="shared" si="9"/>
        <v>0</v>
      </c>
    </row>
    <row r="50" spans="1:20" s="53" customFormat="1" ht="54">
      <c r="A50" s="25" t="s">
        <v>205</v>
      </c>
      <c r="B50" s="25" t="s">
        <v>206</v>
      </c>
      <c r="C50" s="25" t="s">
        <v>16</v>
      </c>
      <c r="D50" s="21" t="s">
        <v>207</v>
      </c>
      <c r="E50" s="44">
        <f t="shared" si="45"/>
        <v>887151.84</v>
      </c>
      <c r="F50" s="44">
        <v>887151.84</v>
      </c>
      <c r="G50" s="46"/>
      <c r="H50" s="46"/>
      <c r="I50" s="44">
        <f t="shared" si="16"/>
        <v>840063.6</v>
      </c>
      <c r="J50" s="44">
        <v>840063.6</v>
      </c>
      <c r="K50" s="46"/>
      <c r="L50" s="46"/>
      <c r="M50" s="51">
        <f t="shared" si="4"/>
        <v>0.94692200604577459</v>
      </c>
      <c r="N50" s="51">
        <f t="shared" si="5"/>
        <v>0.94692200604577459</v>
      </c>
      <c r="O50" s="51" t="str">
        <f t="shared" si="15"/>
        <v/>
      </c>
      <c r="P50" s="51" t="str">
        <f t="shared" si="12"/>
        <v/>
      </c>
      <c r="Q50" s="46">
        <f t="shared" si="6"/>
        <v>-47088.239999999991</v>
      </c>
      <c r="R50" s="46">
        <f t="shared" si="7"/>
        <v>-47088.239999999991</v>
      </c>
      <c r="S50" s="46">
        <f t="shared" si="8"/>
        <v>0</v>
      </c>
      <c r="T50" s="46">
        <f t="shared" si="9"/>
        <v>0</v>
      </c>
    </row>
    <row r="51" spans="1:20" s="53" customFormat="1" ht="126">
      <c r="A51" s="69" t="s">
        <v>316</v>
      </c>
      <c r="B51" s="70">
        <v>1154</v>
      </c>
      <c r="C51" s="69" t="s">
        <v>16</v>
      </c>
      <c r="D51" s="58" t="s">
        <v>317</v>
      </c>
      <c r="E51" s="44">
        <f t="shared" si="45"/>
        <v>0</v>
      </c>
      <c r="F51" s="44"/>
      <c r="G51" s="46"/>
      <c r="H51" s="46"/>
      <c r="I51" s="44">
        <f t="shared" si="16"/>
        <v>245454.99</v>
      </c>
      <c r="J51" s="44">
        <v>245454.99</v>
      </c>
      <c r="K51" s="46"/>
      <c r="L51" s="46"/>
      <c r="M51" s="51" t="str">
        <f t="shared" si="4"/>
        <v/>
      </c>
      <c r="N51" s="51" t="str">
        <f t="shared" si="5"/>
        <v/>
      </c>
      <c r="O51" s="51" t="str">
        <f t="shared" si="15"/>
        <v/>
      </c>
      <c r="P51" s="51" t="str">
        <f t="shared" si="12"/>
        <v/>
      </c>
      <c r="Q51" s="46">
        <f t="shared" ref="Q51" si="46">I51-E51</f>
        <v>245454.99</v>
      </c>
      <c r="R51" s="46">
        <f t="shared" ref="R51" si="47">J51-F51</f>
        <v>245454.99</v>
      </c>
      <c r="S51" s="46">
        <f t="shared" ref="S51" si="48">K51-G51</f>
        <v>0</v>
      </c>
      <c r="T51" s="46">
        <f t="shared" ref="T51" si="49">L51-H51</f>
        <v>0</v>
      </c>
    </row>
    <row r="52" spans="1:20" s="53" customFormat="1" ht="36">
      <c r="A52" s="24" t="s">
        <v>295</v>
      </c>
      <c r="B52" s="24">
        <v>1160</v>
      </c>
      <c r="C52" s="23" t="s">
        <v>16</v>
      </c>
      <c r="D52" s="50" t="s">
        <v>251</v>
      </c>
      <c r="E52" s="44">
        <f t="shared" ref="E52" si="50">F52+G52</f>
        <v>1575852.2</v>
      </c>
      <c r="F52" s="44">
        <v>1575852.2</v>
      </c>
      <c r="G52" s="46"/>
      <c r="H52" s="46"/>
      <c r="I52" s="44">
        <f t="shared" si="16"/>
        <v>1891175.87</v>
      </c>
      <c r="J52" s="44">
        <v>1891175.87</v>
      </c>
      <c r="K52" s="46"/>
      <c r="L52" s="46"/>
      <c r="M52" s="51">
        <f t="shared" si="4"/>
        <v>1.2000972362763462</v>
      </c>
      <c r="N52" s="51">
        <f t="shared" si="5"/>
        <v>1.2000972362763462</v>
      </c>
      <c r="O52" s="51" t="str">
        <f t="shared" si="15"/>
        <v/>
      </c>
      <c r="P52" s="51" t="str">
        <f t="shared" si="12"/>
        <v/>
      </c>
      <c r="Q52" s="46">
        <f t="shared" si="6"/>
        <v>315323.67000000016</v>
      </c>
      <c r="R52" s="46">
        <f t="shared" si="7"/>
        <v>315323.67000000016</v>
      </c>
      <c r="S52" s="46">
        <f t="shared" si="8"/>
        <v>0</v>
      </c>
      <c r="T52" s="46">
        <f t="shared" si="9"/>
        <v>0</v>
      </c>
    </row>
    <row r="53" spans="1:20" s="53" customFormat="1" ht="72">
      <c r="A53" s="25" t="s">
        <v>223</v>
      </c>
      <c r="B53" s="25" t="s">
        <v>224</v>
      </c>
      <c r="C53" s="25" t="s">
        <v>16</v>
      </c>
      <c r="D53" s="26" t="s">
        <v>225</v>
      </c>
      <c r="E53" s="44">
        <f t="shared" si="45"/>
        <v>120776.85</v>
      </c>
      <c r="F53" s="44">
        <v>120776.85</v>
      </c>
      <c r="G53" s="44"/>
      <c r="H53" s="44"/>
      <c r="I53" s="44">
        <f t="shared" si="16"/>
        <v>0</v>
      </c>
      <c r="J53" s="44"/>
      <c r="K53" s="44"/>
      <c r="L53" s="44"/>
      <c r="M53" s="51">
        <f t="shared" si="4"/>
        <v>0</v>
      </c>
      <c r="N53" s="51">
        <f t="shared" si="5"/>
        <v>0</v>
      </c>
      <c r="O53" s="51" t="str">
        <f t="shared" si="15"/>
        <v/>
      </c>
      <c r="P53" s="51" t="str">
        <f t="shared" si="12"/>
        <v/>
      </c>
      <c r="Q53" s="46">
        <f t="shared" si="6"/>
        <v>-120776.85</v>
      </c>
      <c r="R53" s="46">
        <f t="shared" si="7"/>
        <v>-120776.85</v>
      </c>
      <c r="S53" s="46">
        <f t="shared" si="8"/>
        <v>0</v>
      </c>
      <c r="T53" s="46">
        <f t="shared" si="9"/>
        <v>0</v>
      </c>
    </row>
    <row r="54" spans="1:20" s="53" customFormat="1" ht="90">
      <c r="A54" s="71" t="s">
        <v>318</v>
      </c>
      <c r="B54" s="71" t="s">
        <v>319</v>
      </c>
      <c r="C54" s="71" t="s">
        <v>16</v>
      </c>
      <c r="D54" s="59" t="s">
        <v>320</v>
      </c>
      <c r="E54" s="44">
        <f t="shared" si="45"/>
        <v>0</v>
      </c>
      <c r="F54" s="44"/>
      <c r="G54" s="44"/>
      <c r="H54" s="44"/>
      <c r="I54" s="44">
        <f t="shared" si="16"/>
        <v>94848.34</v>
      </c>
      <c r="J54" s="44">
        <v>94848.34</v>
      </c>
      <c r="K54" s="44"/>
      <c r="L54" s="44"/>
      <c r="M54" s="51" t="str">
        <f t="shared" si="4"/>
        <v/>
      </c>
      <c r="N54" s="51" t="str">
        <f t="shared" si="5"/>
        <v/>
      </c>
      <c r="O54" s="51" t="str">
        <f t="shared" si="15"/>
        <v/>
      </c>
      <c r="P54" s="51" t="str">
        <f t="shared" si="12"/>
        <v/>
      </c>
      <c r="Q54" s="46">
        <f t="shared" ref="Q54" si="51">I54-E54</f>
        <v>94848.34</v>
      </c>
      <c r="R54" s="46">
        <f t="shared" ref="R54" si="52">J54-F54</f>
        <v>94848.34</v>
      </c>
      <c r="S54" s="46">
        <f t="shared" ref="S54" si="53">K54-G54</f>
        <v>0</v>
      </c>
      <c r="T54" s="46">
        <f t="shared" ref="T54" si="54">L54-H54</f>
        <v>0</v>
      </c>
    </row>
    <row r="55" spans="1:20" s="53" customFormat="1" ht="90">
      <c r="A55" s="23" t="s">
        <v>301</v>
      </c>
      <c r="B55" s="23" t="s">
        <v>302</v>
      </c>
      <c r="C55" s="23" t="s">
        <v>17</v>
      </c>
      <c r="D55" s="50" t="s">
        <v>303</v>
      </c>
      <c r="E55" s="44">
        <f t="shared" si="45"/>
        <v>1309484.03</v>
      </c>
      <c r="F55" s="44">
        <v>1309484.03</v>
      </c>
      <c r="G55" s="44"/>
      <c r="H55" s="44"/>
      <c r="I55" s="44">
        <f t="shared" si="16"/>
        <v>1164942</v>
      </c>
      <c r="J55" s="44">
        <v>1164942</v>
      </c>
      <c r="K55" s="44"/>
      <c r="L55" s="44"/>
      <c r="M55" s="51">
        <f t="shared" si="4"/>
        <v>0.88961909676744966</v>
      </c>
      <c r="N55" s="51">
        <f t="shared" si="5"/>
        <v>0.88961909676744966</v>
      </c>
      <c r="O55" s="51" t="str">
        <f t="shared" si="15"/>
        <v/>
      </c>
      <c r="P55" s="51" t="str">
        <f t="shared" si="12"/>
        <v/>
      </c>
      <c r="Q55" s="46">
        <f t="shared" ref="Q55" si="55">I55-E55</f>
        <v>-144542.03000000003</v>
      </c>
      <c r="R55" s="46">
        <f t="shared" ref="R55" si="56">J55-F55</f>
        <v>-144542.03000000003</v>
      </c>
      <c r="S55" s="46">
        <f t="shared" ref="S55" si="57">K55-G55</f>
        <v>0</v>
      </c>
      <c r="T55" s="46">
        <f t="shared" ref="T55" si="58">L55-H55</f>
        <v>0</v>
      </c>
    </row>
    <row r="56" spans="1:20" s="53" customFormat="1" ht="45.6" customHeight="1">
      <c r="A56" s="25" t="s">
        <v>150</v>
      </c>
      <c r="B56" s="25" t="s">
        <v>147</v>
      </c>
      <c r="C56" s="25" t="s">
        <v>4</v>
      </c>
      <c r="D56" s="21" t="s">
        <v>148</v>
      </c>
      <c r="E56" s="44">
        <f t="shared" si="45"/>
        <v>7127347.1100000003</v>
      </c>
      <c r="F56" s="44">
        <v>7127347.1100000003</v>
      </c>
      <c r="G56" s="44"/>
      <c r="H56" s="44"/>
      <c r="I56" s="44">
        <f t="shared" si="16"/>
        <v>1156719.1399999999</v>
      </c>
      <c r="J56" s="44">
        <v>1156719.1399999999</v>
      </c>
      <c r="K56" s="44"/>
      <c r="L56" s="44"/>
      <c r="M56" s="51">
        <f t="shared" si="4"/>
        <v>0.16229308354816466</v>
      </c>
      <c r="N56" s="51">
        <f t="shared" si="5"/>
        <v>0.16229308354816466</v>
      </c>
      <c r="O56" s="51" t="str">
        <f t="shared" si="15"/>
        <v/>
      </c>
      <c r="P56" s="51" t="str">
        <f t="shared" si="12"/>
        <v/>
      </c>
      <c r="Q56" s="46">
        <f t="shared" si="6"/>
        <v>-5970627.9700000007</v>
      </c>
      <c r="R56" s="46">
        <f t="shared" si="7"/>
        <v>-5970627.9700000007</v>
      </c>
      <c r="S56" s="46">
        <f t="shared" si="8"/>
        <v>0</v>
      </c>
      <c r="T56" s="46">
        <f t="shared" si="9"/>
        <v>0</v>
      </c>
    </row>
    <row r="57" spans="1:20" s="53" customFormat="1" ht="54">
      <c r="A57" s="25" t="s">
        <v>69</v>
      </c>
      <c r="B57" s="25" t="s">
        <v>47</v>
      </c>
      <c r="C57" s="25" t="s">
        <v>18</v>
      </c>
      <c r="D57" s="49" t="s">
        <v>19</v>
      </c>
      <c r="E57" s="44">
        <f t="shared" si="45"/>
        <v>4039610.18</v>
      </c>
      <c r="F57" s="44">
        <v>4039610.18</v>
      </c>
      <c r="G57" s="46"/>
      <c r="H57" s="46"/>
      <c r="I57" s="44">
        <f t="shared" si="16"/>
        <v>4861690.78</v>
      </c>
      <c r="J57" s="44">
        <v>4856650.78</v>
      </c>
      <c r="K57" s="46">
        <f>5040</f>
        <v>5040</v>
      </c>
      <c r="L57" s="46"/>
      <c r="M57" s="51">
        <f t="shared" si="4"/>
        <v>1.2035049332408605</v>
      </c>
      <c r="N57" s="51">
        <f t="shared" si="5"/>
        <v>1.2022572881029823</v>
      </c>
      <c r="O57" s="51" t="str">
        <f t="shared" si="15"/>
        <v/>
      </c>
      <c r="P57" s="51" t="str">
        <f t="shared" si="12"/>
        <v/>
      </c>
      <c r="Q57" s="46">
        <f t="shared" si="6"/>
        <v>822080.60000000009</v>
      </c>
      <c r="R57" s="46">
        <f t="shared" si="7"/>
        <v>817040.60000000009</v>
      </c>
      <c r="S57" s="46">
        <f t="shared" si="8"/>
        <v>5040</v>
      </c>
      <c r="T57" s="46">
        <f t="shared" si="9"/>
        <v>0</v>
      </c>
    </row>
    <row r="58" spans="1:20" s="53" customFormat="1" ht="54">
      <c r="A58" s="24" t="s">
        <v>304</v>
      </c>
      <c r="B58" s="23">
        <v>8110</v>
      </c>
      <c r="C58" s="24" t="s">
        <v>5</v>
      </c>
      <c r="D58" s="50" t="s">
        <v>136</v>
      </c>
      <c r="E58" s="44">
        <f t="shared" si="45"/>
        <v>1081964.96</v>
      </c>
      <c r="F58" s="44">
        <v>1081964.96</v>
      </c>
      <c r="G58" s="46"/>
      <c r="H58" s="46"/>
      <c r="I58" s="44">
        <f t="shared" si="16"/>
        <v>8208</v>
      </c>
      <c r="J58" s="44">
        <v>8208</v>
      </c>
      <c r="K58" s="46"/>
      <c r="L58" s="46"/>
      <c r="M58" s="51">
        <f t="shared" si="4"/>
        <v>7.5861976158636416E-3</v>
      </c>
      <c r="N58" s="51">
        <f t="shared" si="5"/>
        <v>7.5861976158636416E-3</v>
      </c>
      <c r="O58" s="51" t="str">
        <f t="shared" si="15"/>
        <v/>
      </c>
      <c r="P58" s="51" t="str">
        <f t="shared" si="12"/>
        <v/>
      </c>
      <c r="Q58" s="46">
        <f t="shared" ref="Q58" si="59">I58-E58</f>
        <v>-1073756.96</v>
      </c>
      <c r="R58" s="46">
        <f t="shared" ref="R58" si="60">J58-F58</f>
        <v>-1073756.96</v>
      </c>
      <c r="S58" s="46">
        <f t="shared" ref="S58" si="61">K58-G58</f>
        <v>0</v>
      </c>
      <c r="T58" s="46">
        <f t="shared" ref="T58" si="62">L58-H58</f>
        <v>0</v>
      </c>
    </row>
    <row r="59" spans="1:20" s="34" customFormat="1" ht="52.2">
      <c r="A59" s="27" t="s">
        <v>70</v>
      </c>
      <c r="B59" s="27"/>
      <c r="C59" s="27"/>
      <c r="D59" s="10" t="s">
        <v>210</v>
      </c>
      <c r="E59" s="43">
        <f t="shared" ref="E59:L59" si="63">E60</f>
        <v>39299487.950000003</v>
      </c>
      <c r="F59" s="43">
        <f t="shared" si="63"/>
        <v>35351533.050000004</v>
      </c>
      <c r="G59" s="43">
        <f t="shared" si="63"/>
        <v>3947954.9</v>
      </c>
      <c r="H59" s="43">
        <f t="shared" si="63"/>
        <v>0</v>
      </c>
      <c r="I59" s="43">
        <f t="shared" si="63"/>
        <v>39262053.270000003</v>
      </c>
      <c r="J59" s="43">
        <f t="shared" si="63"/>
        <v>38552557.090000004</v>
      </c>
      <c r="K59" s="43">
        <f t="shared" si="63"/>
        <v>709496.17999999993</v>
      </c>
      <c r="L59" s="43">
        <f t="shared" si="63"/>
        <v>0</v>
      </c>
      <c r="M59" s="11">
        <f t="shared" si="4"/>
        <v>0.9990474512022236</v>
      </c>
      <c r="N59" s="11">
        <f t="shared" si="5"/>
        <v>1.0905483797682149</v>
      </c>
      <c r="O59" s="11">
        <f t="shared" si="15"/>
        <v>0.17971233156690822</v>
      </c>
      <c r="P59" s="11" t="str">
        <f t="shared" si="12"/>
        <v/>
      </c>
      <c r="Q59" s="47">
        <f t="shared" si="6"/>
        <v>-37434.679999999702</v>
      </c>
      <c r="R59" s="47">
        <f t="shared" si="7"/>
        <v>3201024.0399999991</v>
      </c>
      <c r="S59" s="47">
        <f t="shared" si="8"/>
        <v>-3238458.7199999997</v>
      </c>
      <c r="T59" s="47">
        <f t="shared" si="9"/>
        <v>0</v>
      </c>
    </row>
    <row r="60" spans="1:20" s="34" customFormat="1" ht="52.2">
      <c r="A60" s="27" t="s">
        <v>71</v>
      </c>
      <c r="B60" s="27"/>
      <c r="C60" s="27"/>
      <c r="D60" s="10" t="s">
        <v>210</v>
      </c>
      <c r="E60" s="43">
        <f t="shared" ref="E60:E69" si="64">F60+G60</f>
        <v>39299487.950000003</v>
      </c>
      <c r="F60" s="43">
        <f>F61+F62+F63+F64+F66+F67+F68+F69+F70+F71+F72+F74+F65+F73+F75</f>
        <v>35351533.050000004</v>
      </c>
      <c r="G60" s="43">
        <f t="shared" ref="G60:H60" si="65">G61+G62+G63+G64+G66+G67+G68+G69+G70+G71+G72+G74+G65+G73+G75</f>
        <v>3947954.9</v>
      </c>
      <c r="H60" s="43">
        <f t="shared" si="65"/>
        <v>0</v>
      </c>
      <c r="I60" s="43">
        <f t="shared" ref="I60" si="66">J60+K60</f>
        <v>39262053.270000003</v>
      </c>
      <c r="J60" s="43">
        <f>J61+J62+J63+J64+J66+J67+J68+J69+J70+J71+J72+J74+J65+J73+J75</f>
        <v>38552557.090000004</v>
      </c>
      <c r="K60" s="43">
        <f t="shared" ref="K60:L60" si="67">K61+K62+K63+K64+K66+K67+K68+K69+K70+K71+K72+K74+K65+K73+K75</f>
        <v>709496.17999999993</v>
      </c>
      <c r="L60" s="43">
        <f t="shared" si="67"/>
        <v>0</v>
      </c>
      <c r="M60" s="11">
        <f t="shared" si="4"/>
        <v>0.9990474512022236</v>
      </c>
      <c r="N60" s="11">
        <f t="shared" si="5"/>
        <v>1.0905483797682149</v>
      </c>
      <c r="O60" s="11">
        <f t="shared" si="15"/>
        <v>0.17971233156690822</v>
      </c>
      <c r="P60" s="11" t="str">
        <f t="shared" si="12"/>
        <v/>
      </c>
      <c r="Q60" s="47">
        <f t="shared" si="6"/>
        <v>-37434.679999999702</v>
      </c>
      <c r="R60" s="47">
        <f t="shared" si="7"/>
        <v>3201024.0399999991</v>
      </c>
      <c r="S60" s="47">
        <f t="shared" si="8"/>
        <v>-3238458.7199999997</v>
      </c>
      <c r="T60" s="47">
        <f t="shared" si="9"/>
        <v>0</v>
      </c>
    </row>
    <row r="61" spans="1:20" s="53" customFormat="1" ht="54">
      <c r="A61" s="25" t="s">
        <v>72</v>
      </c>
      <c r="B61" s="25" t="s">
        <v>58</v>
      </c>
      <c r="C61" s="25" t="s">
        <v>3</v>
      </c>
      <c r="D61" s="26" t="s">
        <v>235</v>
      </c>
      <c r="E61" s="44">
        <f t="shared" si="64"/>
        <v>6499817.29</v>
      </c>
      <c r="F61" s="44">
        <v>6499817.29</v>
      </c>
      <c r="G61" s="44"/>
      <c r="H61" s="44"/>
      <c r="I61" s="44">
        <f t="shared" si="16"/>
        <v>7710517.9000000004</v>
      </c>
      <c r="J61" s="44">
        <v>7710517.9000000004</v>
      </c>
      <c r="K61" s="44"/>
      <c r="L61" s="44"/>
      <c r="M61" s="51">
        <f t="shared" si="4"/>
        <v>1.1862668681260731</v>
      </c>
      <c r="N61" s="51">
        <f t="shared" si="5"/>
        <v>1.1862668681260731</v>
      </c>
      <c r="O61" s="51" t="str">
        <f t="shared" si="15"/>
        <v/>
      </c>
      <c r="P61" s="51" t="str">
        <f t="shared" si="12"/>
        <v/>
      </c>
      <c r="Q61" s="46">
        <f t="shared" si="6"/>
        <v>1210700.6100000003</v>
      </c>
      <c r="R61" s="46">
        <f t="shared" si="7"/>
        <v>1210700.6100000003</v>
      </c>
      <c r="S61" s="46">
        <f t="shared" si="8"/>
        <v>0</v>
      </c>
      <c r="T61" s="46">
        <f t="shared" si="9"/>
        <v>0</v>
      </c>
    </row>
    <row r="62" spans="1:20" s="53" customFormat="1" ht="36">
      <c r="A62" s="25" t="s">
        <v>164</v>
      </c>
      <c r="B62" s="25" t="s">
        <v>8</v>
      </c>
      <c r="C62" s="25" t="s">
        <v>6</v>
      </c>
      <c r="D62" s="14" t="s">
        <v>108</v>
      </c>
      <c r="E62" s="44">
        <f t="shared" si="64"/>
        <v>21442.799999999999</v>
      </c>
      <c r="F62" s="44">
        <v>21442.799999999999</v>
      </c>
      <c r="G62" s="44"/>
      <c r="H62" s="44"/>
      <c r="I62" s="44">
        <f t="shared" si="16"/>
        <v>94505</v>
      </c>
      <c r="J62" s="44">
        <v>94505</v>
      </c>
      <c r="K62" s="44"/>
      <c r="L62" s="44"/>
      <c r="M62" s="51">
        <f t="shared" si="4"/>
        <v>4.4073068815639749</v>
      </c>
      <c r="N62" s="51">
        <f t="shared" si="5"/>
        <v>4.4073068815639749</v>
      </c>
      <c r="O62" s="51" t="str">
        <f t="shared" si="15"/>
        <v/>
      </c>
      <c r="P62" s="51" t="str">
        <f t="shared" si="12"/>
        <v/>
      </c>
      <c r="Q62" s="46">
        <f t="shared" si="6"/>
        <v>73062.2</v>
      </c>
      <c r="R62" s="46">
        <f t="shared" si="7"/>
        <v>73062.2</v>
      </c>
      <c r="S62" s="46">
        <f t="shared" si="8"/>
        <v>0</v>
      </c>
      <c r="T62" s="46">
        <f t="shared" si="9"/>
        <v>0</v>
      </c>
    </row>
    <row r="63" spans="1:20" s="53" customFormat="1" ht="36">
      <c r="A63" s="25" t="s">
        <v>113</v>
      </c>
      <c r="B63" s="25" t="s">
        <v>31</v>
      </c>
      <c r="C63" s="25" t="s">
        <v>13</v>
      </c>
      <c r="D63" s="49" t="s">
        <v>112</v>
      </c>
      <c r="E63" s="44">
        <f t="shared" si="64"/>
        <v>54772.959999999999</v>
      </c>
      <c r="F63" s="44">
        <v>54772.959999999999</v>
      </c>
      <c r="G63" s="44"/>
      <c r="H63" s="44"/>
      <c r="I63" s="44">
        <f t="shared" si="16"/>
        <v>250000</v>
      </c>
      <c r="J63" s="44">
        <v>250000</v>
      </c>
      <c r="K63" s="44"/>
      <c r="L63" s="44"/>
      <c r="M63" s="51">
        <f t="shared" si="4"/>
        <v>4.5642959591740162</v>
      </c>
      <c r="N63" s="51">
        <f t="shared" si="5"/>
        <v>4.5642959591740162</v>
      </c>
      <c r="O63" s="51" t="str">
        <f t="shared" si="15"/>
        <v/>
      </c>
      <c r="P63" s="51" t="str">
        <f t="shared" si="12"/>
        <v/>
      </c>
      <c r="Q63" s="46">
        <f t="shared" si="6"/>
        <v>195227.04</v>
      </c>
      <c r="R63" s="46">
        <f t="shared" si="7"/>
        <v>195227.04</v>
      </c>
      <c r="S63" s="46">
        <f t="shared" si="8"/>
        <v>0</v>
      </c>
      <c r="T63" s="46">
        <f t="shared" si="9"/>
        <v>0</v>
      </c>
    </row>
    <row r="64" spans="1:20" s="53" customFormat="1" ht="36">
      <c r="A64" s="25" t="s">
        <v>114</v>
      </c>
      <c r="B64" s="25" t="s">
        <v>115</v>
      </c>
      <c r="C64" s="25" t="s">
        <v>32</v>
      </c>
      <c r="D64" s="49" t="s">
        <v>33</v>
      </c>
      <c r="E64" s="44">
        <f t="shared" si="64"/>
        <v>4210.3500000000004</v>
      </c>
      <c r="F64" s="44">
        <v>4210.3500000000004</v>
      </c>
      <c r="G64" s="44"/>
      <c r="H64" s="44"/>
      <c r="I64" s="44">
        <f t="shared" si="16"/>
        <v>2307.4</v>
      </c>
      <c r="J64" s="44">
        <v>2307.4</v>
      </c>
      <c r="K64" s="44"/>
      <c r="L64" s="44"/>
      <c r="M64" s="51">
        <f t="shared" si="4"/>
        <v>0.54803044877504248</v>
      </c>
      <c r="N64" s="51">
        <f t="shared" si="5"/>
        <v>0.54803044877504248</v>
      </c>
      <c r="O64" s="51" t="str">
        <f t="shared" si="15"/>
        <v/>
      </c>
      <c r="P64" s="51" t="str">
        <f t="shared" si="12"/>
        <v/>
      </c>
      <c r="Q64" s="46">
        <f t="shared" si="6"/>
        <v>-1902.9500000000003</v>
      </c>
      <c r="R64" s="46">
        <f t="shared" si="7"/>
        <v>-1902.9500000000003</v>
      </c>
      <c r="S64" s="46">
        <f t="shared" si="8"/>
        <v>0</v>
      </c>
      <c r="T64" s="46">
        <f t="shared" si="9"/>
        <v>0</v>
      </c>
    </row>
    <row r="65" spans="1:20" s="53" customFormat="1" ht="54">
      <c r="A65" s="25" t="s">
        <v>171</v>
      </c>
      <c r="B65" s="25" t="s">
        <v>169</v>
      </c>
      <c r="C65" s="25" t="s">
        <v>32</v>
      </c>
      <c r="D65" s="15" t="s">
        <v>170</v>
      </c>
      <c r="E65" s="44">
        <f t="shared" si="64"/>
        <v>105355.09</v>
      </c>
      <c r="F65" s="44">
        <v>105355.09</v>
      </c>
      <c r="G65" s="44"/>
      <c r="H65" s="44"/>
      <c r="I65" s="44">
        <f t="shared" ref="I65:I136" si="68">J65+K65</f>
        <v>115526.86</v>
      </c>
      <c r="J65" s="44">
        <v>115526.86</v>
      </c>
      <c r="K65" s="44"/>
      <c r="L65" s="44"/>
      <c r="M65" s="51">
        <f t="shared" si="4"/>
        <v>1.0965474947627116</v>
      </c>
      <c r="N65" s="51">
        <f t="shared" si="5"/>
        <v>1.0965474947627116</v>
      </c>
      <c r="O65" s="51" t="str">
        <f t="shared" si="15"/>
        <v/>
      </c>
      <c r="P65" s="51" t="str">
        <f t="shared" si="12"/>
        <v/>
      </c>
      <c r="Q65" s="46">
        <f t="shared" si="6"/>
        <v>10171.770000000004</v>
      </c>
      <c r="R65" s="46">
        <f t="shared" si="7"/>
        <v>10171.770000000004</v>
      </c>
      <c r="S65" s="46">
        <f t="shared" si="8"/>
        <v>0</v>
      </c>
      <c r="T65" s="46">
        <f t="shared" si="9"/>
        <v>0</v>
      </c>
    </row>
    <row r="66" spans="1:20" s="53" customFormat="1" ht="36">
      <c r="A66" s="25" t="s">
        <v>172</v>
      </c>
      <c r="B66" s="25" t="s">
        <v>173</v>
      </c>
      <c r="C66" s="25" t="s">
        <v>13</v>
      </c>
      <c r="D66" s="49" t="s">
        <v>174</v>
      </c>
      <c r="E66" s="44">
        <f t="shared" si="64"/>
        <v>36722</v>
      </c>
      <c r="F66" s="46">
        <v>36722</v>
      </c>
      <c r="G66" s="46"/>
      <c r="H66" s="46"/>
      <c r="I66" s="44">
        <f t="shared" si="68"/>
        <v>35322</v>
      </c>
      <c r="J66" s="46">
        <v>35322</v>
      </c>
      <c r="K66" s="46"/>
      <c r="L66" s="46"/>
      <c r="M66" s="51">
        <f t="shared" si="4"/>
        <v>0.96187571483034695</v>
      </c>
      <c r="N66" s="51">
        <f t="shared" si="5"/>
        <v>0.96187571483034695</v>
      </c>
      <c r="O66" s="51" t="str">
        <f t="shared" si="15"/>
        <v/>
      </c>
      <c r="P66" s="51" t="str">
        <f t="shared" si="12"/>
        <v/>
      </c>
      <c r="Q66" s="46">
        <f t="shared" ref="Q66:Q115" si="69">I66-E66</f>
        <v>-1400</v>
      </c>
      <c r="R66" s="46">
        <f t="shared" ref="R66:R115" si="70">J66-F66</f>
        <v>-1400</v>
      </c>
      <c r="S66" s="46">
        <f t="shared" ref="S66:S115" si="71">K66-G66</f>
        <v>0</v>
      </c>
      <c r="T66" s="46">
        <f t="shared" ref="T66:T115" si="72">L66-H66</f>
        <v>0</v>
      </c>
    </row>
    <row r="67" spans="1:20" s="53" customFormat="1" ht="72">
      <c r="A67" s="25" t="s">
        <v>123</v>
      </c>
      <c r="B67" s="25" t="s">
        <v>122</v>
      </c>
      <c r="C67" s="25" t="s">
        <v>11</v>
      </c>
      <c r="D67" s="49" t="s">
        <v>137</v>
      </c>
      <c r="E67" s="44">
        <f t="shared" si="64"/>
        <v>7748592.3200000003</v>
      </c>
      <c r="F67" s="44">
        <v>7748592.3200000003</v>
      </c>
      <c r="G67" s="44"/>
      <c r="H67" s="44"/>
      <c r="I67" s="44">
        <f t="shared" si="68"/>
        <v>7623965.6799999997</v>
      </c>
      <c r="J67" s="44">
        <v>7600965.6799999997</v>
      </c>
      <c r="K67" s="44">
        <f>23000</f>
        <v>23000</v>
      </c>
      <c r="L67" s="44"/>
      <c r="M67" s="51">
        <f t="shared" si="4"/>
        <v>0.98391622183059946</v>
      </c>
      <c r="N67" s="51">
        <f t="shared" si="5"/>
        <v>0.98094794074802993</v>
      </c>
      <c r="O67" s="51" t="str">
        <f t="shared" si="15"/>
        <v/>
      </c>
      <c r="P67" s="51" t="str">
        <f t="shared" si="12"/>
        <v/>
      </c>
      <c r="Q67" s="46">
        <f t="shared" si="69"/>
        <v>-124626.6400000006</v>
      </c>
      <c r="R67" s="46">
        <f t="shared" si="70"/>
        <v>-147626.6400000006</v>
      </c>
      <c r="S67" s="46">
        <f t="shared" si="71"/>
        <v>23000</v>
      </c>
      <c r="T67" s="46">
        <f t="shared" si="72"/>
        <v>0</v>
      </c>
    </row>
    <row r="68" spans="1:20" s="53" customFormat="1" ht="36">
      <c r="A68" s="25" t="s">
        <v>74</v>
      </c>
      <c r="B68" s="25" t="s">
        <v>73</v>
      </c>
      <c r="C68" s="25" t="s">
        <v>17</v>
      </c>
      <c r="D68" s="49" t="s">
        <v>75</v>
      </c>
      <c r="E68" s="44">
        <f t="shared" si="64"/>
        <v>3071783.44</v>
      </c>
      <c r="F68" s="44">
        <v>3071783.44</v>
      </c>
      <c r="G68" s="44"/>
      <c r="H68" s="44"/>
      <c r="I68" s="44">
        <f t="shared" si="68"/>
        <v>3771154.73</v>
      </c>
      <c r="J68" s="44">
        <v>3749187.73</v>
      </c>
      <c r="K68" s="44">
        <f>21967</f>
        <v>21967</v>
      </c>
      <c r="L68" s="44"/>
      <c r="M68" s="51">
        <f t="shared" si="4"/>
        <v>1.2276759751006405</v>
      </c>
      <c r="N68" s="51">
        <f t="shared" si="5"/>
        <v>1.2205247548310241</v>
      </c>
      <c r="O68" s="51" t="str">
        <f t="shared" si="15"/>
        <v/>
      </c>
      <c r="P68" s="51" t="str">
        <f t="shared" si="12"/>
        <v/>
      </c>
      <c r="Q68" s="46">
        <f t="shared" si="69"/>
        <v>699371.29</v>
      </c>
      <c r="R68" s="46">
        <f t="shared" si="70"/>
        <v>677404.29</v>
      </c>
      <c r="S68" s="46">
        <f t="shared" si="71"/>
        <v>21967</v>
      </c>
      <c r="T68" s="46">
        <f t="shared" si="72"/>
        <v>0</v>
      </c>
    </row>
    <row r="69" spans="1:20" s="53" customFormat="1" ht="108">
      <c r="A69" s="25" t="s">
        <v>138</v>
      </c>
      <c r="B69" s="25" t="s">
        <v>139</v>
      </c>
      <c r="C69" s="25" t="s">
        <v>9</v>
      </c>
      <c r="D69" s="49" t="s">
        <v>140</v>
      </c>
      <c r="E69" s="44">
        <f t="shared" si="64"/>
        <v>1129804.8</v>
      </c>
      <c r="F69" s="44">
        <v>1129804.8</v>
      </c>
      <c r="G69" s="44"/>
      <c r="H69" s="44"/>
      <c r="I69" s="44">
        <f t="shared" si="68"/>
        <v>1332489.82</v>
      </c>
      <c r="J69" s="44">
        <v>1332489.82</v>
      </c>
      <c r="K69" s="44"/>
      <c r="L69" s="44"/>
      <c r="M69" s="51">
        <f t="shared" si="4"/>
        <v>1.1793982641957266</v>
      </c>
      <c r="N69" s="51">
        <f t="shared" si="5"/>
        <v>1.1793982641957266</v>
      </c>
      <c r="O69" s="51" t="str">
        <f t="shared" si="15"/>
        <v/>
      </c>
      <c r="P69" s="51" t="str">
        <f t="shared" si="12"/>
        <v/>
      </c>
      <c r="Q69" s="46">
        <f t="shared" si="69"/>
        <v>202685.02000000002</v>
      </c>
      <c r="R69" s="46">
        <f t="shared" si="70"/>
        <v>202685.02000000002</v>
      </c>
      <c r="S69" s="46">
        <f t="shared" si="71"/>
        <v>0</v>
      </c>
      <c r="T69" s="46">
        <f t="shared" si="72"/>
        <v>0</v>
      </c>
    </row>
    <row r="70" spans="1:20" s="53" customFormat="1" ht="72">
      <c r="A70" s="25" t="s">
        <v>175</v>
      </c>
      <c r="B70" s="25" t="s">
        <v>176</v>
      </c>
      <c r="C70" s="25" t="s">
        <v>9</v>
      </c>
      <c r="D70" s="49" t="s">
        <v>177</v>
      </c>
      <c r="E70" s="44">
        <f t="shared" ref="E70:E75" si="73">F70+G70</f>
        <v>12341.62</v>
      </c>
      <c r="F70" s="44">
        <v>12341.62</v>
      </c>
      <c r="G70" s="44"/>
      <c r="H70" s="44"/>
      <c r="I70" s="44">
        <f t="shared" si="68"/>
        <v>13804.81</v>
      </c>
      <c r="J70" s="44">
        <v>13804.81</v>
      </c>
      <c r="K70" s="44"/>
      <c r="L70" s="44"/>
      <c r="M70" s="51">
        <f t="shared" si="4"/>
        <v>1.1185573692918758</v>
      </c>
      <c r="N70" s="51">
        <f t="shared" si="5"/>
        <v>1.1185573692918758</v>
      </c>
      <c r="O70" s="51" t="str">
        <f t="shared" si="15"/>
        <v/>
      </c>
      <c r="P70" s="51" t="str">
        <f t="shared" si="12"/>
        <v/>
      </c>
      <c r="Q70" s="46">
        <f t="shared" si="69"/>
        <v>1463.1899999999987</v>
      </c>
      <c r="R70" s="46">
        <f t="shared" si="70"/>
        <v>1463.1899999999987</v>
      </c>
      <c r="S70" s="46">
        <f t="shared" si="71"/>
        <v>0</v>
      </c>
      <c r="T70" s="46">
        <f t="shared" si="72"/>
        <v>0</v>
      </c>
    </row>
    <row r="71" spans="1:20" s="53" customFormat="1" ht="90">
      <c r="A71" s="25" t="s">
        <v>141</v>
      </c>
      <c r="B71" s="25" t="s">
        <v>142</v>
      </c>
      <c r="C71" s="25" t="s">
        <v>27</v>
      </c>
      <c r="D71" s="49" t="s">
        <v>143</v>
      </c>
      <c r="E71" s="44">
        <f t="shared" si="73"/>
        <v>580491.46</v>
      </c>
      <c r="F71" s="44">
        <v>580491.46</v>
      </c>
      <c r="G71" s="44"/>
      <c r="H71" s="44"/>
      <c r="I71" s="44">
        <f t="shared" si="68"/>
        <v>624323.99</v>
      </c>
      <c r="J71" s="44">
        <v>624323.99</v>
      </c>
      <c r="K71" s="44"/>
      <c r="L71" s="44"/>
      <c r="M71" s="51">
        <f t="shared" si="4"/>
        <v>1.0755093451331739</v>
      </c>
      <c r="N71" s="51">
        <f t="shared" si="5"/>
        <v>1.0755093451331739</v>
      </c>
      <c r="O71" s="51" t="str">
        <f t="shared" si="15"/>
        <v/>
      </c>
      <c r="P71" s="51" t="str">
        <f t="shared" si="12"/>
        <v/>
      </c>
      <c r="Q71" s="46">
        <f t="shared" si="69"/>
        <v>43832.530000000028</v>
      </c>
      <c r="R71" s="46">
        <f t="shared" si="70"/>
        <v>43832.530000000028</v>
      </c>
      <c r="S71" s="46">
        <f t="shared" si="71"/>
        <v>0</v>
      </c>
      <c r="T71" s="46">
        <f t="shared" si="72"/>
        <v>0</v>
      </c>
    </row>
    <row r="72" spans="1:20" s="53" customFormat="1" ht="54">
      <c r="A72" s="25" t="s">
        <v>144</v>
      </c>
      <c r="B72" s="25" t="s">
        <v>145</v>
      </c>
      <c r="C72" s="25" t="s">
        <v>13</v>
      </c>
      <c r="D72" s="49" t="s">
        <v>146</v>
      </c>
      <c r="E72" s="44">
        <f t="shared" si="73"/>
        <v>22812.22</v>
      </c>
      <c r="F72" s="44">
        <v>22812.22</v>
      </c>
      <c r="G72" s="44"/>
      <c r="H72" s="44"/>
      <c r="I72" s="44">
        <f t="shared" si="68"/>
        <v>23288.23</v>
      </c>
      <c r="J72" s="44">
        <v>23288.23</v>
      </c>
      <c r="K72" s="44"/>
      <c r="L72" s="44"/>
      <c r="M72" s="51">
        <f t="shared" si="4"/>
        <v>1.0208664478950316</v>
      </c>
      <c r="N72" s="51">
        <f t="shared" si="5"/>
        <v>1.0208664478950316</v>
      </c>
      <c r="O72" s="51" t="str">
        <f t="shared" si="15"/>
        <v/>
      </c>
      <c r="P72" s="51" t="str">
        <f t="shared" si="12"/>
        <v/>
      </c>
      <c r="Q72" s="46">
        <f t="shared" si="69"/>
        <v>476.0099999999984</v>
      </c>
      <c r="R72" s="46">
        <f t="shared" si="70"/>
        <v>476.0099999999984</v>
      </c>
      <c r="S72" s="46">
        <f t="shared" si="71"/>
        <v>0</v>
      </c>
      <c r="T72" s="46">
        <f t="shared" si="72"/>
        <v>0</v>
      </c>
    </row>
    <row r="73" spans="1:20" s="53" customFormat="1" ht="54">
      <c r="A73" s="24" t="s">
        <v>242</v>
      </c>
      <c r="B73" s="23">
        <v>3230</v>
      </c>
      <c r="C73" s="23">
        <v>1070</v>
      </c>
      <c r="D73" s="50" t="s">
        <v>243</v>
      </c>
      <c r="E73" s="44">
        <f t="shared" si="73"/>
        <v>4221618.55</v>
      </c>
      <c r="F73" s="44">
        <v>273663.65000000002</v>
      </c>
      <c r="G73" s="44">
        <v>3947954.9</v>
      </c>
      <c r="H73" s="44"/>
      <c r="I73" s="44">
        <f t="shared" si="68"/>
        <v>692095.5</v>
      </c>
      <c r="J73" s="44">
        <v>122680</v>
      </c>
      <c r="K73" s="44">
        <f>569415.5</f>
        <v>569415.5</v>
      </c>
      <c r="L73" s="44"/>
      <c r="M73" s="51">
        <f t="shared" si="4"/>
        <v>0.16394079469827988</v>
      </c>
      <c r="N73" s="51">
        <f t="shared" si="5"/>
        <v>0.44828752375406816</v>
      </c>
      <c r="O73" s="51">
        <f t="shared" si="15"/>
        <v>0.14423049766855239</v>
      </c>
      <c r="P73" s="51" t="str">
        <f t="shared" si="12"/>
        <v/>
      </c>
      <c r="Q73" s="46">
        <f t="shared" si="69"/>
        <v>-3529523.05</v>
      </c>
      <c r="R73" s="46">
        <f t="shared" si="70"/>
        <v>-150983.65000000002</v>
      </c>
      <c r="S73" s="46">
        <f t="shared" si="71"/>
        <v>-3378539.4</v>
      </c>
      <c r="T73" s="46">
        <f t="shared" si="72"/>
        <v>0</v>
      </c>
    </row>
    <row r="74" spans="1:20" s="53" customFormat="1" ht="36">
      <c r="A74" s="25" t="s">
        <v>151</v>
      </c>
      <c r="B74" s="25" t="s">
        <v>147</v>
      </c>
      <c r="C74" s="25" t="s">
        <v>4</v>
      </c>
      <c r="D74" s="49" t="s">
        <v>148</v>
      </c>
      <c r="E74" s="44">
        <f t="shared" si="73"/>
        <v>15693723.050000001</v>
      </c>
      <c r="F74" s="44">
        <v>15693723.050000001</v>
      </c>
      <c r="G74" s="44"/>
      <c r="H74" s="44"/>
      <c r="I74" s="44">
        <f t="shared" si="68"/>
        <v>16972751.350000001</v>
      </c>
      <c r="J74" s="44">
        <f>16594797.67+282840</f>
        <v>16877637.670000002</v>
      </c>
      <c r="K74" s="44">
        <f>95113.68</f>
        <v>95113.68</v>
      </c>
      <c r="L74" s="44"/>
      <c r="M74" s="51">
        <f t="shared" ref="M74:M137" si="74">IFERROR((I74/E74),"")</f>
        <v>1.0814993546098037</v>
      </c>
      <c r="N74" s="51">
        <f t="shared" ref="N74:N137" si="75">IFERROR((J74/F74),"")</f>
        <v>1.0754387353611419</v>
      </c>
      <c r="O74" s="51" t="str">
        <f t="shared" ref="O74:O137" si="76">IFERROR((K74/G74),"")</f>
        <v/>
      </c>
      <c r="P74" s="51" t="str">
        <f t="shared" ref="P74:P137" si="77">IFERROR((L74/H74),"")</f>
        <v/>
      </c>
      <c r="Q74" s="46">
        <f t="shared" si="69"/>
        <v>1279028.3000000007</v>
      </c>
      <c r="R74" s="46">
        <f t="shared" si="70"/>
        <v>1183914.620000001</v>
      </c>
      <c r="S74" s="46">
        <f t="shared" si="71"/>
        <v>95113.68</v>
      </c>
      <c r="T74" s="46">
        <f t="shared" si="72"/>
        <v>0</v>
      </c>
    </row>
    <row r="75" spans="1:20" s="53" customFormat="1" ht="54">
      <c r="A75" s="24" t="s">
        <v>305</v>
      </c>
      <c r="B75" s="24" t="s">
        <v>306</v>
      </c>
      <c r="C75" s="24" t="s">
        <v>5</v>
      </c>
      <c r="D75" s="50" t="s">
        <v>136</v>
      </c>
      <c r="E75" s="44">
        <f t="shared" si="73"/>
        <v>96000</v>
      </c>
      <c r="F75" s="44">
        <v>96000</v>
      </c>
      <c r="G75" s="44"/>
      <c r="H75" s="44"/>
      <c r="I75" s="44">
        <f t="shared" si="68"/>
        <v>0</v>
      </c>
      <c r="J75" s="44"/>
      <c r="K75" s="44"/>
      <c r="L75" s="44"/>
      <c r="M75" s="51">
        <f t="shared" si="74"/>
        <v>0</v>
      </c>
      <c r="N75" s="51">
        <f t="shared" si="75"/>
        <v>0</v>
      </c>
      <c r="O75" s="51" t="str">
        <f t="shared" si="76"/>
        <v/>
      </c>
      <c r="P75" s="51" t="str">
        <f t="shared" si="77"/>
        <v/>
      </c>
      <c r="Q75" s="46">
        <f t="shared" ref="Q75" si="78">I75-E75</f>
        <v>-96000</v>
      </c>
      <c r="R75" s="46">
        <f t="shared" ref="R75" si="79">J75-F75</f>
        <v>-96000</v>
      </c>
      <c r="S75" s="46">
        <f t="shared" ref="S75" si="80">K75-G75</f>
        <v>0</v>
      </c>
      <c r="T75" s="46">
        <f t="shared" ref="T75" si="81">L75-H75</f>
        <v>0</v>
      </c>
    </row>
    <row r="76" spans="1:20" s="34" customFormat="1" ht="52.2">
      <c r="A76" s="29" t="s">
        <v>281</v>
      </c>
      <c r="B76" s="40" t="s">
        <v>282</v>
      </c>
      <c r="C76" s="40" t="s">
        <v>282</v>
      </c>
      <c r="D76" s="20" t="s">
        <v>283</v>
      </c>
      <c r="E76" s="43">
        <f t="shared" ref="E76:L76" si="82">E77</f>
        <v>0</v>
      </c>
      <c r="F76" s="43"/>
      <c r="G76" s="43"/>
      <c r="H76" s="43">
        <f t="shared" si="82"/>
        <v>0</v>
      </c>
      <c r="I76" s="43">
        <f t="shared" si="82"/>
        <v>1103369.54</v>
      </c>
      <c r="J76" s="43">
        <f t="shared" si="82"/>
        <v>1103369.54</v>
      </c>
      <c r="K76" s="43">
        <f t="shared" si="82"/>
        <v>0</v>
      </c>
      <c r="L76" s="43">
        <f t="shared" si="82"/>
        <v>0</v>
      </c>
      <c r="M76" s="11" t="str">
        <f t="shared" si="74"/>
        <v/>
      </c>
      <c r="N76" s="11" t="str">
        <f t="shared" si="75"/>
        <v/>
      </c>
      <c r="O76" s="11" t="str">
        <f t="shared" si="76"/>
        <v/>
      </c>
      <c r="P76" s="11" t="str">
        <f t="shared" si="77"/>
        <v/>
      </c>
      <c r="Q76" s="47">
        <f t="shared" si="69"/>
        <v>1103369.54</v>
      </c>
      <c r="R76" s="47">
        <f t="shared" si="70"/>
        <v>1103369.54</v>
      </c>
      <c r="S76" s="47">
        <f t="shared" si="71"/>
        <v>0</v>
      </c>
      <c r="T76" s="47">
        <f t="shared" si="72"/>
        <v>0</v>
      </c>
    </row>
    <row r="77" spans="1:20" s="34" customFormat="1" ht="52.2">
      <c r="A77" s="29" t="s">
        <v>284</v>
      </c>
      <c r="B77" s="40" t="s">
        <v>282</v>
      </c>
      <c r="C77" s="40" t="s">
        <v>282</v>
      </c>
      <c r="D77" s="20" t="s">
        <v>283</v>
      </c>
      <c r="E77" s="43">
        <f t="shared" ref="E77" si="83">F77+G77</f>
        <v>0</v>
      </c>
      <c r="F77" s="43"/>
      <c r="G77" s="43"/>
      <c r="H77" s="43"/>
      <c r="I77" s="43">
        <f>I78+I79</f>
        <v>1103369.54</v>
      </c>
      <c r="J77" s="43">
        <f t="shared" ref="J77:L77" si="84">J78+J79</f>
        <v>1103369.54</v>
      </c>
      <c r="K77" s="43">
        <f t="shared" si="84"/>
        <v>0</v>
      </c>
      <c r="L77" s="43">
        <f t="shared" si="84"/>
        <v>0</v>
      </c>
      <c r="M77" s="11" t="str">
        <f t="shared" si="74"/>
        <v/>
      </c>
      <c r="N77" s="11" t="str">
        <f t="shared" si="75"/>
        <v/>
      </c>
      <c r="O77" s="11" t="str">
        <f t="shared" si="76"/>
        <v/>
      </c>
      <c r="P77" s="11" t="str">
        <f t="shared" si="77"/>
        <v/>
      </c>
      <c r="Q77" s="47">
        <f t="shared" si="69"/>
        <v>1103369.54</v>
      </c>
      <c r="R77" s="47">
        <f t="shared" si="70"/>
        <v>1103369.54</v>
      </c>
      <c r="S77" s="47">
        <f t="shared" si="71"/>
        <v>0</v>
      </c>
      <c r="T77" s="47">
        <f t="shared" si="72"/>
        <v>0</v>
      </c>
    </row>
    <row r="78" spans="1:20" s="53" customFormat="1" ht="54">
      <c r="A78" s="24" t="s">
        <v>285</v>
      </c>
      <c r="B78" s="23" t="s">
        <v>58</v>
      </c>
      <c r="C78" s="23" t="s">
        <v>3</v>
      </c>
      <c r="D78" s="50" t="s">
        <v>235</v>
      </c>
      <c r="E78" s="44"/>
      <c r="F78" s="44"/>
      <c r="G78" s="44"/>
      <c r="H78" s="44"/>
      <c r="I78" s="44">
        <f t="shared" si="68"/>
        <v>1035997.54</v>
      </c>
      <c r="J78" s="44">
        <v>1035997.54</v>
      </c>
      <c r="K78" s="44"/>
      <c r="L78" s="44"/>
      <c r="M78" s="51" t="str">
        <f t="shared" si="74"/>
        <v/>
      </c>
      <c r="N78" s="51" t="str">
        <f t="shared" si="75"/>
        <v/>
      </c>
      <c r="O78" s="51" t="str">
        <f t="shared" si="76"/>
        <v/>
      </c>
      <c r="P78" s="51" t="str">
        <f t="shared" si="77"/>
        <v/>
      </c>
      <c r="Q78" s="46">
        <f t="shared" si="69"/>
        <v>1035997.54</v>
      </c>
      <c r="R78" s="46">
        <f t="shared" si="70"/>
        <v>1035997.54</v>
      </c>
      <c r="S78" s="46">
        <f t="shared" si="71"/>
        <v>0</v>
      </c>
      <c r="T78" s="46">
        <f t="shared" si="72"/>
        <v>0</v>
      </c>
    </row>
    <row r="79" spans="1:20" s="53" customFormat="1" ht="36">
      <c r="A79" s="24" t="s">
        <v>286</v>
      </c>
      <c r="B79" s="23" t="s">
        <v>34</v>
      </c>
      <c r="C79" s="23" t="s">
        <v>17</v>
      </c>
      <c r="D79" s="50" t="s">
        <v>43</v>
      </c>
      <c r="E79" s="44"/>
      <c r="F79" s="44"/>
      <c r="G79" s="44"/>
      <c r="H79" s="44"/>
      <c r="I79" s="44">
        <f t="shared" si="68"/>
        <v>67372</v>
      </c>
      <c r="J79" s="44">
        <v>67372</v>
      </c>
      <c r="K79" s="44"/>
      <c r="L79" s="44"/>
      <c r="M79" s="51" t="str">
        <f t="shared" si="74"/>
        <v/>
      </c>
      <c r="N79" s="51" t="str">
        <f t="shared" si="75"/>
        <v/>
      </c>
      <c r="O79" s="51" t="str">
        <f t="shared" si="76"/>
        <v/>
      </c>
      <c r="P79" s="51" t="str">
        <f t="shared" si="77"/>
        <v/>
      </c>
      <c r="Q79" s="46">
        <f t="shared" si="69"/>
        <v>67372</v>
      </c>
      <c r="R79" s="46">
        <f t="shared" si="70"/>
        <v>67372</v>
      </c>
      <c r="S79" s="46">
        <f t="shared" si="71"/>
        <v>0</v>
      </c>
      <c r="T79" s="46">
        <f t="shared" si="72"/>
        <v>0</v>
      </c>
    </row>
    <row r="80" spans="1:20" s="34" customFormat="1" ht="34.799999999999997">
      <c r="A80" s="27" t="s">
        <v>76</v>
      </c>
      <c r="B80" s="27"/>
      <c r="C80" s="27"/>
      <c r="D80" s="10" t="s">
        <v>211</v>
      </c>
      <c r="E80" s="43">
        <f t="shared" ref="E80:L80" si="85">E81</f>
        <v>25229953.530000001</v>
      </c>
      <c r="F80" s="43">
        <f t="shared" si="85"/>
        <v>24711288.23</v>
      </c>
      <c r="G80" s="43">
        <f t="shared" si="85"/>
        <v>518665.3</v>
      </c>
      <c r="H80" s="43">
        <f t="shared" si="85"/>
        <v>94000</v>
      </c>
      <c r="I80" s="43">
        <f t="shared" si="85"/>
        <v>27529882.68</v>
      </c>
      <c r="J80" s="43">
        <f t="shared" si="85"/>
        <v>27076149.359999999</v>
      </c>
      <c r="K80" s="43">
        <f t="shared" si="85"/>
        <v>453733.31999999995</v>
      </c>
      <c r="L80" s="43">
        <f t="shared" si="85"/>
        <v>0</v>
      </c>
      <c r="M80" s="11">
        <f t="shared" si="74"/>
        <v>1.0911586756299507</v>
      </c>
      <c r="N80" s="11">
        <f t="shared" si="75"/>
        <v>1.0956996295777495</v>
      </c>
      <c r="O80" s="11">
        <f t="shared" si="76"/>
        <v>0.87480947732574355</v>
      </c>
      <c r="P80" s="11">
        <f t="shared" si="77"/>
        <v>0</v>
      </c>
      <c r="Q80" s="47">
        <f t="shared" si="69"/>
        <v>2299929.1499999985</v>
      </c>
      <c r="R80" s="47">
        <f t="shared" si="70"/>
        <v>2364861.129999999</v>
      </c>
      <c r="S80" s="47">
        <f t="shared" si="71"/>
        <v>-64931.98000000004</v>
      </c>
      <c r="T80" s="47">
        <f t="shared" si="72"/>
        <v>-94000</v>
      </c>
    </row>
    <row r="81" spans="1:20" s="34" customFormat="1" ht="34.799999999999997">
      <c r="A81" s="27" t="s">
        <v>77</v>
      </c>
      <c r="B81" s="27"/>
      <c r="C81" s="27"/>
      <c r="D81" s="10" t="s">
        <v>211</v>
      </c>
      <c r="E81" s="43">
        <f t="shared" ref="E81:E90" si="86">F81+G81</f>
        <v>25229953.530000001</v>
      </c>
      <c r="F81" s="43">
        <f>F82+F84+F86+F87+F88+F89+F90+F83+F85</f>
        <v>24711288.23</v>
      </c>
      <c r="G81" s="43">
        <f t="shared" ref="G81:H81" si="87">G82+G84+G86+G87+G88+G89+G90+G83+G85</f>
        <v>518665.3</v>
      </c>
      <c r="H81" s="43">
        <f t="shared" si="87"/>
        <v>94000</v>
      </c>
      <c r="I81" s="43">
        <f t="shared" si="68"/>
        <v>27529882.68</v>
      </c>
      <c r="J81" s="43">
        <f>J82+J84+J86+J87+J88+J89+J90+J83+J85</f>
        <v>27076149.359999999</v>
      </c>
      <c r="K81" s="43">
        <f t="shared" ref="K81:L81" si="88">K82+K84+K86+K87+K88+K89+K90+K83+K85</f>
        <v>453733.31999999995</v>
      </c>
      <c r="L81" s="43">
        <f t="shared" si="88"/>
        <v>0</v>
      </c>
      <c r="M81" s="11">
        <f t="shared" si="74"/>
        <v>1.0911586756299507</v>
      </c>
      <c r="N81" s="11">
        <f t="shared" si="75"/>
        <v>1.0956996295777495</v>
      </c>
      <c r="O81" s="11">
        <f t="shared" si="76"/>
        <v>0.87480947732574355</v>
      </c>
      <c r="P81" s="11">
        <f t="shared" si="77"/>
        <v>0</v>
      </c>
      <c r="Q81" s="47">
        <f t="shared" si="69"/>
        <v>2299929.1499999985</v>
      </c>
      <c r="R81" s="47">
        <f t="shared" si="70"/>
        <v>2364861.129999999</v>
      </c>
      <c r="S81" s="47">
        <f t="shared" si="71"/>
        <v>-64931.98000000004</v>
      </c>
      <c r="T81" s="47">
        <f t="shared" si="72"/>
        <v>-94000</v>
      </c>
    </row>
    <row r="82" spans="1:20" s="53" customFormat="1" ht="54">
      <c r="A82" s="25" t="s">
        <v>78</v>
      </c>
      <c r="B82" s="25" t="s">
        <v>58</v>
      </c>
      <c r="C82" s="25" t="s">
        <v>3</v>
      </c>
      <c r="D82" s="26" t="s">
        <v>235</v>
      </c>
      <c r="E82" s="44">
        <f t="shared" si="86"/>
        <v>460053.02</v>
      </c>
      <c r="F82" s="44">
        <v>460053.02</v>
      </c>
      <c r="G82" s="44"/>
      <c r="H82" s="44"/>
      <c r="I82" s="44">
        <f t="shared" si="68"/>
        <v>519555.81</v>
      </c>
      <c r="J82" s="44">
        <v>519555.81</v>
      </c>
      <c r="K82" s="44"/>
      <c r="L82" s="44"/>
      <c r="M82" s="51">
        <f t="shared" si="74"/>
        <v>1.1293389835806316</v>
      </c>
      <c r="N82" s="51">
        <f t="shared" si="75"/>
        <v>1.1293389835806316</v>
      </c>
      <c r="O82" s="51" t="str">
        <f t="shared" si="76"/>
        <v/>
      </c>
      <c r="P82" s="51" t="str">
        <f t="shared" si="77"/>
        <v/>
      </c>
      <c r="Q82" s="46">
        <f t="shared" si="69"/>
        <v>59502.789999999979</v>
      </c>
      <c r="R82" s="46">
        <f t="shared" si="70"/>
        <v>59502.789999999979</v>
      </c>
      <c r="S82" s="46">
        <f t="shared" si="71"/>
        <v>0</v>
      </c>
      <c r="T82" s="46">
        <f t="shared" si="72"/>
        <v>0</v>
      </c>
    </row>
    <row r="83" spans="1:20" s="53" customFormat="1" ht="36">
      <c r="A83" s="23" t="s">
        <v>263</v>
      </c>
      <c r="B83" s="23" t="s">
        <v>8</v>
      </c>
      <c r="C83" s="23" t="s">
        <v>6</v>
      </c>
      <c r="D83" s="50" t="s">
        <v>108</v>
      </c>
      <c r="E83" s="44">
        <f t="shared" si="86"/>
        <v>74952</v>
      </c>
      <c r="F83" s="44">
        <v>74952</v>
      </c>
      <c r="G83" s="44"/>
      <c r="H83" s="44"/>
      <c r="I83" s="44">
        <f t="shared" si="68"/>
        <v>64870</v>
      </c>
      <c r="J83" s="44">
        <v>64870</v>
      </c>
      <c r="K83" s="44"/>
      <c r="L83" s="44"/>
      <c r="M83" s="51">
        <f t="shared" si="74"/>
        <v>0.86548724517024234</v>
      </c>
      <c r="N83" s="51">
        <f t="shared" si="75"/>
        <v>0.86548724517024234</v>
      </c>
      <c r="O83" s="51" t="str">
        <f t="shared" si="76"/>
        <v/>
      </c>
      <c r="P83" s="51" t="str">
        <f t="shared" si="77"/>
        <v/>
      </c>
      <c r="Q83" s="46">
        <f t="shared" si="69"/>
        <v>-10082</v>
      </c>
      <c r="R83" s="46">
        <f t="shared" si="70"/>
        <v>-10082</v>
      </c>
      <c r="S83" s="46">
        <f t="shared" si="71"/>
        <v>0</v>
      </c>
      <c r="T83" s="46">
        <f t="shared" si="72"/>
        <v>0</v>
      </c>
    </row>
    <row r="84" spans="1:20" s="53" customFormat="1" ht="36">
      <c r="A84" s="25" t="s">
        <v>194</v>
      </c>
      <c r="B84" s="25" t="s">
        <v>195</v>
      </c>
      <c r="C84" s="25" t="s">
        <v>15</v>
      </c>
      <c r="D84" s="16" t="s">
        <v>193</v>
      </c>
      <c r="E84" s="44">
        <f t="shared" si="86"/>
        <v>12823585.18</v>
      </c>
      <c r="F84" s="44">
        <v>12679288.109999999</v>
      </c>
      <c r="G84" s="46">
        <v>144297.07</v>
      </c>
      <c r="H84" s="46"/>
      <c r="I84" s="44">
        <f t="shared" si="68"/>
        <v>14097481.15</v>
      </c>
      <c r="J84" s="44">
        <v>13701458.93</v>
      </c>
      <c r="K84" s="46">
        <f>214012.22+182010</f>
        <v>396022.22</v>
      </c>
      <c r="L84" s="46"/>
      <c r="M84" s="51">
        <f t="shared" si="74"/>
        <v>1.0993400794020383</v>
      </c>
      <c r="N84" s="51">
        <f t="shared" si="75"/>
        <v>1.0806173667742298</v>
      </c>
      <c r="O84" s="51">
        <f t="shared" si="76"/>
        <v>2.74449245573732</v>
      </c>
      <c r="P84" s="51" t="str">
        <f t="shared" si="77"/>
        <v/>
      </c>
      <c r="Q84" s="46">
        <f t="shared" si="69"/>
        <v>1273895.9700000007</v>
      </c>
      <c r="R84" s="46">
        <f t="shared" si="70"/>
        <v>1022170.8200000003</v>
      </c>
      <c r="S84" s="46">
        <f t="shared" si="71"/>
        <v>251725.14999999997</v>
      </c>
      <c r="T84" s="46">
        <f t="shared" si="72"/>
        <v>0</v>
      </c>
    </row>
    <row r="85" spans="1:20" s="53" customFormat="1" ht="90">
      <c r="A85" s="74">
        <v>1013140</v>
      </c>
      <c r="B85" s="74">
        <v>3140</v>
      </c>
      <c r="C85" s="74">
        <v>1040</v>
      </c>
      <c r="D85" s="60" t="s">
        <v>303</v>
      </c>
      <c r="E85" s="44">
        <f t="shared" si="86"/>
        <v>120000</v>
      </c>
      <c r="F85" s="44">
        <v>120000</v>
      </c>
      <c r="G85" s="46"/>
      <c r="H85" s="46"/>
      <c r="I85" s="44">
        <f t="shared" si="68"/>
        <v>84660</v>
      </c>
      <c r="J85" s="44">
        <v>84660</v>
      </c>
      <c r="K85" s="46"/>
      <c r="L85" s="46"/>
      <c r="M85" s="51">
        <f t="shared" si="74"/>
        <v>0.70550000000000002</v>
      </c>
      <c r="N85" s="51">
        <f t="shared" si="75"/>
        <v>0.70550000000000002</v>
      </c>
      <c r="O85" s="51" t="str">
        <f t="shared" si="76"/>
        <v/>
      </c>
      <c r="P85" s="51" t="str">
        <f t="shared" si="77"/>
        <v/>
      </c>
      <c r="Q85" s="46">
        <f t="shared" ref="Q85" si="89">I85-E85</f>
        <v>-35340</v>
      </c>
      <c r="R85" s="46">
        <f t="shared" ref="R85" si="90">J85-F85</f>
        <v>-35340</v>
      </c>
      <c r="S85" s="46">
        <f t="shared" ref="S85" si="91">K85-G85</f>
        <v>0</v>
      </c>
      <c r="T85" s="46">
        <f t="shared" ref="T85" si="92">L85-H85</f>
        <v>0</v>
      </c>
    </row>
    <row r="86" spans="1:20" s="53" customFormat="1">
      <c r="A86" s="25" t="s">
        <v>80</v>
      </c>
      <c r="B86" s="25" t="s">
        <v>79</v>
      </c>
      <c r="C86" s="25" t="s">
        <v>36</v>
      </c>
      <c r="D86" s="49" t="s">
        <v>81</v>
      </c>
      <c r="E86" s="44">
        <f t="shared" si="86"/>
        <v>3791863.72</v>
      </c>
      <c r="F86" s="44">
        <v>3700061.72</v>
      </c>
      <c r="G86" s="46">
        <v>91802</v>
      </c>
      <c r="H86" s="46">
        <v>74000</v>
      </c>
      <c r="I86" s="44">
        <f t="shared" si="68"/>
        <v>4204760.2799999993</v>
      </c>
      <c r="J86" s="44">
        <v>4176700.78</v>
      </c>
      <c r="K86" s="46">
        <f>28059.5</f>
        <v>28059.5</v>
      </c>
      <c r="L86" s="46"/>
      <c r="M86" s="51">
        <f t="shared" si="74"/>
        <v>1.1088901370115694</v>
      </c>
      <c r="N86" s="51">
        <f t="shared" si="75"/>
        <v>1.1288192187237351</v>
      </c>
      <c r="O86" s="51">
        <f t="shared" si="76"/>
        <v>0.30565238230103919</v>
      </c>
      <c r="P86" s="51">
        <f t="shared" si="77"/>
        <v>0</v>
      </c>
      <c r="Q86" s="46">
        <f t="shared" si="69"/>
        <v>412896.55999999912</v>
      </c>
      <c r="R86" s="46">
        <f t="shared" si="70"/>
        <v>476639.05999999959</v>
      </c>
      <c r="S86" s="46">
        <f t="shared" si="71"/>
        <v>-63742.5</v>
      </c>
      <c r="T86" s="46">
        <f t="shared" si="72"/>
        <v>-74000</v>
      </c>
    </row>
    <row r="87" spans="1:20" s="53" customFormat="1">
      <c r="A87" s="25" t="s">
        <v>83</v>
      </c>
      <c r="B87" s="25" t="s">
        <v>82</v>
      </c>
      <c r="C87" s="25" t="s">
        <v>36</v>
      </c>
      <c r="D87" s="49" t="s">
        <v>84</v>
      </c>
      <c r="E87" s="44">
        <f t="shared" si="86"/>
        <v>1607021.92</v>
      </c>
      <c r="F87" s="44">
        <v>1565184.94</v>
      </c>
      <c r="G87" s="46">
        <v>41836.980000000003</v>
      </c>
      <c r="H87" s="46"/>
      <c r="I87" s="44">
        <f t="shared" si="68"/>
        <v>1862119.4</v>
      </c>
      <c r="J87" s="44">
        <v>1856727.4</v>
      </c>
      <c r="K87" s="46">
        <v>5392</v>
      </c>
      <c r="L87" s="46"/>
      <c r="M87" s="51">
        <f t="shared" si="74"/>
        <v>1.1587392659833788</v>
      </c>
      <c r="N87" s="51">
        <f t="shared" si="75"/>
        <v>1.1862671001677283</v>
      </c>
      <c r="O87" s="51">
        <f t="shared" si="76"/>
        <v>0.12888119553562422</v>
      </c>
      <c r="P87" s="51" t="str">
        <f t="shared" si="77"/>
        <v/>
      </c>
      <c r="Q87" s="46">
        <f t="shared" si="69"/>
        <v>255097.47999999998</v>
      </c>
      <c r="R87" s="46">
        <f t="shared" si="70"/>
        <v>291542.45999999996</v>
      </c>
      <c r="S87" s="46">
        <f t="shared" si="71"/>
        <v>-36444.980000000003</v>
      </c>
      <c r="T87" s="46">
        <f t="shared" si="72"/>
        <v>0</v>
      </c>
    </row>
    <row r="88" spans="1:20" s="53" customFormat="1" ht="54">
      <c r="A88" s="25" t="s">
        <v>85</v>
      </c>
      <c r="B88" s="25" t="s">
        <v>35</v>
      </c>
      <c r="C88" s="25" t="s">
        <v>37</v>
      </c>
      <c r="D88" s="49" t="s">
        <v>86</v>
      </c>
      <c r="E88" s="44">
        <f t="shared" si="86"/>
        <v>5228621</v>
      </c>
      <c r="F88" s="44">
        <v>4987891.75</v>
      </c>
      <c r="G88" s="46">
        <v>240729.25</v>
      </c>
      <c r="H88" s="46">
        <v>20000</v>
      </c>
      <c r="I88" s="44">
        <f t="shared" si="68"/>
        <v>5487241.1299999999</v>
      </c>
      <c r="J88" s="44">
        <v>5462981.5300000003</v>
      </c>
      <c r="K88" s="46">
        <v>24259.599999999999</v>
      </c>
      <c r="L88" s="46"/>
      <c r="M88" s="51">
        <f t="shared" si="74"/>
        <v>1.049462397446669</v>
      </c>
      <c r="N88" s="51">
        <f t="shared" si="75"/>
        <v>1.09524861480805</v>
      </c>
      <c r="O88" s="51">
        <f t="shared" si="76"/>
        <v>0.10077545624389225</v>
      </c>
      <c r="P88" s="51">
        <f t="shared" si="77"/>
        <v>0</v>
      </c>
      <c r="Q88" s="46">
        <f t="shared" si="69"/>
        <v>258620.12999999989</v>
      </c>
      <c r="R88" s="46">
        <f t="shared" si="70"/>
        <v>475089.78000000026</v>
      </c>
      <c r="S88" s="46">
        <f t="shared" si="71"/>
        <v>-216469.65</v>
      </c>
      <c r="T88" s="46">
        <f t="shared" si="72"/>
        <v>-20000</v>
      </c>
    </row>
    <row r="89" spans="1:20" s="53" customFormat="1" ht="36">
      <c r="A89" s="25" t="s">
        <v>152</v>
      </c>
      <c r="B89" s="25" t="s">
        <v>131</v>
      </c>
      <c r="C89" s="25" t="s">
        <v>38</v>
      </c>
      <c r="D89" s="49" t="s">
        <v>132</v>
      </c>
      <c r="E89" s="44">
        <f t="shared" si="86"/>
        <v>1001394.69</v>
      </c>
      <c r="F89" s="44">
        <v>1001394.69</v>
      </c>
      <c r="G89" s="46"/>
      <c r="H89" s="46"/>
      <c r="I89" s="44">
        <f t="shared" si="68"/>
        <v>1120775.9099999999</v>
      </c>
      <c r="J89" s="44">
        <v>1120775.9099999999</v>
      </c>
      <c r="K89" s="46"/>
      <c r="L89" s="46"/>
      <c r="M89" s="51">
        <f t="shared" si="74"/>
        <v>1.1192149520984578</v>
      </c>
      <c r="N89" s="51">
        <f t="shared" si="75"/>
        <v>1.1192149520984578</v>
      </c>
      <c r="O89" s="51" t="str">
        <f t="shared" si="76"/>
        <v/>
      </c>
      <c r="P89" s="51" t="str">
        <f t="shared" si="77"/>
        <v/>
      </c>
      <c r="Q89" s="46">
        <f t="shared" si="69"/>
        <v>119381.21999999997</v>
      </c>
      <c r="R89" s="46">
        <f t="shared" si="70"/>
        <v>119381.21999999997</v>
      </c>
      <c r="S89" s="46">
        <f t="shared" si="71"/>
        <v>0</v>
      </c>
      <c r="T89" s="46">
        <f t="shared" si="72"/>
        <v>0</v>
      </c>
    </row>
    <row r="90" spans="1:20" s="53" customFormat="1">
      <c r="A90" s="25" t="s">
        <v>129</v>
      </c>
      <c r="B90" s="25" t="s">
        <v>130</v>
      </c>
      <c r="C90" s="25" t="s">
        <v>38</v>
      </c>
      <c r="D90" s="49" t="s">
        <v>133</v>
      </c>
      <c r="E90" s="44">
        <f t="shared" si="86"/>
        <v>122462</v>
      </c>
      <c r="F90" s="44">
        <v>122462</v>
      </c>
      <c r="G90" s="46"/>
      <c r="H90" s="46"/>
      <c r="I90" s="44">
        <f t="shared" si="68"/>
        <v>88419</v>
      </c>
      <c r="J90" s="44">
        <v>88419</v>
      </c>
      <c r="K90" s="46"/>
      <c r="L90" s="46"/>
      <c r="M90" s="51">
        <f t="shared" si="74"/>
        <v>0.72201172608645947</v>
      </c>
      <c r="N90" s="51">
        <f t="shared" si="75"/>
        <v>0.72201172608645947</v>
      </c>
      <c r="O90" s="51" t="str">
        <f t="shared" si="76"/>
        <v/>
      </c>
      <c r="P90" s="51" t="str">
        <f t="shared" si="77"/>
        <v/>
      </c>
      <c r="Q90" s="46">
        <f t="shared" si="69"/>
        <v>-34043</v>
      </c>
      <c r="R90" s="46">
        <f t="shared" si="70"/>
        <v>-34043</v>
      </c>
      <c r="S90" s="46">
        <f t="shared" si="71"/>
        <v>0</v>
      </c>
      <c r="T90" s="46">
        <f t="shared" si="72"/>
        <v>0</v>
      </c>
    </row>
    <row r="91" spans="1:20" s="34" customFormat="1" ht="52.2">
      <c r="A91" s="27" t="s">
        <v>21</v>
      </c>
      <c r="B91" s="27"/>
      <c r="C91" s="27"/>
      <c r="D91" s="10" t="s">
        <v>261</v>
      </c>
      <c r="E91" s="43">
        <f t="shared" ref="E91:L91" si="93">E92</f>
        <v>2439468.1</v>
      </c>
      <c r="F91" s="43">
        <f t="shared" si="93"/>
        <v>2189767.0300000003</v>
      </c>
      <c r="G91" s="43">
        <f t="shared" si="93"/>
        <v>249701.07</v>
      </c>
      <c r="H91" s="43">
        <f t="shared" si="93"/>
        <v>50000</v>
      </c>
      <c r="I91" s="43">
        <f t="shared" si="93"/>
        <v>2974744.5199999996</v>
      </c>
      <c r="J91" s="43">
        <f t="shared" si="93"/>
        <v>2974744.5199999996</v>
      </c>
      <c r="K91" s="43">
        <f t="shared" si="93"/>
        <v>0</v>
      </c>
      <c r="L91" s="43">
        <f t="shared" si="93"/>
        <v>0</v>
      </c>
      <c r="M91" s="11">
        <f t="shared" si="74"/>
        <v>1.2194234144730154</v>
      </c>
      <c r="N91" s="11">
        <f t="shared" si="75"/>
        <v>1.3584753442926754</v>
      </c>
      <c r="O91" s="11">
        <f t="shared" si="76"/>
        <v>0</v>
      </c>
      <c r="P91" s="11">
        <f t="shared" si="77"/>
        <v>0</v>
      </c>
      <c r="Q91" s="47">
        <f t="shared" si="69"/>
        <v>535276.41999999946</v>
      </c>
      <c r="R91" s="47">
        <f t="shared" si="70"/>
        <v>784977.48999999929</v>
      </c>
      <c r="S91" s="47">
        <f t="shared" si="71"/>
        <v>-249701.07</v>
      </c>
      <c r="T91" s="47">
        <f t="shared" si="72"/>
        <v>-50000</v>
      </c>
    </row>
    <row r="92" spans="1:20" s="34" customFormat="1" ht="52.2">
      <c r="A92" s="27" t="s">
        <v>22</v>
      </c>
      <c r="B92" s="27"/>
      <c r="C92" s="27"/>
      <c r="D92" s="10" t="s">
        <v>262</v>
      </c>
      <c r="E92" s="43">
        <f t="shared" ref="E92:E99" si="94">F92+G92</f>
        <v>2439468.1</v>
      </c>
      <c r="F92" s="43">
        <f>F93+F95+F96+F97+F99+F94+F98</f>
        <v>2189767.0300000003</v>
      </c>
      <c r="G92" s="43">
        <f t="shared" ref="G92:H92" si="95">G93+G95+G96+G97+G99+G94+G98</f>
        <v>249701.07</v>
      </c>
      <c r="H92" s="43">
        <f t="shared" si="95"/>
        <v>50000</v>
      </c>
      <c r="I92" s="43">
        <f t="shared" si="68"/>
        <v>2974744.5199999996</v>
      </c>
      <c r="J92" s="43">
        <f>J93+J95+J96+J97+J99+J94+J98</f>
        <v>2974744.5199999996</v>
      </c>
      <c r="K92" s="43">
        <f t="shared" ref="K92:L92" si="96">K93+K95+K96+K97+K99+K94+K98</f>
        <v>0</v>
      </c>
      <c r="L92" s="43">
        <f t="shared" si="96"/>
        <v>0</v>
      </c>
      <c r="M92" s="11">
        <f t="shared" si="74"/>
        <v>1.2194234144730154</v>
      </c>
      <c r="N92" s="11">
        <f t="shared" si="75"/>
        <v>1.3584753442926754</v>
      </c>
      <c r="O92" s="11">
        <f t="shared" si="76"/>
        <v>0</v>
      </c>
      <c r="P92" s="11">
        <f t="shared" si="77"/>
        <v>0</v>
      </c>
      <c r="Q92" s="47">
        <f t="shared" si="69"/>
        <v>535276.41999999946</v>
      </c>
      <c r="R92" s="47">
        <f t="shared" si="70"/>
        <v>784977.48999999929</v>
      </c>
      <c r="S92" s="47">
        <f t="shared" si="71"/>
        <v>-249701.07</v>
      </c>
      <c r="T92" s="47">
        <f t="shared" si="72"/>
        <v>-50000</v>
      </c>
    </row>
    <row r="93" spans="1:20" s="53" customFormat="1" ht="54">
      <c r="A93" s="25" t="s">
        <v>87</v>
      </c>
      <c r="B93" s="25" t="s">
        <v>58</v>
      </c>
      <c r="C93" s="25" t="s">
        <v>3</v>
      </c>
      <c r="D93" s="26" t="s">
        <v>235</v>
      </c>
      <c r="E93" s="44">
        <f t="shared" si="94"/>
        <v>1035813.1300000001</v>
      </c>
      <c r="F93" s="46">
        <v>786112.06</v>
      </c>
      <c r="G93" s="44">
        <v>249701.07</v>
      </c>
      <c r="H93" s="44">
        <v>50000</v>
      </c>
      <c r="I93" s="44">
        <f t="shared" si="68"/>
        <v>916945.33</v>
      </c>
      <c r="J93" s="46">
        <v>916945.33</v>
      </c>
      <c r="K93" s="44"/>
      <c r="L93" s="44"/>
      <c r="M93" s="51">
        <f t="shared" si="74"/>
        <v>0.88524204167985387</v>
      </c>
      <c r="N93" s="51">
        <f t="shared" si="75"/>
        <v>1.166430813947823</v>
      </c>
      <c r="O93" s="51">
        <f t="shared" si="76"/>
        <v>0</v>
      </c>
      <c r="P93" s="51">
        <f t="shared" si="77"/>
        <v>0</v>
      </c>
      <c r="Q93" s="46">
        <f t="shared" si="69"/>
        <v>-118867.80000000016</v>
      </c>
      <c r="R93" s="46">
        <f t="shared" si="70"/>
        <v>130833.2699999999</v>
      </c>
      <c r="S93" s="46">
        <f t="shared" si="71"/>
        <v>-249701.07</v>
      </c>
      <c r="T93" s="46">
        <f t="shared" si="72"/>
        <v>-50000</v>
      </c>
    </row>
    <row r="94" spans="1:20" s="53" customFormat="1" ht="36">
      <c r="A94" s="23" t="s">
        <v>264</v>
      </c>
      <c r="B94" s="23" t="s">
        <v>8</v>
      </c>
      <c r="C94" s="23" t="s">
        <v>6</v>
      </c>
      <c r="D94" s="50" t="s">
        <v>108</v>
      </c>
      <c r="E94" s="44">
        <f t="shared" si="94"/>
        <v>93690</v>
      </c>
      <c r="F94" s="46">
        <v>93690</v>
      </c>
      <c r="G94" s="44"/>
      <c r="H94" s="44"/>
      <c r="I94" s="44">
        <f t="shared" si="68"/>
        <v>49900</v>
      </c>
      <c r="J94" s="46">
        <v>49900</v>
      </c>
      <c r="K94" s="44"/>
      <c r="L94" s="44"/>
      <c r="M94" s="51">
        <f t="shared" si="74"/>
        <v>0.53260753548937989</v>
      </c>
      <c r="N94" s="51">
        <f t="shared" si="75"/>
        <v>0.53260753548937989</v>
      </c>
      <c r="O94" s="51" t="str">
        <f t="shared" si="76"/>
        <v/>
      </c>
      <c r="P94" s="51" t="str">
        <f t="shared" si="77"/>
        <v/>
      </c>
      <c r="Q94" s="46">
        <f t="shared" si="69"/>
        <v>-43790</v>
      </c>
      <c r="R94" s="46">
        <f t="shared" si="70"/>
        <v>-43790</v>
      </c>
      <c r="S94" s="46">
        <f t="shared" si="71"/>
        <v>0</v>
      </c>
      <c r="T94" s="46">
        <f t="shared" si="72"/>
        <v>0</v>
      </c>
    </row>
    <row r="95" spans="1:20" s="53" customFormat="1">
      <c r="A95" s="25" t="s">
        <v>89</v>
      </c>
      <c r="B95" s="25" t="s">
        <v>88</v>
      </c>
      <c r="C95" s="25" t="s">
        <v>17</v>
      </c>
      <c r="D95" s="49" t="s">
        <v>48</v>
      </c>
      <c r="E95" s="44">
        <f t="shared" si="94"/>
        <v>364144.92</v>
      </c>
      <c r="F95" s="44">
        <v>364144.92</v>
      </c>
      <c r="G95" s="44"/>
      <c r="H95" s="44"/>
      <c r="I95" s="44">
        <f t="shared" si="68"/>
        <v>574845.99</v>
      </c>
      <c r="J95" s="44">
        <f>157818+417027.99</f>
        <v>574845.99</v>
      </c>
      <c r="K95" s="44"/>
      <c r="L95" s="44"/>
      <c r="M95" s="51">
        <f t="shared" si="74"/>
        <v>1.5786187268519358</v>
      </c>
      <c r="N95" s="51">
        <f t="shared" si="75"/>
        <v>1.5786187268519358</v>
      </c>
      <c r="O95" s="51" t="str">
        <f t="shared" si="76"/>
        <v/>
      </c>
      <c r="P95" s="51" t="str">
        <f t="shared" si="77"/>
        <v/>
      </c>
      <c r="Q95" s="46">
        <f t="shared" si="69"/>
        <v>210701.07</v>
      </c>
      <c r="R95" s="46">
        <f t="shared" si="70"/>
        <v>210701.07</v>
      </c>
      <c r="S95" s="46">
        <f t="shared" si="71"/>
        <v>0</v>
      </c>
      <c r="T95" s="46">
        <f t="shared" si="72"/>
        <v>0</v>
      </c>
    </row>
    <row r="96" spans="1:20" s="53" customFormat="1" ht="36">
      <c r="A96" s="25" t="s">
        <v>24</v>
      </c>
      <c r="B96" s="25" t="s">
        <v>23</v>
      </c>
      <c r="C96" s="25" t="s">
        <v>18</v>
      </c>
      <c r="D96" s="49" t="s">
        <v>42</v>
      </c>
      <c r="E96" s="44">
        <f t="shared" si="94"/>
        <v>251424.83</v>
      </c>
      <c r="F96" s="44">
        <v>251424.83</v>
      </c>
      <c r="G96" s="44"/>
      <c r="H96" s="44"/>
      <c r="I96" s="44">
        <f t="shared" si="68"/>
        <v>366064.81</v>
      </c>
      <c r="J96" s="44">
        <v>366064.81</v>
      </c>
      <c r="K96" s="44"/>
      <c r="L96" s="44"/>
      <c r="M96" s="51">
        <f t="shared" si="74"/>
        <v>1.4559612509233875</v>
      </c>
      <c r="N96" s="51">
        <f t="shared" si="75"/>
        <v>1.4559612509233875</v>
      </c>
      <c r="O96" s="51" t="str">
        <f t="shared" si="76"/>
        <v/>
      </c>
      <c r="P96" s="51" t="str">
        <f t="shared" si="77"/>
        <v/>
      </c>
      <c r="Q96" s="46">
        <f t="shared" si="69"/>
        <v>114639.98000000001</v>
      </c>
      <c r="R96" s="46">
        <f t="shared" si="70"/>
        <v>114639.98000000001</v>
      </c>
      <c r="S96" s="46">
        <f t="shared" si="71"/>
        <v>0</v>
      </c>
      <c r="T96" s="46">
        <f t="shared" si="72"/>
        <v>0</v>
      </c>
    </row>
    <row r="97" spans="1:20" s="53" customFormat="1" ht="36">
      <c r="A97" s="25" t="s">
        <v>44</v>
      </c>
      <c r="B97" s="25" t="s">
        <v>45</v>
      </c>
      <c r="C97" s="25" t="s">
        <v>18</v>
      </c>
      <c r="D97" s="49" t="s">
        <v>46</v>
      </c>
      <c r="E97" s="44">
        <f t="shared" si="94"/>
        <v>103419.76</v>
      </c>
      <c r="F97" s="44">
        <v>103419.76</v>
      </c>
      <c r="G97" s="44"/>
      <c r="H97" s="44"/>
      <c r="I97" s="44">
        <f t="shared" si="68"/>
        <v>137853.19</v>
      </c>
      <c r="J97" s="44">
        <v>137853.19</v>
      </c>
      <c r="K97" s="44"/>
      <c r="L97" s="44"/>
      <c r="M97" s="51">
        <f t="shared" si="74"/>
        <v>1.3329482682999845</v>
      </c>
      <c r="N97" s="51">
        <f t="shared" si="75"/>
        <v>1.3329482682999845</v>
      </c>
      <c r="O97" s="51" t="str">
        <f t="shared" si="76"/>
        <v/>
      </c>
      <c r="P97" s="51" t="str">
        <f t="shared" si="77"/>
        <v/>
      </c>
      <c r="Q97" s="46">
        <f t="shared" si="69"/>
        <v>34433.430000000008</v>
      </c>
      <c r="R97" s="46">
        <f t="shared" si="70"/>
        <v>34433.430000000008</v>
      </c>
      <c r="S97" s="46">
        <f t="shared" si="71"/>
        <v>0</v>
      </c>
      <c r="T97" s="46">
        <f t="shared" si="72"/>
        <v>0</v>
      </c>
    </row>
    <row r="98" spans="1:20" s="53" customFormat="1" ht="54">
      <c r="A98" s="81" t="s">
        <v>321</v>
      </c>
      <c r="B98" s="81" t="s">
        <v>322</v>
      </c>
      <c r="C98" s="81" t="s">
        <v>18</v>
      </c>
      <c r="D98" s="80" t="s">
        <v>331</v>
      </c>
      <c r="E98" s="44">
        <f t="shared" si="94"/>
        <v>0</v>
      </c>
      <c r="F98" s="44"/>
      <c r="G98" s="44"/>
      <c r="H98" s="44"/>
      <c r="I98" s="44">
        <f t="shared" si="68"/>
        <v>20788.8</v>
      </c>
      <c r="J98" s="44">
        <v>20788.8</v>
      </c>
      <c r="K98" s="44"/>
      <c r="L98" s="44"/>
      <c r="M98" s="51" t="str">
        <f t="shared" si="74"/>
        <v/>
      </c>
      <c r="N98" s="51" t="str">
        <f t="shared" si="75"/>
        <v/>
      </c>
      <c r="O98" s="51" t="str">
        <f t="shared" si="76"/>
        <v/>
      </c>
      <c r="P98" s="51" t="str">
        <f t="shared" si="77"/>
        <v/>
      </c>
      <c r="Q98" s="46">
        <f t="shared" ref="Q98" si="97">I98-E98</f>
        <v>20788.8</v>
      </c>
      <c r="R98" s="46">
        <f t="shared" ref="R98" si="98">J98-F98</f>
        <v>20788.8</v>
      </c>
      <c r="S98" s="46">
        <f t="shared" ref="S98" si="99">K98-G98</f>
        <v>0</v>
      </c>
      <c r="T98" s="46">
        <f t="shared" ref="T98" si="100">L98-H98</f>
        <v>0</v>
      </c>
    </row>
    <row r="99" spans="1:20" s="53" customFormat="1" ht="72">
      <c r="A99" s="25" t="s">
        <v>49</v>
      </c>
      <c r="B99" s="25" t="s">
        <v>50</v>
      </c>
      <c r="C99" s="25" t="s">
        <v>18</v>
      </c>
      <c r="D99" s="26" t="s">
        <v>51</v>
      </c>
      <c r="E99" s="44">
        <f t="shared" si="94"/>
        <v>590975.46</v>
      </c>
      <c r="F99" s="44">
        <v>590975.46</v>
      </c>
      <c r="G99" s="44"/>
      <c r="H99" s="44"/>
      <c r="I99" s="44">
        <f t="shared" si="68"/>
        <v>908346.4</v>
      </c>
      <c r="J99" s="44">
        <v>908346.4</v>
      </c>
      <c r="K99" s="44"/>
      <c r="L99" s="44"/>
      <c r="M99" s="51">
        <f t="shared" si="74"/>
        <v>1.5370289656358997</v>
      </c>
      <c r="N99" s="51">
        <f t="shared" si="75"/>
        <v>1.5370289656358997</v>
      </c>
      <c r="O99" s="51" t="str">
        <f t="shared" si="76"/>
        <v/>
      </c>
      <c r="P99" s="51" t="str">
        <f t="shared" si="77"/>
        <v/>
      </c>
      <c r="Q99" s="46">
        <f t="shared" si="69"/>
        <v>317370.94000000006</v>
      </c>
      <c r="R99" s="46">
        <f t="shared" si="70"/>
        <v>317370.94000000006</v>
      </c>
      <c r="S99" s="46">
        <f t="shared" si="71"/>
        <v>0</v>
      </c>
      <c r="T99" s="46">
        <f t="shared" si="72"/>
        <v>0</v>
      </c>
    </row>
    <row r="100" spans="1:20" s="34" customFormat="1" ht="52.2">
      <c r="A100" s="27" t="s">
        <v>90</v>
      </c>
      <c r="B100" s="27"/>
      <c r="C100" s="27"/>
      <c r="D100" s="10" t="s">
        <v>220</v>
      </c>
      <c r="E100" s="43">
        <f t="shared" ref="E100:L100" si="101">E101</f>
        <v>81490762.25</v>
      </c>
      <c r="F100" s="43">
        <f t="shared" si="101"/>
        <v>79513578.719999999</v>
      </c>
      <c r="G100" s="43">
        <f t="shared" si="101"/>
        <v>1977183.5299999998</v>
      </c>
      <c r="H100" s="43">
        <f t="shared" si="101"/>
        <v>1804191.94</v>
      </c>
      <c r="I100" s="43">
        <f t="shared" si="101"/>
        <v>81829538.86999999</v>
      </c>
      <c r="J100" s="43">
        <f t="shared" si="101"/>
        <v>81780308.599999994</v>
      </c>
      <c r="K100" s="43">
        <f t="shared" si="101"/>
        <v>49230.27</v>
      </c>
      <c r="L100" s="43">
        <f t="shared" si="101"/>
        <v>44307.24</v>
      </c>
      <c r="M100" s="11">
        <f t="shared" si="74"/>
        <v>1.0041572395526339</v>
      </c>
      <c r="N100" s="11">
        <f t="shared" si="75"/>
        <v>1.0285074564180048</v>
      </c>
      <c r="O100" s="11">
        <f t="shared" si="76"/>
        <v>2.4899190820186531E-2</v>
      </c>
      <c r="P100" s="11">
        <f t="shared" si="77"/>
        <v>2.4557941434989451E-2</v>
      </c>
      <c r="Q100" s="47">
        <f t="shared" si="69"/>
        <v>338776.61999998987</v>
      </c>
      <c r="R100" s="47">
        <f t="shared" si="70"/>
        <v>2266729.8799999952</v>
      </c>
      <c r="S100" s="47">
        <f t="shared" si="71"/>
        <v>-1927953.2599999998</v>
      </c>
      <c r="T100" s="47">
        <f t="shared" si="72"/>
        <v>-1759884.7</v>
      </c>
    </row>
    <row r="101" spans="1:20" s="34" customFormat="1" ht="52.2">
      <c r="A101" s="27" t="s">
        <v>91</v>
      </c>
      <c r="B101" s="27"/>
      <c r="C101" s="27"/>
      <c r="D101" s="10" t="s">
        <v>220</v>
      </c>
      <c r="E101" s="43">
        <f t="shared" ref="E101:E118" si="102">F101+G101</f>
        <v>81490762.25</v>
      </c>
      <c r="F101" s="43">
        <f>F102+F104+F107+F110+F111+F112+F114+F115+F106+F109+F113+F116+F117+F108+F118+F103+F105</f>
        <v>79513578.719999999</v>
      </c>
      <c r="G101" s="43">
        <f t="shared" ref="G101:H101" si="103">G102+G104+G107+G110+G111+G112+G114+G115+G106+G109+G113+G116+G117+G108+G118+G103+G105</f>
        <v>1977183.5299999998</v>
      </c>
      <c r="H101" s="43">
        <f t="shared" si="103"/>
        <v>1804191.94</v>
      </c>
      <c r="I101" s="43">
        <f t="shared" ref="I101" si="104">J101+K101</f>
        <v>81829538.86999999</v>
      </c>
      <c r="J101" s="43">
        <f>J102+J104+J107+J110+J111+J112+J114+J115+J106+J109+J113+J116+J117+J108+J118+J103+J105</f>
        <v>81780308.599999994</v>
      </c>
      <c r="K101" s="43">
        <f t="shared" ref="K101:L101" si="105">K102+K104+K107+K110+K111+K112+K114+K115+K106+K109+K113+K116+K117+K108+K118+K103+K105</f>
        <v>49230.27</v>
      </c>
      <c r="L101" s="43">
        <f t="shared" si="105"/>
        <v>44307.24</v>
      </c>
      <c r="M101" s="11">
        <f t="shared" si="74"/>
        <v>1.0041572395526339</v>
      </c>
      <c r="N101" s="11">
        <f t="shared" si="75"/>
        <v>1.0285074564180048</v>
      </c>
      <c r="O101" s="11">
        <f t="shared" si="76"/>
        <v>2.4899190820186531E-2</v>
      </c>
      <c r="P101" s="11">
        <f t="shared" si="77"/>
        <v>2.4557941434989451E-2</v>
      </c>
      <c r="Q101" s="47">
        <f t="shared" si="69"/>
        <v>338776.61999998987</v>
      </c>
      <c r="R101" s="47">
        <f t="shared" si="70"/>
        <v>2266729.8799999952</v>
      </c>
      <c r="S101" s="47">
        <f t="shared" si="71"/>
        <v>-1927953.2599999998</v>
      </c>
      <c r="T101" s="47">
        <f t="shared" si="72"/>
        <v>-1759884.7</v>
      </c>
    </row>
    <row r="102" spans="1:20" s="53" customFormat="1" ht="54">
      <c r="A102" s="25" t="s">
        <v>92</v>
      </c>
      <c r="B102" s="25" t="s">
        <v>58</v>
      </c>
      <c r="C102" s="25" t="s">
        <v>3</v>
      </c>
      <c r="D102" s="26" t="s">
        <v>235</v>
      </c>
      <c r="E102" s="44">
        <f t="shared" si="102"/>
        <v>1844806.01</v>
      </c>
      <c r="F102" s="44">
        <v>1736806.01</v>
      </c>
      <c r="G102" s="44">
        <v>108000</v>
      </c>
      <c r="H102" s="44">
        <v>108000</v>
      </c>
      <c r="I102" s="44">
        <f t="shared" si="68"/>
        <v>1721133.68</v>
      </c>
      <c r="J102" s="44">
        <v>1721133.68</v>
      </c>
      <c r="K102" s="44"/>
      <c r="L102" s="44"/>
      <c r="M102" s="51">
        <f t="shared" si="74"/>
        <v>0.93296187819769727</v>
      </c>
      <c r="N102" s="51">
        <f t="shared" si="75"/>
        <v>0.99097634974213378</v>
      </c>
      <c r="O102" s="51">
        <f t="shared" si="76"/>
        <v>0</v>
      </c>
      <c r="P102" s="51">
        <f t="shared" si="77"/>
        <v>0</v>
      </c>
      <c r="Q102" s="46">
        <f t="shared" si="69"/>
        <v>-123672.33000000007</v>
      </c>
      <c r="R102" s="46">
        <f t="shared" si="70"/>
        <v>-15672.330000000075</v>
      </c>
      <c r="S102" s="46">
        <f t="shared" si="71"/>
        <v>-108000</v>
      </c>
      <c r="T102" s="46">
        <f t="shared" si="72"/>
        <v>-108000</v>
      </c>
    </row>
    <row r="103" spans="1:20" s="53" customFormat="1" ht="54">
      <c r="A103" s="25" t="s">
        <v>323</v>
      </c>
      <c r="B103" s="25" t="s">
        <v>117</v>
      </c>
      <c r="C103" s="72" t="s">
        <v>118</v>
      </c>
      <c r="D103" s="55" t="s">
        <v>119</v>
      </c>
      <c r="E103" s="44">
        <f t="shared" si="102"/>
        <v>0</v>
      </c>
      <c r="F103" s="44"/>
      <c r="G103" s="44"/>
      <c r="H103" s="44"/>
      <c r="I103" s="44">
        <f t="shared" si="68"/>
        <v>2200</v>
      </c>
      <c r="J103" s="44">
        <v>2200</v>
      </c>
      <c r="K103" s="44"/>
      <c r="L103" s="44"/>
      <c r="M103" s="51" t="str">
        <f t="shared" si="74"/>
        <v/>
      </c>
      <c r="N103" s="51" t="str">
        <f t="shared" si="75"/>
        <v/>
      </c>
      <c r="O103" s="51" t="str">
        <f t="shared" si="76"/>
        <v/>
      </c>
      <c r="P103" s="51" t="str">
        <f t="shared" si="77"/>
        <v/>
      </c>
      <c r="Q103" s="46">
        <f t="shared" ref="Q103" si="106">I103-E103</f>
        <v>2200</v>
      </c>
      <c r="R103" s="46">
        <f t="shared" ref="R103" si="107">J103-F103</f>
        <v>2200</v>
      </c>
      <c r="S103" s="46">
        <f t="shared" ref="S103" si="108">K103-G103</f>
        <v>0</v>
      </c>
      <c r="T103" s="46">
        <f t="shared" ref="T103" si="109">L103-H103</f>
        <v>0</v>
      </c>
    </row>
    <row r="104" spans="1:20" s="53" customFormat="1" ht="36">
      <c r="A104" s="25" t="s">
        <v>228</v>
      </c>
      <c r="B104" s="25" t="s">
        <v>8</v>
      </c>
      <c r="C104" s="25" t="s">
        <v>6</v>
      </c>
      <c r="D104" s="26" t="s">
        <v>108</v>
      </c>
      <c r="E104" s="44">
        <f t="shared" si="102"/>
        <v>44775</v>
      </c>
      <c r="F104" s="44">
        <v>44775</v>
      </c>
      <c r="G104" s="44"/>
      <c r="H104" s="44"/>
      <c r="I104" s="44">
        <f t="shared" si="68"/>
        <v>37425</v>
      </c>
      <c r="J104" s="44">
        <v>37425</v>
      </c>
      <c r="K104" s="44"/>
      <c r="L104" s="44"/>
      <c r="M104" s="51">
        <f t="shared" si="74"/>
        <v>0.83584589614740368</v>
      </c>
      <c r="N104" s="51">
        <f t="shared" si="75"/>
        <v>0.83584589614740368</v>
      </c>
      <c r="O104" s="51" t="str">
        <f t="shared" si="76"/>
        <v/>
      </c>
      <c r="P104" s="51" t="str">
        <f t="shared" si="77"/>
        <v/>
      </c>
      <c r="Q104" s="46">
        <f t="shared" si="69"/>
        <v>-7350</v>
      </c>
      <c r="R104" s="46">
        <f t="shared" si="70"/>
        <v>-7350</v>
      </c>
      <c r="S104" s="46">
        <f t="shared" si="71"/>
        <v>0</v>
      </c>
      <c r="T104" s="46">
        <f t="shared" si="72"/>
        <v>0</v>
      </c>
    </row>
    <row r="105" spans="1:20" s="53" customFormat="1">
      <c r="A105" s="25" t="s">
        <v>324</v>
      </c>
      <c r="B105" s="25" t="s">
        <v>325</v>
      </c>
      <c r="C105" s="72" t="s">
        <v>332</v>
      </c>
      <c r="D105" s="55" t="s">
        <v>333</v>
      </c>
      <c r="E105" s="44"/>
      <c r="F105" s="44"/>
      <c r="G105" s="44"/>
      <c r="H105" s="44"/>
      <c r="I105" s="44">
        <f t="shared" si="68"/>
        <v>9763.66</v>
      </c>
      <c r="J105" s="44">
        <v>9763.66</v>
      </c>
      <c r="K105" s="44"/>
      <c r="L105" s="44"/>
      <c r="M105" s="51" t="str">
        <f t="shared" si="74"/>
        <v/>
      </c>
      <c r="N105" s="51" t="str">
        <f t="shared" si="75"/>
        <v/>
      </c>
      <c r="O105" s="51" t="str">
        <f t="shared" si="76"/>
        <v/>
      </c>
      <c r="P105" s="51" t="str">
        <f t="shared" si="77"/>
        <v/>
      </c>
      <c r="Q105" s="46">
        <f t="shared" ref="Q105" si="110">I105-E105</f>
        <v>9763.66</v>
      </c>
      <c r="R105" s="46">
        <f t="shared" ref="R105" si="111">J105-F105</f>
        <v>9763.66</v>
      </c>
      <c r="S105" s="46">
        <f t="shared" ref="S105" si="112">K105-G105</f>
        <v>0</v>
      </c>
      <c r="T105" s="46">
        <f t="shared" ref="T105" si="113">L105-H105</f>
        <v>0</v>
      </c>
    </row>
    <row r="106" spans="1:20" s="53" customFormat="1" ht="36">
      <c r="A106" s="24">
        <v>1216011</v>
      </c>
      <c r="B106" s="24">
        <v>6011</v>
      </c>
      <c r="C106" s="24" t="s">
        <v>39</v>
      </c>
      <c r="D106" s="50" t="s">
        <v>105</v>
      </c>
      <c r="E106" s="44">
        <f t="shared" si="102"/>
        <v>108324.96</v>
      </c>
      <c r="F106" s="44"/>
      <c r="G106" s="44">
        <v>108324.96</v>
      </c>
      <c r="H106" s="44">
        <f>G106</f>
        <v>108324.96</v>
      </c>
      <c r="I106" s="44">
        <f t="shared" si="68"/>
        <v>9246.6</v>
      </c>
      <c r="J106" s="44"/>
      <c r="K106" s="44">
        <v>9246.6</v>
      </c>
      <c r="L106" s="44">
        <v>9246.6</v>
      </c>
      <c r="M106" s="51">
        <f t="shared" si="74"/>
        <v>8.5359828427354137E-2</v>
      </c>
      <c r="N106" s="51" t="str">
        <f t="shared" si="75"/>
        <v/>
      </c>
      <c r="O106" s="51">
        <f t="shared" si="76"/>
        <v>8.5359828427354137E-2</v>
      </c>
      <c r="P106" s="51">
        <f t="shared" si="77"/>
        <v>8.5359828427354137E-2</v>
      </c>
      <c r="Q106" s="46">
        <f t="shared" si="69"/>
        <v>-99078.36</v>
      </c>
      <c r="R106" s="46">
        <f t="shared" si="70"/>
        <v>0</v>
      </c>
      <c r="S106" s="46">
        <f t="shared" si="71"/>
        <v>-99078.36</v>
      </c>
      <c r="T106" s="46">
        <f t="shared" si="72"/>
        <v>-99078.36</v>
      </c>
    </row>
    <row r="107" spans="1:20" s="53" customFormat="1" ht="36">
      <c r="A107" s="25" t="s">
        <v>126</v>
      </c>
      <c r="B107" s="25" t="s">
        <v>125</v>
      </c>
      <c r="C107" s="25" t="s">
        <v>7</v>
      </c>
      <c r="D107" s="49" t="s">
        <v>127</v>
      </c>
      <c r="E107" s="44">
        <f t="shared" si="102"/>
        <v>19999617.32</v>
      </c>
      <c r="F107" s="44">
        <v>19999617.32</v>
      </c>
      <c r="G107" s="44"/>
      <c r="H107" s="44"/>
      <c r="I107" s="44">
        <f t="shared" si="68"/>
        <v>0</v>
      </c>
      <c r="J107" s="44"/>
      <c r="K107" s="44"/>
      <c r="L107" s="44"/>
      <c r="M107" s="51">
        <f t="shared" si="74"/>
        <v>0</v>
      </c>
      <c r="N107" s="51">
        <f t="shared" si="75"/>
        <v>0</v>
      </c>
      <c r="O107" s="51" t="str">
        <f t="shared" si="76"/>
        <v/>
      </c>
      <c r="P107" s="51" t="str">
        <f t="shared" si="77"/>
        <v/>
      </c>
      <c r="Q107" s="46">
        <f t="shared" si="69"/>
        <v>-19999617.32</v>
      </c>
      <c r="R107" s="46">
        <f t="shared" si="70"/>
        <v>-19999617.32</v>
      </c>
      <c r="S107" s="46">
        <f t="shared" si="71"/>
        <v>0</v>
      </c>
      <c r="T107" s="46">
        <f t="shared" si="72"/>
        <v>0</v>
      </c>
    </row>
    <row r="108" spans="1:20" s="53" customFormat="1" ht="36">
      <c r="A108" s="75">
        <v>1216013</v>
      </c>
      <c r="B108" s="75">
        <v>6013</v>
      </c>
      <c r="C108" s="76" t="s">
        <v>7</v>
      </c>
      <c r="D108" s="61" t="s">
        <v>107</v>
      </c>
      <c r="E108" s="44">
        <f t="shared" si="102"/>
        <v>338108.38</v>
      </c>
      <c r="F108" s="44">
        <v>338108.38</v>
      </c>
      <c r="G108" s="44"/>
      <c r="H108" s="44"/>
      <c r="I108" s="44">
        <f t="shared" si="68"/>
        <v>0</v>
      </c>
      <c r="J108" s="44"/>
      <c r="K108" s="44"/>
      <c r="L108" s="44"/>
      <c r="M108" s="51">
        <f t="shared" si="74"/>
        <v>0</v>
      </c>
      <c r="N108" s="51">
        <f t="shared" si="75"/>
        <v>0</v>
      </c>
      <c r="O108" s="51" t="str">
        <f t="shared" si="76"/>
        <v/>
      </c>
      <c r="P108" s="51" t="str">
        <f t="shared" si="77"/>
        <v/>
      </c>
      <c r="Q108" s="46">
        <f t="shared" ref="Q108" si="114">I108-E108</f>
        <v>-338108.38</v>
      </c>
      <c r="R108" s="46">
        <f t="shared" ref="R108" si="115">J108-F108</f>
        <v>-338108.38</v>
      </c>
      <c r="S108" s="46">
        <f t="shared" ref="S108" si="116">K108-G108</f>
        <v>0</v>
      </c>
      <c r="T108" s="46">
        <f t="shared" ref="T108" si="117">L108-H108</f>
        <v>0</v>
      </c>
    </row>
    <row r="109" spans="1:20" s="53" customFormat="1" ht="36">
      <c r="A109" s="23" t="s">
        <v>287</v>
      </c>
      <c r="B109" s="23" t="s">
        <v>288</v>
      </c>
      <c r="C109" s="23" t="s">
        <v>7</v>
      </c>
      <c r="D109" s="50" t="s">
        <v>289</v>
      </c>
      <c r="E109" s="44">
        <f t="shared" si="102"/>
        <v>0</v>
      </c>
      <c r="F109" s="44"/>
      <c r="G109" s="44"/>
      <c r="H109" s="44"/>
      <c r="I109" s="44">
        <f t="shared" si="68"/>
        <v>35060.639999999999</v>
      </c>
      <c r="J109" s="44"/>
      <c r="K109" s="44">
        <v>35060.639999999999</v>
      </c>
      <c r="L109" s="44">
        <v>35060.639999999999</v>
      </c>
      <c r="M109" s="51" t="str">
        <f t="shared" si="74"/>
        <v/>
      </c>
      <c r="N109" s="51" t="str">
        <f t="shared" si="75"/>
        <v/>
      </c>
      <c r="O109" s="51" t="str">
        <f t="shared" si="76"/>
        <v/>
      </c>
      <c r="P109" s="51" t="str">
        <f t="shared" si="77"/>
        <v/>
      </c>
      <c r="Q109" s="46">
        <f t="shared" si="69"/>
        <v>35060.639999999999</v>
      </c>
      <c r="R109" s="46">
        <f t="shared" si="70"/>
        <v>0</v>
      </c>
      <c r="S109" s="46">
        <f t="shared" si="71"/>
        <v>35060.639999999999</v>
      </c>
      <c r="T109" s="46">
        <f t="shared" si="72"/>
        <v>35060.639999999999</v>
      </c>
    </row>
    <row r="110" spans="1:20" s="53" customFormat="1" ht="36">
      <c r="A110" s="25" t="s">
        <v>154</v>
      </c>
      <c r="B110" s="25" t="s">
        <v>155</v>
      </c>
      <c r="C110" s="25" t="s">
        <v>7</v>
      </c>
      <c r="D110" s="49" t="s">
        <v>156</v>
      </c>
      <c r="E110" s="44">
        <f t="shared" si="102"/>
        <v>464928.19</v>
      </c>
      <c r="F110" s="44">
        <v>464928.19</v>
      </c>
      <c r="G110" s="44"/>
      <c r="H110" s="44"/>
      <c r="I110" s="44">
        <f t="shared" si="68"/>
        <v>640898.13</v>
      </c>
      <c r="J110" s="44">
        <v>640898.13</v>
      </c>
      <c r="K110" s="44"/>
      <c r="L110" s="44"/>
      <c r="M110" s="51">
        <f t="shared" si="74"/>
        <v>1.3784884285033352</v>
      </c>
      <c r="N110" s="51">
        <f t="shared" si="75"/>
        <v>1.3784884285033352</v>
      </c>
      <c r="O110" s="51" t="str">
        <f t="shared" si="76"/>
        <v/>
      </c>
      <c r="P110" s="51" t="str">
        <f t="shared" si="77"/>
        <v/>
      </c>
      <c r="Q110" s="46">
        <f t="shared" si="69"/>
        <v>175969.94</v>
      </c>
      <c r="R110" s="46">
        <f t="shared" si="70"/>
        <v>175969.94</v>
      </c>
      <c r="S110" s="46">
        <f t="shared" si="71"/>
        <v>0</v>
      </c>
      <c r="T110" s="46">
        <f t="shared" si="72"/>
        <v>0</v>
      </c>
    </row>
    <row r="111" spans="1:20" s="53" customFormat="1">
      <c r="A111" s="25" t="s">
        <v>93</v>
      </c>
      <c r="B111" s="25" t="s">
        <v>40</v>
      </c>
      <c r="C111" s="25" t="s">
        <v>7</v>
      </c>
      <c r="D111" s="26" t="s">
        <v>55</v>
      </c>
      <c r="E111" s="44">
        <f t="shared" si="102"/>
        <v>28766802.460000001</v>
      </c>
      <c r="F111" s="44">
        <v>28667823.460000001</v>
      </c>
      <c r="G111" s="44">
        <v>98979</v>
      </c>
      <c r="H111" s="44">
        <f>G111</f>
        <v>98979</v>
      </c>
      <c r="I111" s="44">
        <f t="shared" si="68"/>
        <v>31679566.41</v>
      </c>
      <c r="J111" s="44">
        <f>16517997.67+7617862.03+7543706.71</f>
        <v>31679566.41</v>
      </c>
      <c r="K111" s="44"/>
      <c r="L111" s="44"/>
      <c r="M111" s="51">
        <f t="shared" si="74"/>
        <v>1.10125435227117</v>
      </c>
      <c r="N111" s="51">
        <f t="shared" si="75"/>
        <v>1.1050565612071059</v>
      </c>
      <c r="O111" s="51">
        <f t="shared" si="76"/>
        <v>0</v>
      </c>
      <c r="P111" s="51">
        <f t="shared" si="77"/>
        <v>0</v>
      </c>
      <c r="Q111" s="46">
        <f t="shared" si="69"/>
        <v>2912763.9499999993</v>
      </c>
      <c r="R111" s="46">
        <f t="shared" si="70"/>
        <v>3011742.9499999993</v>
      </c>
      <c r="S111" s="46">
        <f t="shared" si="71"/>
        <v>-98979</v>
      </c>
      <c r="T111" s="46">
        <f t="shared" si="72"/>
        <v>-98979</v>
      </c>
    </row>
    <row r="112" spans="1:20" s="53" customFormat="1" ht="54">
      <c r="A112" s="25" t="s">
        <v>124</v>
      </c>
      <c r="B112" s="25" t="s">
        <v>102</v>
      </c>
      <c r="C112" s="25" t="s">
        <v>41</v>
      </c>
      <c r="D112" s="49" t="s">
        <v>103</v>
      </c>
      <c r="E112" s="44">
        <f t="shared" si="102"/>
        <v>13298652</v>
      </c>
      <c r="F112" s="44">
        <v>13298652</v>
      </c>
      <c r="G112" s="44"/>
      <c r="H112" s="44"/>
      <c r="I112" s="44">
        <f t="shared" si="68"/>
        <v>12095158.800000001</v>
      </c>
      <c r="J112" s="44">
        <v>12095158.800000001</v>
      </c>
      <c r="K112" s="44"/>
      <c r="L112" s="44"/>
      <c r="M112" s="51">
        <f t="shared" si="74"/>
        <v>0.90950261725774917</v>
      </c>
      <c r="N112" s="51">
        <f t="shared" si="75"/>
        <v>0.90950261725774917</v>
      </c>
      <c r="O112" s="51" t="str">
        <f t="shared" si="76"/>
        <v/>
      </c>
      <c r="P112" s="51" t="str">
        <f t="shared" si="77"/>
        <v/>
      </c>
      <c r="Q112" s="46">
        <f t="shared" si="69"/>
        <v>-1203493.1999999993</v>
      </c>
      <c r="R112" s="46">
        <f t="shared" si="70"/>
        <v>-1203493.1999999993</v>
      </c>
      <c r="S112" s="46">
        <f t="shared" si="71"/>
        <v>0</v>
      </c>
      <c r="T112" s="46">
        <f t="shared" si="72"/>
        <v>0</v>
      </c>
    </row>
    <row r="113" spans="1:20" s="53" customFormat="1" ht="162">
      <c r="A113" s="24">
        <v>1217691</v>
      </c>
      <c r="B113" s="24">
        <v>7691</v>
      </c>
      <c r="C113" s="24" t="s">
        <v>20</v>
      </c>
      <c r="D113" s="50" t="s">
        <v>290</v>
      </c>
      <c r="E113" s="44">
        <f t="shared" si="102"/>
        <v>0</v>
      </c>
      <c r="F113" s="44"/>
      <c r="G113" s="44"/>
      <c r="H113" s="44"/>
      <c r="I113" s="44">
        <f t="shared" si="68"/>
        <v>4923.03</v>
      </c>
      <c r="J113" s="44"/>
      <c r="K113" s="44">
        <v>4923.03</v>
      </c>
      <c r="L113" s="44"/>
      <c r="M113" s="51" t="str">
        <f t="shared" si="74"/>
        <v/>
      </c>
      <c r="N113" s="51" t="str">
        <f t="shared" si="75"/>
        <v/>
      </c>
      <c r="O113" s="51" t="str">
        <f t="shared" si="76"/>
        <v/>
      </c>
      <c r="P113" s="51" t="str">
        <f t="shared" si="77"/>
        <v/>
      </c>
      <c r="Q113" s="46">
        <f t="shared" si="69"/>
        <v>4923.03</v>
      </c>
      <c r="R113" s="46">
        <f t="shared" si="70"/>
        <v>0</v>
      </c>
      <c r="S113" s="46">
        <f t="shared" si="71"/>
        <v>4923.03</v>
      </c>
      <c r="T113" s="46">
        <f t="shared" si="72"/>
        <v>0</v>
      </c>
    </row>
    <row r="114" spans="1:20" s="53" customFormat="1" ht="36">
      <c r="A114" s="23">
        <v>1217693</v>
      </c>
      <c r="B114" s="23" t="s">
        <v>134</v>
      </c>
      <c r="C114" s="23" t="s">
        <v>20</v>
      </c>
      <c r="D114" s="50" t="s">
        <v>244</v>
      </c>
      <c r="E114" s="44">
        <f t="shared" si="102"/>
        <v>13827725</v>
      </c>
      <c r="F114" s="44">
        <v>13827725</v>
      </c>
      <c r="G114" s="44"/>
      <c r="H114" s="44"/>
      <c r="I114" s="44">
        <f t="shared" si="68"/>
        <v>34256941.670000002</v>
      </c>
      <c r="J114" s="44">
        <f>1252641.67+18000000+15004300</f>
        <v>34256941.670000002</v>
      </c>
      <c r="K114" s="44"/>
      <c r="L114" s="44"/>
      <c r="M114" s="51">
        <f t="shared" si="74"/>
        <v>2.4774098175947237</v>
      </c>
      <c r="N114" s="51">
        <f t="shared" si="75"/>
        <v>2.4774098175947237</v>
      </c>
      <c r="O114" s="51" t="str">
        <f t="shared" si="76"/>
        <v/>
      </c>
      <c r="P114" s="51" t="str">
        <f t="shared" si="77"/>
        <v/>
      </c>
      <c r="Q114" s="46">
        <f t="shared" si="69"/>
        <v>20429216.670000002</v>
      </c>
      <c r="R114" s="46">
        <f t="shared" si="70"/>
        <v>20429216.670000002</v>
      </c>
      <c r="S114" s="46">
        <f t="shared" si="71"/>
        <v>0</v>
      </c>
      <c r="T114" s="46">
        <f t="shared" si="72"/>
        <v>0</v>
      </c>
    </row>
    <row r="115" spans="1:20" s="53" customFormat="1" ht="54">
      <c r="A115" s="23">
        <v>1218110</v>
      </c>
      <c r="B115" s="23">
        <v>8110</v>
      </c>
      <c r="C115" s="24" t="s">
        <v>5</v>
      </c>
      <c r="D115" s="50" t="s">
        <v>136</v>
      </c>
      <c r="E115" s="44">
        <f t="shared" si="102"/>
        <v>2555831.25</v>
      </c>
      <c r="F115" s="44">
        <v>1066943.3600000001</v>
      </c>
      <c r="G115" s="44">
        <v>1488887.89</v>
      </c>
      <c r="H115" s="44">
        <v>1488887.98</v>
      </c>
      <c r="I115" s="44">
        <f t="shared" si="68"/>
        <v>1324521.25</v>
      </c>
      <c r="J115" s="44">
        <f>1169021.25+155500</f>
        <v>1324521.25</v>
      </c>
      <c r="K115" s="44"/>
      <c r="L115" s="44"/>
      <c r="M115" s="51">
        <f t="shared" si="74"/>
        <v>0.5182350164941445</v>
      </c>
      <c r="N115" s="51">
        <f t="shared" si="75"/>
        <v>1.2414166483964058</v>
      </c>
      <c r="O115" s="51">
        <f t="shared" si="76"/>
        <v>0</v>
      </c>
      <c r="P115" s="51">
        <f t="shared" si="77"/>
        <v>0</v>
      </c>
      <c r="Q115" s="46">
        <f t="shared" si="69"/>
        <v>-1231310</v>
      </c>
      <c r="R115" s="46">
        <f t="shared" si="70"/>
        <v>257577.8899999999</v>
      </c>
      <c r="S115" s="46">
        <f t="shared" si="71"/>
        <v>-1488887.89</v>
      </c>
      <c r="T115" s="46">
        <f t="shared" si="72"/>
        <v>-1488887.98</v>
      </c>
    </row>
    <row r="116" spans="1:20" s="53" customFormat="1">
      <c r="A116" s="23">
        <v>1218240</v>
      </c>
      <c r="B116" s="23">
        <v>8240</v>
      </c>
      <c r="C116" s="24" t="s">
        <v>221</v>
      </c>
      <c r="D116" s="22" t="s">
        <v>245</v>
      </c>
      <c r="E116" s="44">
        <f t="shared" si="102"/>
        <v>0</v>
      </c>
      <c r="F116" s="44"/>
      <c r="G116" s="44"/>
      <c r="H116" s="44"/>
      <c r="I116" s="44">
        <f t="shared" si="68"/>
        <v>12700</v>
      </c>
      <c r="J116" s="44">
        <v>12700</v>
      </c>
      <c r="K116" s="44"/>
      <c r="L116" s="44"/>
      <c r="M116" s="51" t="str">
        <f t="shared" si="74"/>
        <v/>
      </c>
      <c r="N116" s="51" t="str">
        <f t="shared" si="75"/>
        <v/>
      </c>
      <c r="O116" s="51" t="str">
        <f t="shared" si="76"/>
        <v/>
      </c>
      <c r="P116" s="51" t="str">
        <f t="shared" si="77"/>
        <v/>
      </c>
      <c r="Q116" s="46">
        <f t="shared" ref="Q116" si="118">I116-E116</f>
        <v>12700</v>
      </c>
      <c r="R116" s="46">
        <f t="shared" ref="R116" si="119">J116-F116</f>
        <v>12700</v>
      </c>
      <c r="S116" s="46">
        <f t="shared" ref="S116" si="120">K116-G116</f>
        <v>0</v>
      </c>
      <c r="T116" s="46">
        <f t="shared" ref="T116" si="121">L116-H116</f>
        <v>0</v>
      </c>
    </row>
    <row r="117" spans="1:20" s="53" customFormat="1" ht="36">
      <c r="A117" s="23">
        <v>1218340</v>
      </c>
      <c r="B117" s="23">
        <v>8340</v>
      </c>
      <c r="C117" s="24" t="s">
        <v>291</v>
      </c>
      <c r="D117" s="22" t="s">
        <v>292</v>
      </c>
      <c r="E117" s="44">
        <f t="shared" si="102"/>
        <v>172991.68</v>
      </c>
      <c r="F117" s="44"/>
      <c r="G117" s="44">
        <v>172991.68</v>
      </c>
      <c r="H117" s="44"/>
      <c r="I117" s="44">
        <f t="shared" si="68"/>
        <v>0</v>
      </c>
      <c r="J117" s="44"/>
      <c r="K117" s="44"/>
      <c r="L117" s="44"/>
      <c r="M117" s="51">
        <f t="shared" si="74"/>
        <v>0</v>
      </c>
      <c r="N117" s="51" t="str">
        <f t="shared" si="75"/>
        <v/>
      </c>
      <c r="O117" s="51">
        <f t="shared" si="76"/>
        <v>0</v>
      </c>
      <c r="P117" s="51" t="str">
        <f t="shared" si="77"/>
        <v/>
      </c>
      <c r="Q117" s="46">
        <f t="shared" ref="Q117" si="122">I117-E117</f>
        <v>-172991.68</v>
      </c>
      <c r="R117" s="46">
        <f t="shared" ref="R117" si="123">J117-F117</f>
        <v>0</v>
      </c>
      <c r="S117" s="46">
        <f t="shared" ref="S117" si="124">K117-G117</f>
        <v>-172991.68</v>
      </c>
      <c r="T117" s="46">
        <f t="shared" ref="T117" si="125">L117-H117</f>
        <v>0</v>
      </c>
    </row>
    <row r="118" spans="1:20" s="53" customFormat="1" ht="54">
      <c r="A118" s="74">
        <v>1218771</v>
      </c>
      <c r="B118" s="77">
        <v>8771</v>
      </c>
      <c r="C118" s="77" t="s">
        <v>128</v>
      </c>
      <c r="D118" s="60" t="s">
        <v>307</v>
      </c>
      <c r="E118" s="44">
        <f t="shared" si="102"/>
        <v>68200</v>
      </c>
      <c r="F118" s="44">
        <v>68200</v>
      </c>
      <c r="G118" s="44"/>
      <c r="H118" s="44"/>
      <c r="I118" s="44">
        <f t="shared" si="68"/>
        <v>0</v>
      </c>
      <c r="J118" s="44"/>
      <c r="K118" s="44"/>
      <c r="L118" s="44"/>
      <c r="M118" s="51">
        <f t="shared" si="74"/>
        <v>0</v>
      </c>
      <c r="N118" s="51">
        <f t="shared" si="75"/>
        <v>0</v>
      </c>
      <c r="O118" s="51" t="str">
        <f t="shared" si="76"/>
        <v/>
      </c>
      <c r="P118" s="51" t="str">
        <f t="shared" si="77"/>
        <v/>
      </c>
      <c r="Q118" s="46">
        <f t="shared" ref="Q118" si="126">I118-E118</f>
        <v>-68200</v>
      </c>
      <c r="R118" s="46">
        <f t="shared" ref="R118" si="127">J118-F118</f>
        <v>-68200</v>
      </c>
      <c r="S118" s="46">
        <f t="shared" ref="S118" si="128">K118-G118</f>
        <v>0</v>
      </c>
      <c r="T118" s="46">
        <f t="shared" ref="T118" si="129">L118-H118</f>
        <v>0</v>
      </c>
    </row>
    <row r="119" spans="1:20" s="34" customFormat="1" ht="52.2">
      <c r="A119" s="27" t="s">
        <v>25</v>
      </c>
      <c r="B119" s="27"/>
      <c r="C119" s="27"/>
      <c r="D119" s="10" t="s">
        <v>212</v>
      </c>
      <c r="E119" s="43">
        <f t="shared" ref="E119:L119" si="130">E120</f>
        <v>13381888.42</v>
      </c>
      <c r="F119" s="43">
        <f t="shared" si="130"/>
        <v>2377238.59</v>
      </c>
      <c r="G119" s="43">
        <f t="shared" si="130"/>
        <v>11004649.83</v>
      </c>
      <c r="H119" s="43">
        <f t="shared" si="130"/>
        <v>11004649.83</v>
      </c>
      <c r="I119" s="43">
        <f t="shared" si="130"/>
        <v>23489968.340000004</v>
      </c>
      <c r="J119" s="43">
        <f t="shared" si="130"/>
        <v>1979483.96</v>
      </c>
      <c r="K119" s="43">
        <f t="shared" si="130"/>
        <v>21510484.380000003</v>
      </c>
      <c r="L119" s="43">
        <f t="shared" si="130"/>
        <v>21510484.380000003</v>
      </c>
      <c r="M119" s="11">
        <f t="shared" si="74"/>
        <v>1.7553552684606828</v>
      </c>
      <c r="N119" s="11">
        <f t="shared" si="75"/>
        <v>0.83268207420442397</v>
      </c>
      <c r="O119" s="11">
        <f t="shared" si="76"/>
        <v>1.9546723169109692</v>
      </c>
      <c r="P119" s="11">
        <f t="shared" si="77"/>
        <v>1.9546723169109692</v>
      </c>
      <c r="Q119" s="47">
        <f t="shared" ref="Q119:Q152" si="131">I119-E119</f>
        <v>10108079.920000004</v>
      </c>
      <c r="R119" s="47">
        <f t="shared" ref="R119:R152" si="132">J119-F119</f>
        <v>-397754.62999999989</v>
      </c>
      <c r="S119" s="47">
        <f t="shared" ref="S119:S152" si="133">K119-G119</f>
        <v>10505834.550000003</v>
      </c>
      <c r="T119" s="47">
        <f t="shared" ref="T119:T152" si="134">L119-H119</f>
        <v>10505834.550000003</v>
      </c>
    </row>
    <row r="120" spans="1:20" s="34" customFormat="1" ht="52.2">
      <c r="A120" s="27" t="s">
        <v>26</v>
      </c>
      <c r="B120" s="27"/>
      <c r="C120" s="27"/>
      <c r="D120" s="10" t="s">
        <v>212</v>
      </c>
      <c r="E120" s="43">
        <f t="shared" ref="E120:E136" si="135">F120+G120</f>
        <v>13381888.42</v>
      </c>
      <c r="F120" s="43">
        <f>F121+F122+F129+F134+F136+F130+F125+F126+F123+F132+F133+F135+F124+F127+F128</f>
        <v>2377238.59</v>
      </c>
      <c r="G120" s="43">
        <f>G121+G122+G129+G134+G136+G130+G125+G126+G123+G132+G133+G135+G124+G127+G128+G131</f>
        <v>11004649.83</v>
      </c>
      <c r="H120" s="43">
        <f>H121+H122+H129+H134+H136+H130+H125+H126+H123+H132+H133+H135+H124+H127+H128+H131</f>
        <v>11004649.83</v>
      </c>
      <c r="I120" s="43">
        <f t="shared" ref="I120" si="136">J120+K120</f>
        <v>23489968.340000004</v>
      </c>
      <c r="J120" s="43">
        <f>J121+J122+J129+J134+J136+J130+J125+J126+J123+J132+J133+J135+J124+J127+J128+J131</f>
        <v>1979483.96</v>
      </c>
      <c r="K120" s="43">
        <f>K121+K122+K129+K134+K136+K130+K125+K126+K123+K132+K133+K135+K124+K127+K128+K131</f>
        <v>21510484.380000003</v>
      </c>
      <c r="L120" s="43">
        <f>L121+L122+L129+L134+L136+L130+L125+L126+L123+L132+L133+L135+L124+L127+L128+L131</f>
        <v>21510484.380000003</v>
      </c>
      <c r="M120" s="11">
        <f t="shared" si="74"/>
        <v>1.7553552684606828</v>
      </c>
      <c r="N120" s="11">
        <f t="shared" si="75"/>
        <v>0.83268207420442397</v>
      </c>
      <c r="O120" s="11">
        <f t="shared" si="76"/>
        <v>1.9546723169109692</v>
      </c>
      <c r="P120" s="11">
        <f t="shared" si="77"/>
        <v>1.9546723169109692</v>
      </c>
      <c r="Q120" s="47">
        <f t="shared" si="131"/>
        <v>10108079.920000004</v>
      </c>
      <c r="R120" s="47">
        <f t="shared" si="132"/>
        <v>-397754.62999999989</v>
      </c>
      <c r="S120" s="47">
        <f t="shared" si="133"/>
        <v>10505834.550000003</v>
      </c>
      <c r="T120" s="47">
        <f t="shared" si="134"/>
        <v>10505834.550000003</v>
      </c>
    </row>
    <row r="121" spans="1:20" s="53" customFormat="1" ht="90">
      <c r="A121" s="78" t="s">
        <v>308</v>
      </c>
      <c r="B121" s="78" t="s">
        <v>52</v>
      </c>
      <c r="C121" s="78" t="s">
        <v>3</v>
      </c>
      <c r="D121" s="52" t="s">
        <v>309</v>
      </c>
      <c r="E121" s="44">
        <f t="shared" si="135"/>
        <v>538945.43999999994</v>
      </c>
      <c r="F121" s="44"/>
      <c r="G121" s="44">
        <v>538945.43999999994</v>
      </c>
      <c r="H121" s="44">
        <f>G121</f>
        <v>538945.43999999994</v>
      </c>
      <c r="I121" s="44">
        <f t="shared" si="68"/>
        <v>0</v>
      </c>
      <c r="J121" s="44"/>
      <c r="K121" s="44"/>
      <c r="L121" s="44"/>
      <c r="M121" s="51">
        <f t="shared" si="74"/>
        <v>0</v>
      </c>
      <c r="N121" s="51" t="str">
        <f t="shared" si="75"/>
        <v/>
      </c>
      <c r="O121" s="51">
        <f t="shared" si="76"/>
        <v>0</v>
      </c>
      <c r="P121" s="51">
        <f t="shared" si="77"/>
        <v>0</v>
      </c>
      <c r="Q121" s="46">
        <f t="shared" ref="Q121" si="137">I121-E121</f>
        <v>-538945.43999999994</v>
      </c>
      <c r="R121" s="46">
        <f t="shared" ref="R121" si="138">J121-F121</f>
        <v>0</v>
      </c>
      <c r="S121" s="46">
        <f t="shared" ref="S121" si="139">K121-G121</f>
        <v>-538945.43999999994</v>
      </c>
      <c r="T121" s="46">
        <f t="shared" ref="T121" si="140">L121-H121</f>
        <v>-538945.43999999994</v>
      </c>
    </row>
    <row r="122" spans="1:20" s="53" customFormat="1" ht="54">
      <c r="A122" s="25" t="s">
        <v>94</v>
      </c>
      <c r="B122" s="25" t="s">
        <v>58</v>
      </c>
      <c r="C122" s="25" t="s">
        <v>3</v>
      </c>
      <c r="D122" s="26" t="s">
        <v>235</v>
      </c>
      <c r="E122" s="44">
        <f t="shared" si="135"/>
        <v>1784873.44</v>
      </c>
      <c r="F122" s="44">
        <v>1784873.44</v>
      </c>
      <c r="G122" s="44"/>
      <c r="H122" s="44">
        <f>G122</f>
        <v>0</v>
      </c>
      <c r="I122" s="44">
        <f t="shared" si="68"/>
        <v>1942058.96</v>
      </c>
      <c r="J122" s="44">
        <v>1942058.96</v>
      </c>
      <c r="K122" s="44"/>
      <c r="L122" s="44"/>
      <c r="M122" s="51">
        <f t="shared" si="74"/>
        <v>1.0880653588525582</v>
      </c>
      <c r="N122" s="51">
        <f t="shared" si="75"/>
        <v>1.0880653588525582</v>
      </c>
      <c r="O122" s="51" t="str">
        <f t="shared" si="76"/>
        <v/>
      </c>
      <c r="P122" s="51" t="str">
        <f t="shared" si="77"/>
        <v/>
      </c>
      <c r="Q122" s="46">
        <f t="shared" si="131"/>
        <v>157185.52000000002</v>
      </c>
      <c r="R122" s="46">
        <f t="shared" si="132"/>
        <v>157185.52000000002</v>
      </c>
      <c r="S122" s="46">
        <f t="shared" si="133"/>
        <v>0</v>
      </c>
      <c r="T122" s="46">
        <f t="shared" si="134"/>
        <v>0</v>
      </c>
    </row>
    <row r="123" spans="1:20" s="53" customFormat="1" ht="36">
      <c r="A123" s="23" t="s">
        <v>268</v>
      </c>
      <c r="B123" s="23" t="s">
        <v>8</v>
      </c>
      <c r="C123" s="23" t="s">
        <v>6</v>
      </c>
      <c r="D123" s="50" t="s">
        <v>108</v>
      </c>
      <c r="E123" s="44">
        <f t="shared" si="135"/>
        <v>37476</v>
      </c>
      <c r="F123" s="44">
        <v>37476</v>
      </c>
      <c r="G123" s="44"/>
      <c r="H123" s="44"/>
      <c r="I123" s="44">
        <f t="shared" si="68"/>
        <v>37425</v>
      </c>
      <c r="J123" s="44">
        <v>37425</v>
      </c>
      <c r="K123" s="44"/>
      <c r="L123" s="44"/>
      <c r="M123" s="51">
        <f t="shared" si="74"/>
        <v>0.99863912904258723</v>
      </c>
      <c r="N123" s="51">
        <f t="shared" si="75"/>
        <v>0.99863912904258723</v>
      </c>
      <c r="O123" s="51" t="str">
        <f t="shared" si="76"/>
        <v/>
      </c>
      <c r="P123" s="51" t="str">
        <f t="shared" si="77"/>
        <v/>
      </c>
      <c r="Q123" s="46">
        <f t="shared" si="131"/>
        <v>-51</v>
      </c>
      <c r="R123" s="46">
        <f t="shared" si="132"/>
        <v>-51</v>
      </c>
      <c r="S123" s="46">
        <f t="shared" si="133"/>
        <v>0</v>
      </c>
      <c r="T123" s="46">
        <f t="shared" si="134"/>
        <v>0</v>
      </c>
    </row>
    <row r="124" spans="1:20" s="53" customFormat="1" ht="36">
      <c r="A124" s="24">
        <v>1512010</v>
      </c>
      <c r="B124" s="24">
        <v>2010</v>
      </c>
      <c r="C124" s="24" t="s">
        <v>29</v>
      </c>
      <c r="D124" s="50" t="s">
        <v>160</v>
      </c>
      <c r="E124" s="44">
        <f t="shared" si="135"/>
        <v>0</v>
      </c>
      <c r="F124" s="44"/>
      <c r="G124" s="44"/>
      <c r="H124" s="44"/>
      <c r="I124" s="44">
        <f t="shared" si="68"/>
        <v>1110730.92</v>
      </c>
      <c r="J124" s="44"/>
      <c r="K124" s="44">
        <v>1110730.92</v>
      </c>
      <c r="L124" s="44">
        <v>1110730.92</v>
      </c>
      <c r="M124" s="51" t="str">
        <f t="shared" si="74"/>
        <v/>
      </c>
      <c r="N124" s="51" t="str">
        <f t="shared" si="75"/>
        <v/>
      </c>
      <c r="O124" s="51" t="str">
        <f t="shared" si="76"/>
        <v/>
      </c>
      <c r="P124" s="51" t="str">
        <f t="shared" si="77"/>
        <v/>
      </c>
      <c r="Q124" s="46">
        <f t="shared" si="131"/>
        <v>1110730.92</v>
      </c>
      <c r="R124" s="46">
        <f t="shared" si="132"/>
        <v>0</v>
      </c>
      <c r="S124" s="46">
        <f t="shared" si="133"/>
        <v>1110730.92</v>
      </c>
      <c r="T124" s="46">
        <f t="shared" si="134"/>
        <v>1110730.92</v>
      </c>
    </row>
    <row r="125" spans="1:20" s="53" customFormat="1" ht="36">
      <c r="A125" s="24" t="s">
        <v>254</v>
      </c>
      <c r="B125" s="24" t="s">
        <v>104</v>
      </c>
      <c r="C125" s="24" t="s">
        <v>39</v>
      </c>
      <c r="D125" s="50" t="s">
        <v>105</v>
      </c>
      <c r="E125" s="44">
        <f t="shared" si="135"/>
        <v>228794.92</v>
      </c>
      <c r="F125" s="44"/>
      <c r="G125" s="44">
        <v>228794.92</v>
      </c>
      <c r="H125" s="44">
        <f>G125</f>
        <v>228794.92</v>
      </c>
      <c r="I125" s="44">
        <f t="shared" si="68"/>
        <v>0</v>
      </c>
      <c r="J125" s="44"/>
      <c r="K125" s="44"/>
      <c r="L125" s="44"/>
      <c r="M125" s="51">
        <f t="shared" si="74"/>
        <v>0</v>
      </c>
      <c r="N125" s="51" t="str">
        <f t="shared" si="75"/>
        <v/>
      </c>
      <c r="O125" s="51">
        <f t="shared" si="76"/>
        <v>0</v>
      </c>
      <c r="P125" s="51">
        <f t="shared" si="77"/>
        <v>0</v>
      </c>
      <c r="Q125" s="46">
        <f t="shared" si="131"/>
        <v>-228794.92</v>
      </c>
      <c r="R125" s="46">
        <f t="shared" si="132"/>
        <v>0</v>
      </c>
      <c r="S125" s="46">
        <f t="shared" si="133"/>
        <v>-228794.92</v>
      </c>
      <c r="T125" s="46">
        <f t="shared" si="134"/>
        <v>-228794.92</v>
      </c>
    </row>
    <row r="126" spans="1:20" s="53" customFormat="1" ht="36">
      <c r="A126" s="79" t="s">
        <v>126</v>
      </c>
      <c r="B126" s="79" t="s">
        <v>125</v>
      </c>
      <c r="C126" s="79" t="s">
        <v>7</v>
      </c>
      <c r="D126" s="62" t="s">
        <v>127</v>
      </c>
      <c r="E126" s="44">
        <f t="shared" si="135"/>
        <v>113886.37</v>
      </c>
      <c r="F126" s="44"/>
      <c r="G126" s="44">
        <v>113886.37</v>
      </c>
      <c r="H126" s="44">
        <f>G126</f>
        <v>113886.37</v>
      </c>
      <c r="I126" s="44">
        <f t="shared" si="68"/>
        <v>0</v>
      </c>
      <c r="J126" s="44"/>
      <c r="K126" s="44"/>
      <c r="L126" s="44"/>
      <c r="M126" s="51">
        <f t="shared" si="74"/>
        <v>0</v>
      </c>
      <c r="N126" s="51" t="str">
        <f t="shared" si="75"/>
        <v/>
      </c>
      <c r="O126" s="51">
        <f t="shared" si="76"/>
        <v>0</v>
      </c>
      <c r="P126" s="51">
        <f t="shared" si="77"/>
        <v>0</v>
      </c>
      <c r="Q126" s="46">
        <f t="shared" ref="Q126" si="141">I126-E126</f>
        <v>-113886.37</v>
      </c>
      <c r="R126" s="46">
        <f t="shared" ref="R126" si="142">J126-F126</f>
        <v>0</v>
      </c>
      <c r="S126" s="46">
        <f t="shared" ref="S126" si="143">K126-G126</f>
        <v>-113886.37</v>
      </c>
      <c r="T126" s="46">
        <f t="shared" ref="T126" si="144">L126-H126</f>
        <v>-113886.37</v>
      </c>
    </row>
    <row r="127" spans="1:20" s="53" customFormat="1" ht="36">
      <c r="A127" s="24" t="s">
        <v>293</v>
      </c>
      <c r="B127" s="24" t="s">
        <v>106</v>
      </c>
      <c r="C127" s="24" t="s">
        <v>7</v>
      </c>
      <c r="D127" s="50" t="s">
        <v>107</v>
      </c>
      <c r="E127" s="44">
        <f t="shared" si="135"/>
        <v>0</v>
      </c>
      <c r="F127" s="44"/>
      <c r="G127" s="44"/>
      <c r="H127" s="44"/>
      <c r="I127" s="44">
        <f t="shared" si="68"/>
        <v>382749.55</v>
      </c>
      <c r="J127" s="44"/>
      <c r="K127" s="44">
        <v>382749.55</v>
      </c>
      <c r="L127" s="44">
        <v>382749.55</v>
      </c>
      <c r="M127" s="51" t="str">
        <f t="shared" si="74"/>
        <v/>
      </c>
      <c r="N127" s="51" t="str">
        <f t="shared" si="75"/>
        <v/>
      </c>
      <c r="O127" s="51" t="str">
        <f t="shared" si="76"/>
        <v/>
      </c>
      <c r="P127" s="51" t="str">
        <f t="shared" si="77"/>
        <v/>
      </c>
      <c r="Q127" s="46">
        <f t="shared" si="131"/>
        <v>382749.55</v>
      </c>
      <c r="R127" s="46">
        <f t="shared" si="132"/>
        <v>0</v>
      </c>
      <c r="S127" s="46">
        <f t="shared" si="133"/>
        <v>382749.55</v>
      </c>
      <c r="T127" s="46">
        <f t="shared" si="134"/>
        <v>382749.55</v>
      </c>
    </row>
    <row r="128" spans="1:20" s="53" customFormat="1" ht="36">
      <c r="A128" s="24" t="s">
        <v>294</v>
      </c>
      <c r="B128" s="24" t="s">
        <v>288</v>
      </c>
      <c r="C128" s="24" t="s">
        <v>7</v>
      </c>
      <c r="D128" s="50" t="s">
        <v>289</v>
      </c>
      <c r="E128" s="44">
        <f t="shared" si="135"/>
        <v>0</v>
      </c>
      <c r="F128" s="44"/>
      <c r="G128" s="44"/>
      <c r="H128" s="44"/>
      <c r="I128" s="44">
        <f t="shared" si="68"/>
        <v>3666824.02</v>
      </c>
      <c r="J128" s="44"/>
      <c r="K128" s="44">
        <f>3666824.02</f>
        <v>3666824.02</v>
      </c>
      <c r="L128" s="44">
        <v>3666824.02</v>
      </c>
      <c r="M128" s="51" t="str">
        <f t="shared" si="74"/>
        <v/>
      </c>
      <c r="N128" s="51" t="str">
        <f t="shared" si="75"/>
        <v/>
      </c>
      <c r="O128" s="51" t="str">
        <f t="shared" si="76"/>
        <v/>
      </c>
      <c r="P128" s="51" t="str">
        <f t="shared" si="77"/>
        <v/>
      </c>
      <c r="Q128" s="46">
        <f t="shared" si="131"/>
        <v>3666824.02</v>
      </c>
      <c r="R128" s="46">
        <f t="shared" si="132"/>
        <v>0</v>
      </c>
      <c r="S128" s="46">
        <f t="shared" si="133"/>
        <v>3666824.02</v>
      </c>
      <c r="T128" s="46">
        <f t="shared" si="134"/>
        <v>3666824.02</v>
      </c>
    </row>
    <row r="129" spans="1:20" s="53" customFormat="1">
      <c r="A129" s="25" t="s">
        <v>229</v>
      </c>
      <c r="B129" s="25" t="s">
        <v>40</v>
      </c>
      <c r="C129" s="25" t="s">
        <v>7</v>
      </c>
      <c r="D129" s="26" t="s">
        <v>55</v>
      </c>
      <c r="E129" s="44">
        <f t="shared" si="135"/>
        <v>40287.46</v>
      </c>
      <c r="F129" s="44"/>
      <c r="G129" s="44">
        <v>40287.46</v>
      </c>
      <c r="H129" s="44">
        <f>G129</f>
        <v>40287.46</v>
      </c>
      <c r="I129" s="44">
        <f t="shared" si="68"/>
        <v>0</v>
      </c>
      <c r="J129" s="44"/>
      <c r="K129" s="44"/>
      <c r="L129" s="44"/>
      <c r="M129" s="51">
        <f t="shared" si="74"/>
        <v>0</v>
      </c>
      <c r="N129" s="51" t="str">
        <f t="shared" si="75"/>
        <v/>
      </c>
      <c r="O129" s="51">
        <f t="shared" si="76"/>
        <v>0</v>
      </c>
      <c r="P129" s="51">
        <f t="shared" si="77"/>
        <v>0</v>
      </c>
      <c r="Q129" s="46">
        <f t="shared" si="131"/>
        <v>-40287.46</v>
      </c>
      <c r="R129" s="46">
        <f t="shared" si="132"/>
        <v>0</v>
      </c>
      <c r="S129" s="46">
        <f t="shared" si="133"/>
        <v>-40287.46</v>
      </c>
      <c r="T129" s="46">
        <f t="shared" si="134"/>
        <v>-40287.46</v>
      </c>
    </row>
    <row r="130" spans="1:20" s="53" customFormat="1" ht="72">
      <c r="A130" s="24" t="s">
        <v>252</v>
      </c>
      <c r="B130" s="24">
        <v>6050</v>
      </c>
      <c r="C130" s="24" t="s">
        <v>7</v>
      </c>
      <c r="D130" s="50" t="s">
        <v>253</v>
      </c>
      <c r="E130" s="44">
        <f t="shared" si="135"/>
        <v>554889.15</v>
      </c>
      <c r="F130" s="44">
        <v>554889.15</v>
      </c>
      <c r="G130" s="44"/>
      <c r="H130" s="44"/>
      <c r="I130" s="44">
        <f t="shared" si="68"/>
        <v>0</v>
      </c>
      <c r="J130" s="44"/>
      <c r="K130" s="44"/>
      <c r="L130" s="44"/>
      <c r="M130" s="51">
        <f t="shared" si="74"/>
        <v>0</v>
      </c>
      <c r="N130" s="51">
        <f t="shared" si="75"/>
        <v>0</v>
      </c>
      <c r="O130" s="51" t="str">
        <f t="shared" si="76"/>
        <v/>
      </c>
      <c r="P130" s="51" t="str">
        <f t="shared" si="77"/>
        <v/>
      </c>
      <c r="Q130" s="46">
        <f t="shared" si="131"/>
        <v>-554889.15</v>
      </c>
      <c r="R130" s="46">
        <f t="shared" si="132"/>
        <v>-554889.15</v>
      </c>
      <c r="S130" s="46">
        <f t="shared" si="133"/>
        <v>0</v>
      </c>
      <c r="T130" s="46">
        <f t="shared" si="134"/>
        <v>0</v>
      </c>
    </row>
    <row r="131" spans="1:20" s="53" customFormat="1" ht="36">
      <c r="A131" s="72">
        <v>1517310</v>
      </c>
      <c r="B131" s="73" t="s">
        <v>329</v>
      </c>
      <c r="C131" s="73" t="s">
        <v>269</v>
      </c>
      <c r="D131" s="63" t="s">
        <v>330</v>
      </c>
      <c r="E131" s="44">
        <f t="shared" si="135"/>
        <v>0</v>
      </c>
      <c r="F131" s="44"/>
      <c r="G131" s="44"/>
      <c r="H131" s="44"/>
      <c r="I131" s="44">
        <f t="shared" si="68"/>
        <v>3689136</v>
      </c>
      <c r="J131" s="44"/>
      <c r="K131" s="44">
        <v>3689136</v>
      </c>
      <c r="L131" s="44">
        <v>3689136</v>
      </c>
      <c r="M131" s="51" t="str">
        <f t="shared" si="74"/>
        <v/>
      </c>
      <c r="N131" s="51" t="str">
        <f t="shared" si="75"/>
        <v/>
      </c>
      <c r="O131" s="51" t="str">
        <f t="shared" si="76"/>
        <v/>
      </c>
      <c r="P131" s="51" t="str">
        <f t="shared" si="77"/>
        <v/>
      </c>
      <c r="Q131" s="46">
        <f t="shared" si="131"/>
        <v>3689136</v>
      </c>
      <c r="R131" s="46">
        <f t="shared" ref="R131" si="145">J131-F131</f>
        <v>0</v>
      </c>
      <c r="S131" s="46">
        <f t="shared" ref="S131" si="146">K131-G131</f>
        <v>3689136</v>
      </c>
      <c r="T131" s="46">
        <f t="shared" ref="T131" si="147">L131-H131</f>
        <v>3689136</v>
      </c>
    </row>
    <row r="132" spans="1:20" s="53" customFormat="1">
      <c r="A132" s="74">
        <v>1517321</v>
      </c>
      <c r="B132" s="74">
        <v>7321</v>
      </c>
      <c r="C132" s="77" t="s">
        <v>269</v>
      </c>
      <c r="D132" s="60" t="s">
        <v>310</v>
      </c>
      <c r="E132" s="44">
        <f t="shared" si="135"/>
        <v>300000</v>
      </c>
      <c r="F132" s="44"/>
      <c r="G132" s="44">
        <v>300000</v>
      </c>
      <c r="H132" s="44">
        <f>G132</f>
        <v>300000</v>
      </c>
      <c r="I132" s="44">
        <f t="shared" si="68"/>
        <v>0</v>
      </c>
      <c r="J132" s="44"/>
      <c r="K132" s="44"/>
      <c r="L132" s="44"/>
      <c r="M132" s="51">
        <f t="shared" si="74"/>
        <v>0</v>
      </c>
      <c r="N132" s="51" t="str">
        <f t="shared" si="75"/>
        <v/>
      </c>
      <c r="O132" s="51">
        <f t="shared" si="76"/>
        <v>0</v>
      </c>
      <c r="P132" s="51">
        <f t="shared" si="77"/>
        <v>0</v>
      </c>
      <c r="Q132" s="46">
        <f t="shared" ref="Q132" si="148">I132-E132</f>
        <v>-300000</v>
      </c>
      <c r="R132" s="46">
        <f t="shared" ref="R132" si="149">J132-F132</f>
        <v>0</v>
      </c>
      <c r="S132" s="46">
        <f t="shared" ref="S132" si="150">K132-G132</f>
        <v>-300000</v>
      </c>
      <c r="T132" s="46">
        <f t="shared" ref="T132" si="151">L132-H132</f>
        <v>-300000</v>
      </c>
    </row>
    <row r="133" spans="1:20" s="53" customFormat="1" ht="36">
      <c r="A133" s="74">
        <v>1517370</v>
      </c>
      <c r="B133" s="74">
        <v>7370</v>
      </c>
      <c r="C133" s="77" t="s">
        <v>20</v>
      </c>
      <c r="D133" s="60" t="s">
        <v>311</v>
      </c>
      <c r="E133" s="44">
        <f t="shared" si="135"/>
        <v>633112.77</v>
      </c>
      <c r="F133" s="44"/>
      <c r="G133" s="44">
        <v>633112.77</v>
      </c>
      <c r="H133" s="44">
        <f>G133</f>
        <v>633112.77</v>
      </c>
      <c r="I133" s="44">
        <f t="shared" si="68"/>
        <v>0</v>
      </c>
      <c r="J133" s="44"/>
      <c r="K133" s="44"/>
      <c r="L133" s="44"/>
      <c r="M133" s="51">
        <f t="shared" si="74"/>
        <v>0</v>
      </c>
      <c r="N133" s="51" t="str">
        <f t="shared" si="75"/>
        <v/>
      </c>
      <c r="O133" s="51">
        <f t="shared" si="76"/>
        <v>0</v>
      </c>
      <c r="P133" s="51">
        <f t="shared" si="77"/>
        <v>0</v>
      </c>
      <c r="Q133" s="46">
        <f t="shared" ref="Q133" si="152">I133-E133</f>
        <v>-633112.77</v>
      </c>
      <c r="R133" s="46">
        <f t="shared" ref="R133" si="153">J133-F133</f>
        <v>0</v>
      </c>
      <c r="S133" s="46">
        <f t="shared" ref="S133" si="154">K133-G133</f>
        <v>-633112.77</v>
      </c>
      <c r="T133" s="46">
        <f t="shared" ref="T133" si="155">L133-H133</f>
        <v>-633112.77</v>
      </c>
    </row>
    <row r="134" spans="1:20" s="53" customFormat="1" ht="36">
      <c r="A134" s="25" t="s">
        <v>236</v>
      </c>
      <c r="B134" s="25" t="s">
        <v>233</v>
      </c>
      <c r="C134" s="25" t="s">
        <v>20</v>
      </c>
      <c r="D134" s="26" t="s">
        <v>234</v>
      </c>
      <c r="E134" s="44">
        <f t="shared" si="135"/>
        <v>385498.86</v>
      </c>
      <c r="F134" s="44"/>
      <c r="G134" s="44">
        <v>385498.86</v>
      </c>
      <c r="H134" s="44">
        <f>G134</f>
        <v>385498.86</v>
      </c>
      <c r="I134" s="44">
        <f t="shared" si="68"/>
        <v>0</v>
      </c>
      <c r="J134" s="44"/>
      <c r="K134" s="44"/>
      <c r="L134" s="44"/>
      <c r="M134" s="51">
        <f t="shared" si="74"/>
        <v>0</v>
      </c>
      <c r="N134" s="51" t="str">
        <f t="shared" si="75"/>
        <v/>
      </c>
      <c r="O134" s="51">
        <f t="shared" si="76"/>
        <v>0</v>
      </c>
      <c r="P134" s="51">
        <f t="shared" si="77"/>
        <v>0</v>
      </c>
      <c r="Q134" s="46">
        <f t="shared" si="131"/>
        <v>-385498.86</v>
      </c>
      <c r="R134" s="46">
        <f t="shared" si="132"/>
        <v>0</v>
      </c>
      <c r="S134" s="46">
        <f t="shared" si="133"/>
        <v>-385498.86</v>
      </c>
      <c r="T134" s="46">
        <f t="shared" si="134"/>
        <v>-385498.86</v>
      </c>
    </row>
    <row r="135" spans="1:20" s="53" customFormat="1">
      <c r="A135" s="24" t="s">
        <v>271</v>
      </c>
      <c r="B135" s="24" t="s">
        <v>272</v>
      </c>
      <c r="C135" s="24" t="s">
        <v>273</v>
      </c>
      <c r="D135" s="50" t="s">
        <v>274</v>
      </c>
      <c r="E135" s="44">
        <f t="shared" si="135"/>
        <v>432966.48</v>
      </c>
      <c r="F135" s="44"/>
      <c r="G135" s="44">
        <v>432966.48</v>
      </c>
      <c r="H135" s="44">
        <f>G135</f>
        <v>432966.48</v>
      </c>
      <c r="I135" s="44">
        <f t="shared" si="68"/>
        <v>5577695.79</v>
      </c>
      <c r="J135" s="44"/>
      <c r="K135" s="44">
        <v>5577695.79</v>
      </c>
      <c r="L135" s="44">
        <f>5577695.79</f>
        <v>5577695.79</v>
      </c>
      <c r="M135" s="51" t="s">
        <v>337</v>
      </c>
      <c r="N135" s="51" t="str">
        <f t="shared" si="75"/>
        <v/>
      </c>
      <c r="O135" s="51" t="s">
        <v>337</v>
      </c>
      <c r="P135" s="51" t="s">
        <v>337</v>
      </c>
      <c r="Q135" s="46">
        <f t="shared" si="131"/>
        <v>5144729.3100000005</v>
      </c>
      <c r="R135" s="46">
        <f t="shared" si="132"/>
        <v>0</v>
      </c>
      <c r="S135" s="46">
        <f t="shared" si="133"/>
        <v>5144729.3100000005</v>
      </c>
      <c r="T135" s="46">
        <f t="shared" si="134"/>
        <v>5144729.3100000005</v>
      </c>
    </row>
    <row r="136" spans="1:20" s="53" customFormat="1" ht="54">
      <c r="A136" s="24" t="s">
        <v>246</v>
      </c>
      <c r="B136" s="23">
        <v>8110</v>
      </c>
      <c r="C136" s="24" t="s">
        <v>5</v>
      </c>
      <c r="D136" s="50" t="s">
        <v>136</v>
      </c>
      <c r="E136" s="44">
        <f t="shared" si="135"/>
        <v>8331157.5300000003</v>
      </c>
      <c r="F136" s="44"/>
      <c r="G136" s="44">
        <v>8331157.5300000003</v>
      </c>
      <c r="H136" s="44">
        <f>G136</f>
        <v>8331157.5300000003</v>
      </c>
      <c r="I136" s="44">
        <f t="shared" si="68"/>
        <v>7083348.0999999996</v>
      </c>
      <c r="J136" s="44"/>
      <c r="K136" s="44">
        <f>2269137.6+4814210.5</f>
        <v>7083348.0999999996</v>
      </c>
      <c r="L136" s="44">
        <f>2269137.6+4814210.5</f>
        <v>7083348.0999999996</v>
      </c>
      <c r="M136" s="51">
        <f t="shared" si="74"/>
        <v>0.85022376236354746</v>
      </c>
      <c r="N136" s="51" t="str">
        <f t="shared" si="75"/>
        <v/>
      </c>
      <c r="O136" s="51">
        <f t="shared" si="76"/>
        <v>0.85022376236354746</v>
      </c>
      <c r="P136" s="51">
        <f t="shared" si="77"/>
        <v>0.85022376236354746</v>
      </c>
      <c r="Q136" s="46">
        <f t="shared" si="131"/>
        <v>-1247809.4300000006</v>
      </c>
      <c r="R136" s="46">
        <f t="shared" si="132"/>
        <v>0</v>
      </c>
      <c r="S136" s="46">
        <f t="shared" si="133"/>
        <v>-1247809.4300000006</v>
      </c>
      <c r="T136" s="46">
        <f t="shared" si="134"/>
        <v>-1247809.4300000006</v>
      </c>
    </row>
    <row r="137" spans="1:20" s="34" customFormat="1" ht="52.2">
      <c r="A137" s="27" t="s">
        <v>95</v>
      </c>
      <c r="B137" s="27"/>
      <c r="C137" s="27"/>
      <c r="D137" s="10" t="s">
        <v>213</v>
      </c>
      <c r="E137" s="43">
        <f t="shared" ref="E137:L137" si="156">E138</f>
        <v>8115141.3700000001</v>
      </c>
      <c r="F137" s="43">
        <f t="shared" si="156"/>
        <v>8115141.3700000001</v>
      </c>
      <c r="G137" s="43">
        <f t="shared" si="156"/>
        <v>0</v>
      </c>
      <c r="H137" s="43">
        <f t="shared" si="156"/>
        <v>0</v>
      </c>
      <c r="I137" s="43">
        <f t="shared" si="156"/>
        <v>9820608.2899999991</v>
      </c>
      <c r="J137" s="43">
        <f t="shared" si="156"/>
        <v>9820608.2899999991</v>
      </c>
      <c r="K137" s="43">
        <f t="shared" si="156"/>
        <v>0</v>
      </c>
      <c r="L137" s="43">
        <f t="shared" si="156"/>
        <v>0</v>
      </c>
      <c r="M137" s="11">
        <f t="shared" si="74"/>
        <v>1.2101586210567763</v>
      </c>
      <c r="N137" s="11">
        <f t="shared" si="75"/>
        <v>1.2101586210567763</v>
      </c>
      <c r="O137" s="11" t="str">
        <f t="shared" si="76"/>
        <v/>
      </c>
      <c r="P137" s="11" t="str">
        <f t="shared" si="77"/>
        <v/>
      </c>
      <c r="Q137" s="47">
        <f t="shared" si="131"/>
        <v>1705466.919999999</v>
      </c>
      <c r="R137" s="47">
        <f t="shared" si="132"/>
        <v>1705466.919999999</v>
      </c>
      <c r="S137" s="47">
        <f t="shared" si="133"/>
        <v>0</v>
      </c>
      <c r="T137" s="47">
        <f t="shared" si="134"/>
        <v>0</v>
      </c>
    </row>
    <row r="138" spans="1:20" s="34" customFormat="1" ht="52.2">
      <c r="A138" s="27" t="s">
        <v>96</v>
      </c>
      <c r="B138" s="27"/>
      <c r="C138" s="27"/>
      <c r="D138" s="10" t="s">
        <v>213</v>
      </c>
      <c r="E138" s="43">
        <f t="shared" ref="E138:E144" si="157">F138+G138</f>
        <v>8115141.3700000001</v>
      </c>
      <c r="F138" s="43">
        <f>F139+F143+F141+F142+F144+F140</f>
        <v>8115141.3700000001</v>
      </c>
      <c r="G138" s="43">
        <f t="shared" ref="G138:H138" si="158">G139+G143+G141+G142+G144+G140</f>
        <v>0</v>
      </c>
      <c r="H138" s="43">
        <f t="shared" si="158"/>
        <v>0</v>
      </c>
      <c r="I138" s="43">
        <f t="shared" ref="I138" si="159">J138+K138</f>
        <v>9820608.2899999991</v>
      </c>
      <c r="J138" s="43">
        <f>J139+J143+J141+J142+J140+J144</f>
        <v>9820608.2899999991</v>
      </c>
      <c r="K138" s="43">
        <f>K139+K143+K141+K142+K140+K144</f>
        <v>0</v>
      </c>
      <c r="L138" s="43">
        <f>L139+L143+L141+L142+L140+L144</f>
        <v>0</v>
      </c>
      <c r="M138" s="11">
        <f t="shared" ref="M138:M152" si="160">IFERROR((I138/E138),"")</f>
        <v>1.2101586210567763</v>
      </c>
      <c r="N138" s="11">
        <f t="shared" ref="N138:N152" si="161">IFERROR((J138/F138),"")</f>
        <v>1.2101586210567763</v>
      </c>
      <c r="O138" s="11" t="str">
        <f t="shared" ref="O138:O152" si="162">IFERROR((K138/G138),"")</f>
        <v/>
      </c>
      <c r="P138" s="11" t="str">
        <f t="shared" ref="P138:P152" si="163">IFERROR((L138/H138),"")</f>
        <v/>
      </c>
      <c r="Q138" s="47">
        <f t="shared" si="131"/>
        <v>1705466.919999999</v>
      </c>
      <c r="R138" s="47">
        <f t="shared" si="132"/>
        <v>1705466.919999999</v>
      </c>
      <c r="S138" s="47">
        <f t="shared" si="133"/>
        <v>0</v>
      </c>
      <c r="T138" s="47">
        <f t="shared" si="134"/>
        <v>0</v>
      </c>
    </row>
    <row r="139" spans="1:20" s="53" customFormat="1" ht="54">
      <c r="A139" s="25" t="s">
        <v>97</v>
      </c>
      <c r="B139" s="25" t="s">
        <v>58</v>
      </c>
      <c r="C139" s="25" t="s">
        <v>3</v>
      </c>
      <c r="D139" s="26" t="s">
        <v>235</v>
      </c>
      <c r="E139" s="44">
        <f t="shared" si="157"/>
        <v>1278739.99</v>
      </c>
      <c r="F139" s="44">
        <v>1278739.99</v>
      </c>
      <c r="G139" s="44"/>
      <c r="H139" s="44"/>
      <c r="I139" s="44">
        <f t="shared" ref="I139:I152" si="164">J139+K139</f>
        <v>1658837.98</v>
      </c>
      <c r="J139" s="44">
        <v>1658837.98</v>
      </c>
      <c r="K139" s="44"/>
      <c r="L139" s="44"/>
      <c r="M139" s="51">
        <f t="shared" si="160"/>
        <v>1.2972441567264976</v>
      </c>
      <c r="N139" s="51">
        <f t="shared" si="161"/>
        <v>1.2972441567264976</v>
      </c>
      <c r="O139" s="51" t="str">
        <f t="shared" si="162"/>
        <v/>
      </c>
      <c r="P139" s="51" t="str">
        <f t="shared" si="163"/>
        <v/>
      </c>
      <c r="Q139" s="46">
        <f t="shared" si="131"/>
        <v>380097.99</v>
      </c>
      <c r="R139" s="46">
        <f t="shared" si="132"/>
        <v>380097.99</v>
      </c>
      <c r="S139" s="46">
        <f t="shared" si="133"/>
        <v>0</v>
      </c>
      <c r="T139" s="46">
        <f t="shared" si="134"/>
        <v>0</v>
      </c>
    </row>
    <row r="140" spans="1:20" s="53" customFormat="1" ht="36">
      <c r="A140" s="74" t="s">
        <v>312</v>
      </c>
      <c r="B140" s="74" t="s">
        <v>8</v>
      </c>
      <c r="C140" s="74" t="s">
        <v>6</v>
      </c>
      <c r="D140" s="60" t="s">
        <v>108</v>
      </c>
      <c r="E140" s="44">
        <f t="shared" si="157"/>
        <v>18430.490000000002</v>
      </c>
      <c r="F140" s="44">
        <v>18430.490000000002</v>
      </c>
      <c r="G140" s="44"/>
      <c r="H140" s="44"/>
      <c r="I140" s="44">
        <f t="shared" si="164"/>
        <v>49900</v>
      </c>
      <c r="J140" s="44">
        <v>49900</v>
      </c>
      <c r="K140" s="44"/>
      <c r="L140" s="44"/>
      <c r="M140" s="51">
        <f t="shared" si="160"/>
        <v>2.7074700672635399</v>
      </c>
      <c r="N140" s="51">
        <f t="shared" si="161"/>
        <v>2.7074700672635399</v>
      </c>
      <c r="O140" s="51" t="str">
        <f t="shared" si="162"/>
        <v/>
      </c>
      <c r="P140" s="51" t="str">
        <f t="shared" si="163"/>
        <v/>
      </c>
      <c r="Q140" s="46">
        <f t="shared" ref="Q140" si="165">I140-E140</f>
        <v>31469.51</v>
      </c>
      <c r="R140" s="46">
        <f t="shared" ref="R140" si="166">J140-F140</f>
        <v>31469.51</v>
      </c>
      <c r="S140" s="46">
        <f t="shared" ref="S140" si="167">K140-G140</f>
        <v>0</v>
      </c>
      <c r="T140" s="46">
        <f t="shared" ref="T140" si="168">L140-H140</f>
        <v>0</v>
      </c>
    </row>
    <row r="141" spans="1:20" s="53" customFormat="1" ht="36">
      <c r="A141" s="23" t="s">
        <v>247</v>
      </c>
      <c r="B141" s="23" t="s">
        <v>155</v>
      </c>
      <c r="C141" s="23" t="s">
        <v>7</v>
      </c>
      <c r="D141" s="50" t="s">
        <v>248</v>
      </c>
      <c r="E141" s="44">
        <f t="shared" si="157"/>
        <v>46380.43</v>
      </c>
      <c r="F141" s="44">
        <v>46380.43</v>
      </c>
      <c r="G141" s="44"/>
      <c r="H141" s="44"/>
      <c r="I141" s="44">
        <f t="shared" si="164"/>
        <v>88280.18</v>
      </c>
      <c r="J141" s="44">
        <v>88280.18</v>
      </c>
      <c r="K141" s="44"/>
      <c r="L141" s="44"/>
      <c r="M141" s="51">
        <f t="shared" si="160"/>
        <v>1.9033928749690332</v>
      </c>
      <c r="N141" s="51">
        <f t="shared" si="161"/>
        <v>1.9033928749690332</v>
      </c>
      <c r="O141" s="51" t="str">
        <f t="shared" si="162"/>
        <v/>
      </c>
      <c r="P141" s="51" t="str">
        <f t="shared" si="163"/>
        <v/>
      </c>
      <c r="Q141" s="46">
        <f t="shared" si="131"/>
        <v>41899.749999999993</v>
      </c>
      <c r="R141" s="46">
        <f t="shared" si="132"/>
        <v>41899.749999999993</v>
      </c>
      <c r="S141" s="46">
        <f t="shared" si="133"/>
        <v>0</v>
      </c>
      <c r="T141" s="46">
        <f t="shared" si="134"/>
        <v>0</v>
      </c>
    </row>
    <row r="142" spans="1:20" s="53" customFormat="1" ht="36">
      <c r="A142" s="23">
        <v>3117350</v>
      </c>
      <c r="B142" s="23">
        <v>7350</v>
      </c>
      <c r="C142" s="24" t="s">
        <v>269</v>
      </c>
      <c r="D142" s="50" t="s">
        <v>270</v>
      </c>
      <c r="E142" s="44">
        <f t="shared" si="157"/>
        <v>177274.97</v>
      </c>
      <c r="F142" s="44">
        <v>177274.97</v>
      </c>
      <c r="G142" s="44"/>
      <c r="H142" s="44"/>
      <c r="I142" s="44">
        <f t="shared" si="164"/>
        <v>704814.2</v>
      </c>
      <c r="J142" s="44">
        <v>704814.2</v>
      </c>
      <c r="K142" s="44"/>
      <c r="L142" s="44"/>
      <c r="M142" s="51">
        <f t="shared" si="160"/>
        <v>3.9758246750796231</v>
      </c>
      <c r="N142" s="51">
        <f t="shared" si="161"/>
        <v>3.9758246750796231</v>
      </c>
      <c r="O142" s="51" t="str">
        <f t="shared" si="162"/>
        <v/>
      </c>
      <c r="P142" s="51" t="str">
        <f t="shared" si="163"/>
        <v/>
      </c>
      <c r="Q142" s="46">
        <f t="shared" si="131"/>
        <v>527539.23</v>
      </c>
      <c r="R142" s="46">
        <f t="shared" si="132"/>
        <v>527539.23</v>
      </c>
      <c r="S142" s="46">
        <f t="shared" si="133"/>
        <v>0</v>
      </c>
      <c r="T142" s="46">
        <f t="shared" si="134"/>
        <v>0</v>
      </c>
    </row>
    <row r="143" spans="1:20" s="53" customFormat="1" ht="36">
      <c r="A143" s="25" t="s">
        <v>178</v>
      </c>
      <c r="B143" s="25" t="s">
        <v>134</v>
      </c>
      <c r="C143" s="25" t="s">
        <v>20</v>
      </c>
      <c r="D143" s="26" t="s">
        <v>135</v>
      </c>
      <c r="E143" s="44">
        <f t="shared" si="157"/>
        <v>6560098.2800000003</v>
      </c>
      <c r="F143" s="44">
        <v>6560098.2800000003</v>
      </c>
      <c r="G143" s="44"/>
      <c r="H143" s="44"/>
      <c r="I143" s="44">
        <f t="shared" si="164"/>
        <v>7281957.9199999999</v>
      </c>
      <c r="J143" s="44">
        <f>638859.48+77702.39+6565396.05</f>
        <v>7281957.9199999999</v>
      </c>
      <c r="K143" s="44"/>
      <c r="L143" s="44"/>
      <c r="M143" s="51">
        <f t="shared" si="160"/>
        <v>1.110037930712221</v>
      </c>
      <c r="N143" s="51">
        <f t="shared" si="161"/>
        <v>1.110037930712221</v>
      </c>
      <c r="O143" s="51" t="str">
        <f t="shared" si="162"/>
        <v/>
      </c>
      <c r="P143" s="51" t="str">
        <f t="shared" si="163"/>
        <v/>
      </c>
      <c r="Q143" s="46">
        <f t="shared" si="131"/>
        <v>721859.63999999966</v>
      </c>
      <c r="R143" s="46">
        <f t="shared" si="132"/>
        <v>721859.63999999966</v>
      </c>
      <c r="S143" s="46">
        <f t="shared" si="133"/>
        <v>0</v>
      </c>
      <c r="T143" s="46">
        <f t="shared" si="134"/>
        <v>0</v>
      </c>
    </row>
    <row r="144" spans="1:20" s="53" customFormat="1" ht="30" customHeight="1">
      <c r="A144" s="77" t="s">
        <v>313</v>
      </c>
      <c r="B144" s="77" t="s">
        <v>249</v>
      </c>
      <c r="C144" s="77" t="s">
        <v>221</v>
      </c>
      <c r="D144" s="64" t="s">
        <v>245</v>
      </c>
      <c r="E144" s="44">
        <f t="shared" si="157"/>
        <v>34217.21</v>
      </c>
      <c r="F144" s="44">
        <v>34217.21</v>
      </c>
      <c r="G144" s="44"/>
      <c r="H144" s="44"/>
      <c r="I144" s="44">
        <f t="shared" si="164"/>
        <v>36818.01</v>
      </c>
      <c r="J144" s="44">
        <v>36818.01</v>
      </c>
      <c r="K144" s="44"/>
      <c r="L144" s="44"/>
      <c r="M144" s="51">
        <f t="shared" si="160"/>
        <v>1.0760085348863921</v>
      </c>
      <c r="N144" s="51">
        <f t="shared" si="161"/>
        <v>1.0760085348863921</v>
      </c>
      <c r="O144" s="51" t="str">
        <f t="shared" si="162"/>
        <v/>
      </c>
      <c r="P144" s="51" t="str">
        <f t="shared" si="163"/>
        <v/>
      </c>
      <c r="Q144" s="46">
        <f t="shared" si="131"/>
        <v>2600.8000000000029</v>
      </c>
      <c r="R144" s="46">
        <f t="shared" si="132"/>
        <v>2600.8000000000029</v>
      </c>
      <c r="S144" s="46">
        <f t="shared" si="133"/>
        <v>0</v>
      </c>
      <c r="T144" s="46">
        <f t="shared" ref="T144" si="169">L144-H144</f>
        <v>0</v>
      </c>
    </row>
    <row r="145" spans="1:20" s="34" customFormat="1" ht="52.2">
      <c r="A145" s="27" t="s">
        <v>98</v>
      </c>
      <c r="B145" s="27"/>
      <c r="C145" s="27"/>
      <c r="D145" s="10" t="s">
        <v>214</v>
      </c>
      <c r="E145" s="43">
        <f t="shared" ref="E145:L145" si="170">E146</f>
        <v>22730936.310000002</v>
      </c>
      <c r="F145" s="43">
        <f t="shared" si="170"/>
        <v>20439727.310000002</v>
      </c>
      <c r="G145" s="43">
        <f t="shared" si="170"/>
        <v>2291209</v>
      </c>
      <c r="H145" s="43">
        <f t="shared" si="170"/>
        <v>2290250</v>
      </c>
      <c r="I145" s="43">
        <f t="shared" si="170"/>
        <v>44003327.230000004</v>
      </c>
      <c r="J145" s="43">
        <f t="shared" si="170"/>
        <v>14864964.23</v>
      </c>
      <c r="K145" s="43">
        <f t="shared" si="170"/>
        <v>29138363</v>
      </c>
      <c r="L145" s="43">
        <f t="shared" si="170"/>
        <v>29138363</v>
      </c>
      <c r="M145" s="11">
        <f t="shared" si="160"/>
        <v>1.9358343461919629</v>
      </c>
      <c r="N145" s="11">
        <f t="shared" si="161"/>
        <v>0.72725844159023656</v>
      </c>
      <c r="O145" s="11" t="s">
        <v>337</v>
      </c>
      <c r="P145" s="11" t="s">
        <v>337</v>
      </c>
      <c r="Q145" s="47">
        <f t="shared" si="131"/>
        <v>21272390.920000002</v>
      </c>
      <c r="R145" s="47">
        <f t="shared" si="132"/>
        <v>-5574763.0800000019</v>
      </c>
      <c r="S145" s="47">
        <f t="shared" si="133"/>
        <v>26847154</v>
      </c>
      <c r="T145" s="47">
        <f t="shared" si="134"/>
        <v>26848113</v>
      </c>
    </row>
    <row r="146" spans="1:20" s="34" customFormat="1" ht="52.2">
      <c r="A146" s="27" t="s">
        <v>99</v>
      </c>
      <c r="B146" s="27"/>
      <c r="C146" s="27"/>
      <c r="D146" s="10" t="s">
        <v>215</v>
      </c>
      <c r="E146" s="43">
        <f t="shared" ref="E146:E151" si="171">F146+G146</f>
        <v>22730936.310000002</v>
      </c>
      <c r="F146" s="43">
        <f>F147+F148+F149+F151+F150</f>
        <v>20439727.310000002</v>
      </c>
      <c r="G146" s="43">
        <f t="shared" ref="G146:H146" si="172">G147+G148+G149+G151+G150</f>
        <v>2291209</v>
      </c>
      <c r="H146" s="43">
        <f t="shared" si="172"/>
        <v>2290250</v>
      </c>
      <c r="I146" s="43">
        <f t="shared" ref="I146" si="173">J146+K146</f>
        <v>44003327.230000004</v>
      </c>
      <c r="J146" s="43">
        <f>J147+J148+J149+J151+J150</f>
        <v>14864964.23</v>
      </c>
      <c r="K146" s="43">
        <f t="shared" ref="K146:L146" si="174">K147+K148+K149+K151+K150</f>
        <v>29138363</v>
      </c>
      <c r="L146" s="43">
        <f t="shared" si="174"/>
        <v>29138363</v>
      </c>
      <c r="M146" s="11">
        <f t="shared" si="160"/>
        <v>1.9358343461919629</v>
      </c>
      <c r="N146" s="11">
        <f t="shared" si="161"/>
        <v>0.72725844159023656</v>
      </c>
      <c r="O146" s="11" t="s">
        <v>337</v>
      </c>
      <c r="P146" s="11" t="s">
        <v>337</v>
      </c>
      <c r="Q146" s="47">
        <f t="shared" si="131"/>
        <v>21272390.920000002</v>
      </c>
      <c r="R146" s="47">
        <f t="shared" si="132"/>
        <v>-5574763.0800000019</v>
      </c>
      <c r="S146" s="47">
        <f t="shared" si="133"/>
        <v>26847154</v>
      </c>
      <c r="T146" s="47">
        <f t="shared" si="134"/>
        <v>26848113</v>
      </c>
    </row>
    <row r="147" spans="1:20" s="53" customFormat="1" ht="54">
      <c r="A147" s="25" t="s">
        <v>100</v>
      </c>
      <c r="B147" s="25" t="s">
        <v>58</v>
      </c>
      <c r="C147" s="25" t="s">
        <v>3</v>
      </c>
      <c r="D147" s="26" t="s">
        <v>235</v>
      </c>
      <c r="E147" s="44">
        <f t="shared" si="171"/>
        <v>2362128.31</v>
      </c>
      <c r="F147" s="44">
        <v>2361169.31</v>
      </c>
      <c r="G147" s="44">
        <v>959</v>
      </c>
      <c r="H147" s="44"/>
      <c r="I147" s="44">
        <f t="shared" si="164"/>
        <v>2794514.23</v>
      </c>
      <c r="J147" s="44">
        <v>2794514.23</v>
      </c>
      <c r="K147" s="44"/>
      <c r="L147" s="44"/>
      <c r="M147" s="51">
        <f t="shared" si="160"/>
        <v>1.1830492942189073</v>
      </c>
      <c r="N147" s="51">
        <f t="shared" si="161"/>
        <v>1.1835297952436965</v>
      </c>
      <c r="O147" s="51">
        <f t="shared" si="162"/>
        <v>0</v>
      </c>
      <c r="P147" s="51" t="str">
        <f t="shared" si="163"/>
        <v/>
      </c>
      <c r="Q147" s="46">
        <f t="shared" si="131"/>
        <v>432385.91999999993</v>
      </c>
      <c r="R147" s="46">
        <f t="shared" si="132"/>
        <v>433344.91999999993</v>
      </c>
      <c r="S147" s="46">
        <f t="shared" si="133"/>
        <v>-959</v>
      </c>
      <c r="T147" s="46">
        <f t="shared" si="134"/>
        <v>0</v>
      </c>
    </row>
    <row r="148" spans="1:20" s="53" customFormat="1" ht="36">
      <c r="A148" s="25" t="s">
        <v>109</v>
      </c>
      <c r="B148" s="25" t="s">
        <v>8</v>
      </c>
      <c r="C148" s="25" t="s">
        <v>6</v>
      </c>
      <c r="D148" s="26" t="s">
        <v>108</v>
      </c>
      <c r="E148" s="44">
        <f t="shared" si="171"/>
        <v>44408</v>
      </c>
      <c r="F148" s="44">
        <v>44408</v>
      </c>
      <c r="G148" s="44"/>
      <c r="H148" s="44"/>
      <c r="I148" s="44">
        <f t="shared" si="164"/>
        <v>29550</v>
      </c>
      <c r="J148" s="44">
        <v>29550</v>
      </c>
      <c r="K148" s="44"/>
      <c r="L148" s="44"/>
      <c r="M148" s="51">
        <f t="shared" si="160"/>
        <v>0.66542064492884168</v>
      </c>
      <c r="N148" s="51">
        <f t="shared" si="161"/>
        <v>0.66542064492884168</v>
      </c>
      <c r="O148" s="51" t="str">
        <f t="shared" si="162"/>
        <v/>
      </c>
      <c r="P148" s="51" t="str">
        <f t="shared" si="163"/>
        <v/>
      </c>
      <c r="Q148" s="46">
        <f t="shared" si="131"/>
        <v>-14858</v>
      </c>
      <c r="R148" s="46">
        <f t="shared" si="132"/>
        <v>-14858</v>
      </c>
      <c r="S148" s="46">
        <f t="shared" si="133"/>
        <v>0</v>
      </c>
      <c r="T148" s="46">
        <f t="shared" si="134"/>
        <v>0</v>
      </c>
    </row>
    <row r="149" spans="1:20" s="53" customFormat="1">
      <c r="A149" s="25" t="s">
        <v>111</v>
      </c>
      <c r="B149" s="25" t="s">
        <v>110</v>
      </c>
      <c r="C149" s="25" t="s">
        <v>8</v>
      </c>
      <c r="D149" s="26" t="s">
        <v>2</v>
      </c>
      <c r="E149" s="44">
        <f t="shared" si="171"/>
        <v>5147400</v>
      </c>
      <c r="F149" s="44">
        <v>5147400</v>
      </c>
      <c r="G149" s="44"/>
      <c r="H149" s="44"/>
      <c r="I149" s="44">
        <f t="shared" si="164"/>
        <v>0</v>
      </c>
      <c r="J149" s="44"/>
      <c r="K149" s="44"/>
      <c r="L149" s="44"/>
      <c r="M149" s="51">
        <f t="shared" si="160"/>
        <v>0</v>
      </c>
      <c r="N149" s="51">
        <f t="shared" si="161"/>
        <v>0</v>
      </c>
      <c r="O149" s="51" t="str">
        <f t="shared" si="162"/>
        <v/>
      </c>
      <c r="P149" s="51" t="str">
        <f t="shared" si="163"/>
        <v/>
      </c>
      <c r="Q149" s="46">
        <f t="shared" si="131"/>
        <v>-5147400</v>
      </c>
      <c r="R149" s="46">
        <f t="shared" si="132"/>
        <v>-5147400</v>
      </c>
      <c r="S149" s="46">
        <f t="shared" si="133"/>
        <v>0</v>
      </c>
      <c r="T149" s="46">
        <f t="shared" si="134"/>
        <v>0</v>
      </c>
    </row>
    <row r="150" spans="1:20" s="53" customFormat="1">
      <c r="A150" s="25" t="s">
        <v>163</v>
      </c>
      <c r="B150" s="25" t="s">
        <v>161</v>
      </c>
      <c r="C150" s="25" t="s">
        <v>8</v>
      </c>
      <c r="D150" s="18" t="s">
        <v>162</v>
      </c>
      <c r="E150" s="44">
        <f t="shared" si="171"/>
        <v>1680000</v>
      </c>
      <c r="F150" s="44">
        <v>1680000</v>
      </c>
      <c r="G150" s="44"/>
      <c r="H150" s="44"/>
      <c r="I150" s="44">
        <f t="shared" si="164"/>
        <v>5088900</v>
      </c>
      <c r="J150" s="44">
        <v>3288900</v>
      </c>
      <c r="K150" s="44">
        <v>1800000</v>
      </c>
      <c r="L150" s="44">
        <v>1800000</v>
      </c>
      <c r="M150" s="51">
        <f t="shared" si="160"/>
        <v>3.0291071428571428</v>
      </c>
      <c r="N150" s="51">
        <f t="shared" si="161"/>
        <v>1.9576785714285714</v>
      </c>
      <c r="O150" s="51" t="str">
        <f t="shared" si="162"/>
        <v/>
      </c>
      <c r="P150" s="51" t="str">
        <f t="shared" si="163"/>
        <v/>
      </c>
      <c r="Q150" s="46">
        <f t="shared" si="131"/>
        <v>3408900</v>
      </c>
      <c r="R150" s="46">
        <f t="shared" si="132"/>
        <v>1608900</v>
      </c>
      <c r="S150" s="46">
        <f t="shared" si="133"/>
        <v>1800000</v>
      </c>
      <c r="T150" s="46">
        <f t="shared" si="134"/>
        <v>1800000</v>
      </c>
    </row>
    <row r="151" spans="1:20" s="53" customFormat="1" ht="54">
      <c r="A151" s="25" t="s">
        <v>159</v>
      </c>
      <c r="B151" s="25" t="s">
        <v>157</v>
      </c>
      <c r="C151" s="41" t="s">
        <v>8</v>
      </c>
      <c r="D151" s="17" t="s">
        <v>158</v>
      </c>
      <c r="E151" s="44">
        <f t="shared" si="171"/>
        <v>13497000</v>
      </c>
      <c r="F151" s="44">
        <v>11206750</v>
      </c>
      <c r="G151" s="44">
        <v>2290250</v>
      </c>
      <c r="H151" s="44">
        <f>G151</f>
        <v>2290250</v>
      </c>
      <c r="I151" s="44">
        <f t="shared" si="164"/>
        <v>36090363</v>
      </c>
      <c r="J151" s="44">
        <v>8752000</v>
      </c>
      <c r="K151" s="44">
        <v>27338363</v>
      </c>
      <c r="L151" s="44">
        <v>27338363</v>
      </c>
      <c r="M151" s="51">
        <f t="shared" si="160"/>
        <v>2.6739544343187376</v>
      </c>
      <c r="N151" s="51">
        <f t="shared" si="161"/>
        <v>0.78095790483414018</v>
      </c>
      <c r="O151" s="51" t="s">
        <v>336</v>
      </c>
      <c r="P151" s="51" t="s">
        <v>336</v>
      </c>
      <c r="Q151" s="46">
        <f t="shared" si="131"/>
        <v>22593363</v>
      </c>
      <c r="R151" s="46">
        <f t="shared" si="132"/>
        <v>-2454750</v>
      </c>
      <c r="S151" s="46">
        <f t="shared" si="133"/>
        <v>25048113</v>
      </c>
      <c r="T151" s="46">
        <f t="shared" si="134"/>
        <v>25048113</v>
      </c>
    </row>
    <row r="152" spans="1:20" s="34" customFormat="1" ht="17.399999999999999">
      <c r="A152" s="27"/>
      <c r="B152" s="27"/>
      <c r="C152" s="27"/>
      <c r="D152" s="19" t="s">
        <v>1</v>
      </c>
      <c r="E152" s="43">
        <f t="shared" ref="E152" si="175">F152+G152</f>
        <v>443570573.13999999</v>
      </c>
      <c r="F152" s="43">
        <f>F9+F37+F59+F80+F91+F100+F119+F137+F145+F76</f>
        <v>417961660.16999996</v>
      </c>
      <c r="G152" s="43">
        <f>G9+G37+G59+G80+G91+G100+G119+G137+G145+G76</f>
        <v>25608912.969999999</v>
      </c>
      <c r="H152" s="43">
        <f>H9+H37+H59+H80+H91+H100+H119+H137+H145+H76</f>
        <v>15891313.189999999</v>
      </c>
      <c r="I152" s="43">
        <f t="shared" si="164"/>
        <v>517832994.07000005</v>
      </c>
      <c r="J152" s="43">
        <f>J9+J37+J59+J80+J91+J100+J119+J137+J145+J76</f>
        <v>449711334.90000004</v>
      </c>
      <c r="K152" s="43">
        <f>K9+K37+K59+K80+K91+K100+K119+K137+K145+K76</f>
        <v>68121659.170000002</v>
      </c>
      <c r="L152" s="43">
        <f>L9+L37+L59+L80+L91+L100+L119+L137+L145+L76</f>
        <v>54951573.480000004</v>
      </c>
      <c r="M152" s="11">
        <f t="shared" si="160"/>
        <v>1.1674196293146826</v>
      </c>
      <c r="N152" s="11">
        <f t="shared" si="161"/>
        <v>1.0759631271372747</v>
      </c>
      <c r="O152" s="11">
        <f t="shared" si="162"/>
        <v>2.6600761715189662</v>
      </c>
      <c r="P152" s="11">
        <f t="shared" si="163"/>
        <v>3.4579630281643206</v>
      </c>
      <c r="Q152" s="47">
        <f t="shared" si="131"/>
        <v>74262420.930000067</v>
      </c>
      <c r="R152" s="47">
        <f t="shared" si="132"/>
        <v>31749674.730000079</v>
      </c>
      <c r="S152" s="47">
        <f t="shared" si="133"/>
        <v>42512746.200000003</v>
      </c>
      <c r="T152" s="47">
        <f t="shared" si="134"/>
        <v>39060260.290000007</v>
      </c>
    </row>
    <row r="153" spans="1:20">
      <c r="D153" s="3"/>
      <c r="E153" s="3"/>
      <c r="F153" s="3"/>
      <c r="G153" s="3"/>
      <c r="H153" s="3"/>
      <c r="I153" s="3"/>
      <c r="K153" s="4"/>
      <c r="L153" s="4"/>
      <c r="N153" s="4"/>
      <c r="O153" s="4"/>
      <c r="P153" s="4"/>
      <c r="Q153" s="5"/>
      <c r="R153" s="5"/>
      <c r="S153" s="5"/>
      <c r="T153" s="5"/>
    </row>
    <row r="154" spans="1:20">
      <c r="A154" s="31"/>
      <c r="B154" s="1"/>
      <c r="C154" s="1"/>
      <c r="D154" s="1" t="s">
        <v>184</v>
      </c>
      <c r="E154" s="2"/>
      <c r="F154" s="2"/>
      <c r="G154" s="5"/>
      <c r="H154" s="3"/>
      <c r="J154" s="6"/>
      <c r="K154" s="4" t="s">
        <v>219</v>
      </c>
      <c r="L154" s="7"/>
      <c r="M154" s="3"/>
      <c r="N154" s="4"/>
      <c r="O154" s="4"/>
      <c r="P154" s="4"/>
      <c r="Q154" s="5"/>
      <c r="R154" s="5"/>
      <c r="S154" s="5"/>
      <c r="T154" s="5"/>
    </row>
    <row r="155" spans="1:20">
      <c r="E155" s="37"/>
      <c r="F155" s="37"/>
      <c r="G155" s="5"/>
      <c r="J155" s="5"/>
      <c r="K155" s="38"/>
    </row>
    <row r="159" spans="1:20">
      <c r="H159" s="38"/>
    </row>
    <row r="160" spans="1:20">
      <c r="H160" s="38"/>
    </row>
    <row r="161" spans="8:8">
      <c r="H161" s="38"/>
    </row>
  </sheetData>
  <mergeCells count="29">
    <mergeCell ref="R4:T4"/>
    <mergeCell ref="R5:R7"/>
    <mergeCell ref="S5:T5"/>
    <mergeCell ref="S6:S7"/>
    <mergeCell ref="E3:H3"/>
    <mergeCell ref="E4:E7"/>
    <mergeCell ref="F4:H4"/>
    <mergeCell ref="M3:P3"/>
    <mergeCell ref="M4:M7"/>
    <mergeCell ref="N4:P4"/>
    <mergeCell ref="G6:G7"/>
    <mergeCell ref="O6:O7"/>
    <mergeCell ref="G5:H5"/>
    <mergeCell ref="A2:T2"/>
    <mergeCell ref="K5:L5"/>
    <mergeCell ref="N5:N7"/>
    <mergeCell ref="O5:P5"/>
    <mergeCell ref="K6:K7"/>
    <mergeCell ref="I3:L3"/>
    <mergeCell ref="I4:I7"/>
    <mergeCell ref="J4:L4"/>
    <mergeCell ref="J5:J7"/>
    <mergeCell ref="A3:A7"/>
    <mergeCell ref="B3:B7"/>
    <mergeCell ref="C3:C7"/>
    <mergeCell ref="D3:D7"/>
    <mergeCell ref="F5:F7"/>
    <mergeCell ref="Q3:T3"/>
    <mergeCell ref="Q4:Q7"/>
  </mergeCells>
  <pageMargins left="0.35433070866141736" right="0.35433070866141736" top="0.15748031496062992" bottom="0.11811023622047245" header="0.15748031496062992" footer="0.11811023622047245"/>
  <pageSetup paperSize="9" scale="35" fitToHeight="13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2024-07-19T04:56:16Z</cp:lastPrinted>
  <dcterms:created xsi:type="dcterms:W3CDTF">2012-12-15T07:44:03Z</dcterms:created>
  <dcterms:modified xsi:type="dcterms:W3CDTF">2024-07-19T04:57:24Z</dcterms:modified>
</cp:coreProperties>
</file>