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0 сесія 08.08.2024\№642 Виконання бюджет 1 пів 2024\"/>
    </mc:Choice>
  </mc:AlternateContent>
  <xr:revisionPtr revIDLastSave="0" documentId="13_ncr:1_{B7397863-48AA-4932-8D55-189B2F3C02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4" r:id="rId1"/>
  </sheets>
  <definedNames>
    <definedName name="Z_22648713_93C4_4BCC_9593_E6D578C36006_.wvu.PrintArea" localSheetId="0" hidden="1">'2024'!$A$1:$P$131</definedName>
    <definedName name="Z_22648713_93C4_4BCC_9593_E6D578C36006_.wvu.PrintTitles" localSheetId="0" hidden="1">'2024'!$10:$15</definedName>
    <definedName name="Z_22648713_93C4_4BCC_9593_E6D578C36006_.wvu.Rows" localSheetId="0" hidden="1">'2024'!$27:$27,'2024'!#REF!</definedName>
    <definedName name="_xlnm.Print_Titles" localSheetId="0">'2024'!$10:$15</definedName>
    <definedName name="_xlnm.Print_Area" localSheetId="0">'2024'!$A$1:$P$188</definedName>
  </definedNames>
  <calcPr calcId="191029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" l="1"/>
  <c r="P19" i="4"/>
  <c r="N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O28" i="4"/>
  <c r="P28" i="4"/>
  <c r="N29" i="4"/>
  <c r="O29" i="4"/>
  <c r="P29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N43" i="4"/>
  <c r="O43" i="4"/>
  <c r="P43" i="4"/>
  <c r="N44" i="4"/>
  <c r="O44" i="4"/>
  <c r="P44" i="4"/>
  <c r="N47" i="4"/>
  <c r="O47" i="4"/>
  <c r="P47" i="4"/>
  <c r="N48" i="4"/>
  <c r="O48" i="4"/>
  <c r="P48" i="4"/>
  <c r="N49" i="4"/>
  <c r="N50" i="4"/>
  <c r="N51" i="4"/>
  <c r="P51" i="4"/>
  <c r="O52" i="4"/>
  <c r="P52" i="4"/>
  <c r="N53" i="4"/>
  <c r="O53" i="4"/>
  <c r="P53" i="4"/>
  <c r="N54" i="4"/>
  <c r="P54" i="4"/>
  <c r="N55" i="4"/>
  <c r="O55" i="4"/>
  <c r="P55" i="4"/>
  <c r="N56" i="4"/>
  <c r="P56" i="4"/>
  <c r="N57" i="4"/>
  <c r="O57" i="4"/>
  <c r="P57" i="4"/>
  <c r="N58" i="4"/>
  <c r="O58" i="4"/>
  <c r="P58" i="4"/>
  <c r="N59" i="4"/>
  <c r="O59" i="4"/>
  <c r="P59" i="4"/>
  <c r="N60" i="4"/>
  <c r="O60" i="4"/>
  <c r="P60" i="4"/>
  <c r="O61" i="4"/>
  <c r="P61" i="4"/>
  <c r="N62" i="4"/>
  <c r="O62" i="4"/>
  <c r="P62" i="4"/>
  <c r="N63" i="4"/>
  <c r="O63" i="4"/>
  <c r="P63" i="4"/>
  <c r="N64" i="4"/>
  <c r="O64" i="4"/>
  <c r="P64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N70" i="4"/>
  <c r="O70" i="4"/>
  <c r="P70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O86" i="4"/>
  <c r="P86" i="4"/>
  <c r="O87" i="4"/>
  <c r="P87" i="4"/>
  <c r="N90" i="4"/>
  <c r="O90" i="4"/>
  <c r="P90" i="4"/>
  <c r="N91" i="4"/>
  <c r="O91" i="4"/>
  <c r="P91" i="4"/>
  <c r="N92" i="4"/>
  <c r="O92" i="4"/>
  <c r="P92" i="4"/>
  <c r="N95" i="4"/>
  <c r="O95" i="4"/>
  <c r="P95" i="4"/>
  <c r="N96" i="4"/>
  <c r="O96" i="4"/>
  <c r="P96" i="4"/>
  <c r="N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2" i="4"/>
  <c r="O102" i="4"/>
  <c r="P102" i="4"/>
  <c r="N103" i="4"/>
  <c r="O103" i="4"/>
  <c r="P103" i="4"/>
  <c r="N106" i="4"/>
  <c r="O106" i="4"/>
  <c r="P106" i="4"/>
  <c r="N107" i="4"/>
  <c r="O107" i="4"/>
  <c r="P107" i="4"/>
  <c r="O108" i="4"/>
  <c r="P108" i="4"/>
  <c r="N109" i="4"/>
  <c r="O109" i="4"/>
  <c r="P109" i="4"/>
  <c r="N110" i="4"/>
  <c r="O110" i="4"/>
  <c r="P110" i="4"/>
  <c r="N111" i="4"/>
  <c r="O111" i="4"/>
  <c r="P111" i="4"/>
  <c r="N112" i="4"/>
  <c r="O112" i="4"/>
  <c r="P112" i="4"/>
  <c r="N115" i="4"/>
  <c r="O115" i="4"/>
  <c r="P115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O120" i="4"/>
  <c r="P120" i="4"/>
  <c r="N121" i="4"/>
  <c r="O121" i="4"/>
  <c r="N122" i="4"/>
  <c r="O122" i="4"/>
  <c r="P122" i="4"/>
  <c r="O123" i="4"/>
  <c r="P123" i="4"/>
  <c r="N124" i="4"/>
  <c r="O124" i="4"/>
  <c r="P124" i="4"/>
  <c r="N125" i="4"/>
  <c r="O125" i="4"/>
  <c r="P125" i="4"/>
  <c r="N126" i="4"/>
  <c r="O126" i="4"/>
  <c r="P126" i="4"/>
  <c r="O127" i="4"/>
  <c r="P127" i="4"/>
  <c r="N128" i="4"/>
  <c r="O128" i="4"/>
  <c r="P128" i="4"/>
  <c r="O129" i="4"/>
  <c r="P129" i="4"/>
  <c r="N130" i="4"/>
  <c r="O130" i="4"/>
  <c r="P130" i="4"/>
  <c r="N131" i="4"/>
  <c r="P131" i="4"/>
  <c r="N132" i="4"/>
  <c r="O132" i="4"/>
  <c r="P132" i="4"/>
  <c r="N135" i="4"/>
  <c r="O135" i="4"/>
  <c r="P135" i="4"/>
  <c r="N136" i="4"/>
  <c r="O136" i="4"/>
  <c r="P136" i="4"/>
  <c r="N137" i="4"/>
  <c r="O137" i="4"/>
  <c r="P137" i="4"/>
  <c r="N138" i="4"/>
  <c r="P138" i="4"/>
  <c r="N139" i="4"/>
  <c r="O139" i="4"/>
  <c r="P139" i="4"/>
  <c r="N140" i="4"/>
  <c r="O140" i="4"/>
  <c r="P140" i="4"/>
  <c r="N141" i="4"/>
  <c r="O141" i="4"/>
  <c r="P141" i="4"/>
  <c r="N142" i="4"/>
  <c r="O142" i="4"/>
  <c r="P142" i="4"/>
  <c r="N143" i="4"/>
  <c r="O143" i="4"/>
  <c r="P143" i="4"/>
  <c r="N144" i="4"/>
  <c r="N145" i="4"/>
  <c r="O145" i="4"/>
  <c r="P145" i="4"/>
  <c r="N146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O154" i="4"/>
  <c r="P154" i="4"/>
  <c r="N155" i="4"/>
  <c r="O155" i="4"/>
  <c r="P155" i="4"/>
  <c r="N158" i="4"/>
  <c r="O158" i="4"/>
  <c r="P158" i="4"/>
  <c r="N159" i="4"/>
  <c r="O159" i="4"/>
  <c r="P159" i="4"/>
  <c r="N160" i="4"/>
  <c r="O160" i="4"/>
  <c r="P160" i="4"/>
  <c r="N162" i="4"/>
  <c r="O162" i="4"/>
  <c r="P162" i="4"/>
  <c r="O163" i="4"/>
  <c r="P163" i="4"/>
  <c r="N164" i="4"/>
  <c r="O164" i="4"/>
  <c r="P164" i="4"/>
  <c r="N165" i="4"/>
  <c r="O165" i="4"/>
  <c r="P165" i="4"/>
  <c r="N166" i="4"/>
  <c r="O166" i="4"/>
  <c r="P166" i="4"/>
  <c r="N167" i="4"/>
  <c r="O167" i="4"/>
  <c r="P167" i="4"/>
  <c r="M169" i="4"/>
  <c r="N169" i="4"/>
  <c r="O169" i="4"/>
  <c r="P169" i="4"/>
  <c r="N171" i="4"/>
  <c r="O172" i="4"/>
  <c r="P172" i="4"/>
  <c r="N173" i="4"/>
  <c r="O173" i="4"/>
  <c r="P173" i="4"/>
  <c r="N174" i="4"/>
  <c r="O174" i="4"/>
  <c r="P174" i="4"/>
  <c r="P181" i="4"/>
  <c r="L183" i="4" l="1"/>
  <c r="K183" i="4"/>
  <c r="I159" i="4" l="1"/>
  <c r="I155" i="4"/>
  <c r="I150" i="4"/>
  <c r="I151" i="4"/>
  <c r="I152" i="4"/>
  <c r="I153" i="4"/>
  <c r="I136" i="4"/>
  <c r="I137" i="4"/>
  <c r="I139" i="4"/>
  <c r="I140" i="4"/>
  <c r="I141" i="4"/>
  <c r="I142" i="4"/>
  <c r="I143" i="4"/>
  <c r="I144" i="4"/>
  <c r="I145" i="4"/>
  <c r="I116" i="4"/>
  <c r="I117" i="4"/>
  <c r="I118" i="4"/>
  <c r="I119" i="4"/>
  <c r="I120" i="4"/>
  <c r="I121" i="4"/>
  <c r="I122" i="4"/>
  <c r="I124" i="4"/>
  <c r="I125" i="4"/>
  <c r="I126" i="4"/>
  <c r="I128" i="4"/>
  <c r="I130" i="4"/>
  <c r="I131" i="4"/>
  <c r="I132" i="4"/>
  <c r="I107" i="4"/>
  <c r="I109" i="4"/>
  <c r="I110" i="4"/>
  <c r="I111" i="4"/>
  <c r="I112" i="4"/>
  <c r="I96" i="4"/>
  <c r="I98" i="4"/>
  <c r="I99" i="4"/>
  <c r="I100" i="4"/>
  <c r="I101" i="4"/>
  <c r="I102" i="4"/>
  <c r="I103" i="4"/>
  <c r="I91" i="4"/>
  <c r="I92" i="4"/>
  <c r="I74" i="4"/>
  <c r="I75" i="4"/>
  <c r="I76" i="4"/>
  <c r="I77" i="4"/>
  <c r="I78" i="4"/>
  <c r="I79" i="4"/>
  <c r="I80" i="4"/>
  <c r="I81" i="4"/>
  <c r="I82" i="4"/>
  <c r="I83" i="4"/>
  <c r="I84" i="4"/>
  <c r="I85" i="4"/>
  <c r="I48" i="4"/>
  <c r="I53" i="4"/>
  <c r="I55" i="4"/>
  <c r="I57" i="4"/>
  <c r="I58" i="4"/>
  <c r="I59" i="4"/>
  <c r="I60" i="4"/>
  <c r="I62" i="4"/>
  <c r="I63" i="4"/>
  <c r="I64" i="4"/>
  <c r="I65" i="4"/>
  <c r="I66" i="4"/>
  <c r="I67" i="4"/>
  <c r="I68" i="4"/>
  <c r="I69" i="4"/>
  <c r="I70" i="4"/>
  <c r="I20" i="4"/>
  <c r="I21" i="4"/>
  <c r="I22" i="4"/>
  <c r="I23" i="4"/>
  <c r="I24" i="4"/>
  <c r="I25" i="4"/>
  <c r="I26" i="4"/>
  <c r="I27" i="4"/>
  <c r="I29" i="4"/>
  <c r="I31" i="4"/>
  <c r="I32" i="4"/>
  <c r="I33" i="4"/>
  <c r="I34" i="4"/>
  <c r="I35" i="4"/>
  <c r="I36" i="4"/>
  <c r="I37" i="4"/>
  <c r="I38" i="4"/>
  <c r="I39" i="4"/>
  <c r="I40" i="4"/>
  <c r="I41" i="4"/>
  <c r="I43" i="4"/>
  <c r="I44" i="4"/>
  <c r="G131" i="4"/>
  <c r="O131" i="4" s="1"/>
  <c r="H182" i="4" l="1"/>
  <c r="K181" i="4"/>
  <c r="O181" i="4" s="1"/>
  <c r="K51" i="4"/>
  <c r="O51" i="4" l="1"/>
  <c r="I51" i="4"/>
  <c r="G184" i="4"/>
  <c r="K56" i="4"/>
  <c r="I56" i="4" s="1"/>
  <c r="K54" i="4"/>
  <c r="K50" i="4"/>
  <c r="K49" i="4"/>
  <c r="K19" i="4"/>
  <c r="I19" i="4" s="1"/>
  <c r="K97" i="4"/>
  <c r="G50" i="4"/>
  <c r="G49" i="4"/>
  <c r="G177" i="4" s="1"/>
  <c r="G19" i="4"/>
  <c r="L146" i="4"/>
  <c r="P146" i="4" s="1"/>
  <c r="K146" i="4"/>
  <c r="H146" i="4"/>
  <c r="G146" i="4"/>
  <c r="K114" i="4"/>
  <c r="H114" i="4"/>
  <c r="G114" i="4"/>
  <c r="E132" i="4"/>
  <c r="M132" i="4" s="1"/>
  <c r="O97" i="4" l="1"/>
  <c r="I97" i="4"/>
  <c r="O54" i="4"/>
  <c r="I54" i="4"/>
  <c r="O49" i="4"/>
  <c r="I49" i="4"/>
  <c r="O114" i="4"/>
  <c r="O146" i="4"/>
  <c r="I146" i="4"/>
  <c r="O50" i="4"/>
  <c r="I50" i="4"/>
  <c r="E128" i="4"/>
  <c r="M128" i="4" s="1"/>
  <c r="E120" i="4"/>
  <c r="M120" i="4" s="1"/>
  <c r="H50" i="4" l="1"/>
  <c r="P50" i="4" s="1"/>
  <c r="L49" i="4"/>
  <c r="P49" i="4" s="1"/>
  <c r="H49" i="4"/>
  <c r="G18" i="4"/>
  <c r="J181" i="4"/>
  <c r="F181" i="4"/>
  <c r="E181" i="4" s="1"/>
  <c r="N181" i="4" l="1"/>
  <c r="I181" i="4"/>
  <c r="M181" i="4" s="1"/>
  <c r="G176" i="4"/>
  <c r="H46" i="4"/>
  <c r="H177" i="4"/>
  <c r="F28" i="4" l="1"/>
  <c r="I174" i="4"/>
  <c r="M174" i="4" s="1"/>
  <c r="E174" i="4"/>
  <c r="H171" i="4" l="1"/>
  <c r="P171" i="4" s="1"/>
  <c r="H170" i="4"/>
  <c r="G171" i="4"/>
  <c r="O171" i="4" s="1"/>
  <c r="G170" i="4"/>
  <c r="F172" i="4"/>
  <c r="N172" i="4" s="1"/>
  <c r="F170" i="4"/>
  <c r="N170" i="4" s="1"/>
  <c r="L168" i="4"/>
  <c r="K168" i="4"/>
  <c r="J168" i="4"/>
  <c r="L161" i="4"/>
  <c r="K161" i="4"/>
  <c r="J161" i="4"/>
  <c r="K185" i="4" l="1"/>
  <c r="L185" i="4"/>
  <c r="H168" i="4"/>
  <c r="P168" i="4" s="1"/>
  <c r="P170" i="4"/>
  <c r="O168" i="4"/>
  <c r="G168" i="4"/>
  <c r="O170" i="4"/>
  <c r="F168" i="4"/>
  <c r="N168" i="4" s="1"/>
  <c r="I165" i="4"/>
  <c r="I166" i="4"/>
  <c r="I167" i="4"/>
  <c r="M167" i="4" l="1"/>
  <c r="E166" i="4"/>
  <c r="M166" i="4" s="1"/>
  <c r="E167" i="4"/>
  <c r="H161" i="4"/>
  <c r="G161" i="4"/>
  <c r="O161" i="4" s="1"/>
  <c r="F163" i="4"/>
  <c r="F161" i="4" l="1"/>
  <c r="N163" i="4"/>
  <c r="H185" i="4"/>
  <c r="P185" i="4" s="1"/>
  <c r="P161" i="4"/>
  <c r="J154" i="4"/>
  <c r="F154" i="4"/>
  <c r="J129" i="4"/>
  <c r="F129" i="4"/>
  <c r="F184" i="4" s="1"/>
  <c r="E184" i="4" s="1"/>
  <c r="J127" i="4"/>
  <c r="F127" i="4"/>
  <c r="F183" i="4" s="1"/>
  <c r="E124" i="4"/>
  <c r="M124" i="4" s="1"/>
  <c r="J123" i="4"/>
  <c r="F123" i="4"/>
  <c r="F105" i="4"/>
  <c r="E111" i="4"/>
  <c r="M111" i="4" s="1"/>
  <c r="J108" i="4"/>
  <c r="F108" i="4"/>
  <c r="N127" i="4" l="1"/>
  <c r="I127" i="4"/>
  <c r="N154" i="4"/>
  <c r="I154" i="4"/>
  <c r="F157" i="4"/>
  <c r="N161" i="4"/>
  <c r="J105" i="4"/>
  <c r="N105" i="4" s="1"/>
  <c r="N108" i="4"/>
  <c r="I108" i="4"/>
  <c r="N123" i="4"/>
  <c r="I123" i="4"/>
  <c r="N129" i="4"/>
  <c r="I129" i="4"/>
  <c r="J184" i="4"/>
  <c r="J87" i="4"/>
  <c r="F87" i="4"/>
  <c r="J86" i="4"/>
  <c r="J61" i="4"/>
  <c r="F61" i="4"/>
  <c r="E61" i="4" s="1"/>
  <c r="E62" i="4"/>
  <c r="M62" i="4" s="1"/>
  <c r="E63" i="4"/>
  <c r="M63" i="4" s="1"/>
  <c r="E64" i="4"/>
  <c r="M64" i="4" s="1"/>
  <c r="E65" i="4"/>
  <c r="M65" i="4" s="1"/>
  <c r="E59" i="4"/>
  <c r="M59" i="4" s="1"/>
  <c r="J52" i="4"/>
  <c r="F52" i="4"/>
  <c r="N52" i="4" l="1"/>
  <c r="I52" i="4"/>
  <c r="J177" i="4"/>
  <c r="J46" i="4"/>
  <c r="N184" i="4"/>
  <c r="I86" i="4"/>
  <c r="F46" i="4"/>
  <c r="F177" i="4"/>
  <c r="E177" i="4" s="1"/>
  <c r="N61" i="4"/>
  <c r="I61" i="4"/>
  <c r="M61" i="4" s="1"/>
  <c r="N87" i="4"/>
  <c r="I87" i="4"/>
  <c r="E44" i="4"/>
  <c r="M44" i="4" s="1"/>
  <c r="E38" i="4"/>
  <c r="M38" i="4" s="1"/>
  <c r="E35" i="4"/>
  <c r="M35" i="4" s="1"/>
  <c r="E34" i="4"/>
  <c r="M34" i="4" s="1"/>
  <c r="N177" i="4" l="1"/>
  <c r="N46" i="4"/>
  <c r="J28" i="4"/>
  <c r="N28" i="4" l="1"/>
  <c r="I28" i="4"/>
  <c r="L46" i="4"/>
  <c r="P46" i="4" s="1"/>
  <c r="J89" i="4"/>
  <c r="L89" i="4"/>
  <c r="K89" i="4"/>
  <c r="H89" i="4"/>
  <c r="G89" i="4"/>
  <c r="F89" i="4"/>
  <c r="K88" i="4" l="1"/>
  <c r="O89" i="4"/>
  <c r="L88" i="4"/>
  <c r="P89" i="4"/>
  <c r="N89" i="4"/>
  <c r="K46" i="4"/>
  <c r="K179" i="4" l="1"/>
  <c r="G179" i="4"/>
  <c r="G46" i="4"/>
  <c r="O46" i="4" s="1"/>
  <c r="L179" i="4"/>
  <c r="L178" i="4"/>
  <c r="L177" i="4"/>
  <c r="P177" i="4" s="1"/>
  <c r="K177" i="4"/>
  <c r="G185" i="4"/>
  <c r="O185" i="4" s="1"/>
  <c r="G180" i="4"/>
  <c r="H179" i="4"/>
  <c r="H178" i="4"/>
  <c r="E36" i="4"/>
  <c r="M36" i="4" s="1"/>
  <c r="O177" i="4" l="1"/>
  <c r="I177" i="4"/>
  <c r="M177" i="4" s="1"/>
  <c r="P178" i="4"/>
  <c r="P179" i="4"/>
  <c r="L157" i="4"/>
  <c r="P157" i="4" s="1"/>
  <c r="K157" i="4"/>
  <c r="O157" i="4" s="1"/>
  <c r="H157" i="4"/>
  <c r="G157" i="4"/>
  <c r="H105" i="4"/>
  <c r="G105" i="4"/>
  <c r="L72" i="4"/>
  <c r="K72" i="4"/>
  <c r="H72" i="4"/>
  <c r="G72" i="4"/>
  <c r="P72" i="4" l="1"/>
  <c r="L184" i="4"/>
  <c r="H144" i="4"/>
  <c r="G144" i="4"/>
  <c r="K138" i="4"/>
  <c r="G138" i="4"/>
  <c r="L121" i="4"/>
  <c r="E66" i="4"/>
  <c r="M66" i="4" s="1"/>
  <c r="P121" i="4" l="1"/>
  <c r="L114" i="4"/>
  <c r="P114" i="4" s="1"/>
  <c r="P144" i="4"/>
  <c r="H183" i="4"/>
  <c r="P183" i="4" s="1"/>
  <c r="O138" i="4"/>
  <c r="I138" i="4"/>
  <c r="O144" i="4"/>
  <c r="G183" i="4"/>
  <c r="K42" i="4"/>
  <c r="H42" i="4"/>
  <c r="K178" i="4"/>
  <c r="G178" i="4"/>
  <c r="J185" i="4"/>
  <c r="F185" i="4"/>
  <c r="E185" i="4" s="1"/>
  <c r="J30" i="4"/>
  <c r="F30" i="4"/>
  <c r="F182" i="4" s="1"/>
  <c r="N185" i="4" l="1"/>
  <c r="I185" i="4"/>
  <c r="M185" i="4" s="1"/>
  <c r="K184" i="4"/>
  <c r="O42" i="4"/>
  <c r="I42" i="4"/>
  <c r="O183" i="4"/>
  <c r="E183" i="4"/>
  <c r="J182" i="4"/>
  <c r="N30" i="4"/>
  <c r="O178" i="4"/>
  <c r="P42" i="4"/>
  <c r="H184" i="4"/>
  <c r="P184" i="4" s="1"/>
  <c r="J157" i="4"/>
  <c r="N157" i="4" s="1"/>
  <c r="F86" i="4"/>
  <c r="N86" i="4" s="1"/>
  <c r="N182" i="4" l="1"/>
  <c r="O184" i="4"/>
  <c r="I184" i="4"/>
  <c r="M184" i="4" s="1"/>
  <c r="J183" i="4"/>
  <c r="F72" i="4"/>
  <c r="F179" i="4"/>
  <c r="E179" i="4" s="1"/>
  <c r="J72" i="4"/>
  <c r="N72" i="4" s="1"/>
  <c r="J179" i="4"/>
  <c r="N179" i="4" l="1"/>
  <c r="I179" i="4"/>
  <c r="M179" i="4" s="1"/>
  <c r="N183" i="4"/>
  <c r="I183" i="4"/>
  <c r="M183" i="4" s="1"/>
  <c r="L30" i="4"/>
  <c r="L180" i="4"/>
  <c r="L182" i="4" l="1"/>
  <c r="P182" i="4" s="1"/>
  <c r="P30" i="4"/>
  <c r="K30" i="4"/>
  <c r="G30" i="4"/>
  <c r="E143" i="4"/>
  <c r="M143" i="4" s="1"/>
  <c r="H88" i="4"/>
  <c r="P88" i="4" s="1"/>
  <c r="J180" i="4"/>
  <c r="G182" i="4" l="1"/>
  <c r="G17" i="4"/>
  <c r="O30" i="4"/>
  <c r="K182" i="4"/>
  <c r="I30" i="4"/>
  <c r="E91" i="4"/>
  <c r="M91" i="4" s="1"/>
  <c r="O182" i="4" l="1"/>
  <c r="I182" i="4"/>
  <c r="M182" i="4" s="1"/>
  <c r="H194" i="4"/>
  <c r="E182" i="4"/>
  <c r="E42" i="4"/>
  <c r="M42" i="4" s="1"/>
  <c r="J178" i="4" l="1"/>
  <c r="I178" i="4" l="1"/>
  <c r="H180" i="4"/>
  <c r="P180" i="4" s="1"/>
  <c r="K180" i="4"/>
  <c r="O180" i="4" l="1"/>
  <c r="I180" i="4"/>
  <c r="G88" i="4"/>
  <c r="O88" i="4" s="1"/>
  <c r="I89" i="4"/>
  <c r="M89" i="4" l="1"/>
  <c r="E89" i="4"/>
  <c r="E162" i="4"/>
  <c r="M162" i="4" s="1"/>
  <c r="I90" i="4" l="1"/>
  <c r="M90" i="4" s="1"/>
  <c r="E92" i="4"/>
  <c r="M92" i="4" s="1"/>
  <c r="E90" i="4"/>
  <c r="F88" i="4"/>
  <c r="E88" i="4" l="1"/>
  <c r="J88" i="4"/>
  <c r="N88" i="4" s="1"/>
  <c r="I88" i="4" l="1"/>
  <c r="M88" i="4" s="1"/>
  <c r="K134" i="4" l="1"/>
  <c r="G134" i="4"/>
  <c r="L71" i="4"/>
  <c r="O134" i="4" l="1"/>
  <c r="L134" i="4"/>
  <c r="H134" i="4"/>
  <c r="F94" i="4"/>
  <c r="E165" i="4"/>
  <c r="M165" i="4" s="1"/>
  <c r="E153" i="4"/>
  <c r="M153" i="4" s="1"/>
  <c r="E137" i="4"/>
  <c r="M137" i="4" s="1"/>
  <c r="P134" i="4" l="1"/>
  <c r="F114" i="4"/>
  <c r="G94" i="4"/>
  <c r="H94" i="4"/>
  <c r="J94" i="4"/>
  <c r="N94" i="4" s="1"/>
  <c r="L94" i="4"/>
  <c r="P94" i="4" s="1"/>
  <c r="E98" i="4"/>
  <c r="M98" i="4" s="1"/>
  <c r="J114" i="4" l="1"/>
  <c r="N114" i="4" s="1"/>
  <c r="I72" i="4" l="1"/>
  <c r="K94" i="4" l="1"/>
  <c r="O94" i="4" s="1"/>
  <c r="I173" i="4" l="1"/>
  <c r="I172" i="4"/>
  <c r="F180" i="4" l="1"/>
  <c r="E180" i="4" l="1"/>
  <c r="M180" i="4" s="1"/>
  <c r="N180" i="4"/>
  <c r="E173" i="4"/>
  <c r="M173" i="4" s="1"/>
  <c r="E172" i="4"/>
  <c r="M172" i="4" s="1"/>
  <c r="I164" i="4"/>
  <c r="E164" i="4"/>
  <c r="E152" i="4"/>
  <c r="M152" i="4" s="1"/>
  <c r="M164" i="4" l="1"/>
  <c r="J71" i="4"/>
  <c r="E67" i="4"/>
  <c r="M67" i="4" s="1"/>
  <c r="K71" i="4" l="1"/>
  <c r="E130" i="4" l="1"/>
  <c r="M130" i="4" s="1"/>
  <c r="H104" i="4" l="1"/>
  <c r="G104" i="4"/>
  <c r="J156" i="4"/>
  <c r="N156" i="4" s="1"/>
  <c r="H156" i="4"/>
  <c r="G156" i="4"/>
  <c r="F156" i="4"/>
  <c r="H148" i="4" l="1"/>
  <c r="G148" i="4"/>
  <c r="F148" i="4"/>
  <c r="F147" i="4" s="1"/>
  <c r="J134" i="4"/>
  <c r="H133" i="4"/>
  <c r="G133" i="4"/>
  <c r="F134" i="4"/>
  <c r="J133" i="4" l="1"/>
  <c r="N134" i="4"/>
  <c r="J104" i="4"/>
  <c r="J148" i="4"/>
  <c r="N148" i="4" s="1"/>
  <c r="F178" i="4"/>
  <c r="E178" i="4" l="1"/>
  <c r="M178" i="4" s="1"/>
  <c r="N178" i="4"/>
  <c r="J147" i="4"/>
  <c r="N147" i="4" s="1"/>
  <c r="G147" i="4"/>
  <c r="H147" i="4"/>
  <c r="F133" i="4"/>
  <c r="N133" i="4" s="1"/>
  <c r="E114" i="4"/>
  <c r="H113" i="4"/>
  <c r="F113" i="4"/>
  <c r="G71" i="4"/>
  <c r="H71" i="4"/>
  <c r="P71" i="4" s="1"/>
  <c r="F71" i="4"/>
  <c r="N71" i="4" s="1"/>
  <c r="H18" i="4"/>
  <c r="F18" i="4"/>
  <c r="F17" i="4" s="1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8" i="4"/>
  <c r="M28" i="4" s="1"/>
  <c r="E29" i="4"/>
  <c r="M29" i="4" s="1"/>
  <c r="E31" i="4"/>
  <c r="M31" i="4" s="1"/>
  <c r="E32" i="4"/>
  <c r="M32" i="4" s="1"/>
  <c r="E33" i="4"/>
  <c r="M33" i="4" s="1"/>
  <c r="E37" i="4"/>
  <c r="M37" i="4" s="1"/>
  <c r="E39" i="4"/>
  <c r="M39" i="4" s="1"/>
  <c r="E40" i="4"/>
  <c r="M40" i="4" s="1"/>
  <c r="E41" i="4"/>
  <c r="M41" i="4" s="1"/>
  <c r="E43" i="4"/>
  <c r="M43" i="4" s="1"/>
  <c r="E47" i="4"/>
  <c r="E48" i="4"/>
  <c r="M48" i="4" s="1"/>
  <c r="E49" i="4"/>
  <c r="M49" i="4" s="1"/>
  <c r="E50" i="4"/>
  <c r="M50" i="4" s="1"/>
  <c r="E51" i="4"/>
  <c r="M51" i="4" s="1"/>
  <c r="E52" i="4"/>
  <c r="M52" i="4" s="1"/>
  <c r="E53" i="4"/>
  <c r="M53" i="4" s="1"/>
  <c r="E54" i="4"/>
  <c r="M54" i="4" s="1"/>
  <c r="E55" i="4"/>
  <c r="M55" i="4" s="1"/>
  <c r="E56" i="4"/>
  <c r="M56" i="4" s="1"/>
  <c r="E57" i="4"/>
  <c r="M57" i="4" s="1"/>
  <c r="E58" i="4"/>
  <c r="M58" i="4" s="1"/>
  <c r="E60" i="4"/>
  <c r="M60" i="4" s="1"/>
  <c r="E68" i="4"/>
  <c r="M68" i="4" s="1"/>
  <c r="E69" i="4"/>
  <c r="M69" i="4" s="1"/>
  <c r="E70" i="4"/>
  <c r="M70" i="4" s="1"/>
  <c r="E73" i="4"/>
  <c r="E74" i="4"/>
  <c r="M74" i="4" s="1"/>
  <c r="E75" i="4"/>
  <c r="M75" i="4" s="1"/>
  <c r="E76" i="4"/>
  <c r="M76" i="4" s="1"/>
  <c r="E77" i="4"/>
  <c r="M77" i="4" s="1"/>
  <c r="E78" i="4"/>
  <c r="M78" i="4" s="1"/>
  <c r="E79" i="4"/>
  <c r="M79" i="4" s="1"/>
  <c r="E80" i="4"/>
  <c r="M80" i="4" s="1"/>
  <c r="E81" i="4"/>
  <c r="M81" i="4" s="1"/>
  <c r="E82" i="4"/>
  <c r="M82" i="4" s="1"/>
  <c r="E83" i="4"/>
  <c r="M83" i="4" s="1"/>
  <c r="E84" i="4"/>
  <c r="M84" i="4" s="1"/>
  <c r="E85" i="4"/>
  <c r="M85" i="4" s="1"/>
  <c r="E86" i="4"/>
  <c r="M86" i="4" s="1"/>
  <c r="E87" i="4"/>
  <c r="M87" i="4" s="1"/>
  <c r="E95" i="4"/>
  <c r="E96" i="4"/>
  <c r="M96" i="4" s="1"/>
  <c r="E97" i="4"/>
  <c r="M97" i="4" s="1"/>
  <c r="E99" i="4"/>
  <c r="M99" i="4" s="1"/>
  <c r="E100" i="4"/>
  <c r="M100" i="4" s="1"/>
  <c r="E101" i="4"/>
  <c r="M101" i="4" s="1"/>
  <c r="E102" i="4"/>
  <c r="M102" i="4" s="1"/>
  <c r="E103" i="4"/>
  <c r="M103" i="4" s="1"/>
  <c r="E106" i="4"/>
  <c r="E107" i="4"/>
  <c r="M107" i="4" s="1"/>
  <c r="E108" i="4"/>
  <c r="M108" i="4" s="1"/>
  <c r="E109" i="4"/>
  <c r="M109" i="4" s="1"/>
  <c r="E110" i="4"/>
  <c r="M110" i="4" s="1"/>
  <c r="E112" i="4"/>
  <c r="M112" i="4" s="1"/>
  <c r="E115" i="4"/>
  <c r="E116" i="4"/>
  <c r="M116" i="4" s="1"/>
  <c r="E117" i="4"/>
  <c r="M117" i="4" s="1"/>
  <c r="E118" i="4"/>
  <c r="M118" i="4" s="1"/>
  <c r="E119" i="4"/>
  <c r="M119" i="4" s="1"/>
  <c r="E121" i="4"/>
  <c r="M121" i="4" s="1"/>
  <c r="E122" i="4"/>
  <c r="M122" i="4" s="1"/>
  <c r="E123" i="4"/>
  <c r="M123" i="4" s="1"/>
  <c r="E125" i="4"/>
  <c r="M125" i="4" s="1"/>
  <c r="E126" i="4"/>
  <c r="M126" i="4" s="1"/>
  <c r="E127" i="4"/>
  <c r="M127" i="4" s="1"/>
  <c r="E129" i="4"/>
  <c r="M129" i="4" s="1"/>
  <c r="E131" i="4"/>
  <c r="M131" i="4" s="1"/>
  <c r="E135" i="4"/>
  <c r="E136" i="4"/>
  <c r="M136" i="4" s="1"/>
  <c r="E138" i="4"/>
  <c r="M138" i="4" s="1"/>
  <c r="E139" i="4"/>
  <c r="M139" i="4" s="1"/>
  <c r="E140" i="4"/>
  <c r="M140" i="4" s="1"/>
  <c r="E141" i="4"/>
  <c r="M141" i="4" s="1"/>
  <c r="E142" i="4"/>
  <c r="M142" i="4" s="1"/>
  <c r="E144" i="4"/>
  <c r="M144" i="4" s="1"/>
  <c r="E145" i="4"/>
  <c r="M145" i="4" s="1"/>
  <c r="E146" i="4"/>
  <c r="M146" i="4" s="1"/>
  <c r="E149" i="4"/>
  <c r="E150" i="4"/>
  <c r="M150" i="4" s="1"/>
  <c r="E151" i="4"/>
  <c r="M151" i="4" s="1"/>
  <c r="E154" i="4"/>
  <c r="M154" i="4" s="1"/>
  <c r="E155" i="4"/>
  <c r="M155" i="4" s="1"/>
  <c r="E158" i="4"/>
  <c r="E159" i="4"/>
  <c r="M159" i="4" s="1"/>
  <c r="E160" i="4"/>
  <c r="E161" i="4"/>
  <c r="E163" i="4"/>
  <c r="E168" i="4"/>
  <c r="E170" i="4"/>
  <c r="E171" i="4"/>
  <c r="E46" i="4" l="1"/>
  <c r="H17" i="4"/>
  <c r="H16" i="4" s="1"/>
  <c r="H176" i="4"/>
  <c r="P176" i="4" s="1"/>
  <c r="H186" i="4"/>
  <c r="E17" i="4"/>
  <c r="G186" i="4"/>
  <c r="F176" i="4"/>
  <c r="E176" i="4" s="1"/>
  <c r="G93" i="4"/>
  <c r="F104" i="4"/>
  <c r="N104" i="4" s="1"/>
  <c r="F93" i="4"/>
  <c r="H93" i="4"/>
  <c r="E105" i="4"/>
  <c r="E30" i="4"/>
  <c r="M30" i="4" s="1"/>
  <c r="E157" i="4"/>
  <c r="E148" i="4"/>
  <c r="E72" i="4"/>
  <c r="M72" i="4" s="1"/>
  <c r="E156" i="4"/>
  <c r="E147" i="4"/>
  <c r="E134" i="4"/>
  <c r="E133" i="4"/>
  <c r="G113" i="4"/>
  <c r="E113" i="4" s="1"/>
  <c r="E94" i="4"/>
  <c r="E71" i="4"/>
  <c r="H45" i="4"/>
  <c r="E18" i="4"/>
  <c r="H189" i="4" l="1"/>
  <c r="F16" i="4"/>
  <c r="H175" i="4"/>
  <c r="E93" i="4"/>
  <c r="F45" i="4"/>
  <c r="E104" i="4"/>
  <c r="G45" i="4"/>
  <c r="F186" i="4"/>
  <c r="G16" i="4"/>
  <c r="E186" i="4" l="1"/>
  <c r="F189" i="4"/>
  <c r="F175" i="4"/>
  <c r="E16" i="4"/>
  <c r="G175" i="4"/>
  <c r="G189" i="4" s="1"/>
  <c r="E45" i="4"/>
  <c r="I158" i="4"/>
  <c r="M158" i="4" s="1"/>
  <c r="E175" i="4" l="1"/>
  <c r="E189" i="4" s="1"/>
  <c r="I149" i="4" l="1"/>
  <c r="M149" i="4" s="1"/>
  <c r="K156" i="4" l="1"/>
  <c r="O156" i="4" s="1"/>
  <c r="L156" i="4"/>
  <c r="P156" i="4" s="1"/>
  <c r="J18" i="4" l="1"/>
  <c r="N18" i="4" l="1"/>
  <c r="J176" i="4"/>
  <c r="J17" i="4"/>
  <c r="N17" i="4" s="1"/>
  <c r="J113" i="4"/>
  <c r="N113" i="4" s="1"/>
  <c r="N176" i="4" l="1"/>
  <c r="K18" i="4"/>
  <c r="L18" i="4"/>
  <c r="I47" i="4"/>
  <c r="I73" i="4"/>
  <c r="M73" i="4" s="1"/>
  <c r="I95" i="4"/>
  <c r="M95" i="4" s="1"/>
  <c r="I106" i="4"/>
  <c r="M106" i="4" s="1"/>
  <c r="I115" i="4"/>
  <c r="M115" i="4" s="1"/>
  <c r="I156" i="4"/>
  <c r="M156" i="4" s="1"/>
  <c r="I157" i="4"/>
  <c r="M157" i="4" s="1"/>
  <c r="I160" i="4"/>
  <c r="M160" i="4" s="1"/>
  <c r="I161" i="4"/>
  <c r="M161" i="4" s="1"/>
  <c r="I170" i="4"/>
  <c r="K17" i="4" l="1"/>
  <c r="O17" i="4" s="1"/>
  <c r="K176" i="4"/>
  <c r="I176" i="4" s="1"/>
  <c r="M176" i="4" s="1"/>
  <c r="M170" i="4"/>
  <c r="M47" i="4"/>
  <c r="I46" i="4"/>
  <c r="M46" i="4" s="1"/>
  <c r="P18" i="4"/>
  <c r="L17" i="4"/>
  <c r="P17" i="4" s="1"/>
  <c r="I94" i="4"/>
  <c r="M94" i="4" s="1"/>
  <c r="L93" i="4"/>
  <c r="P93" i="4" s="1"/>
  <c r="K93" i="4"/>
  <c r="O93" i="4" s="1"/>
  <c r="K148" i="4"/>
  <c r="O148" i="4" s="1"/>
  <c r="L148" i="4"/>
  <c r="P148" i="4" s="1"/>
  <c r="J93" i="4"/>
  <c r="N93" i="4" s="1"/>
  <c r="I163" i="4"/>
  <c r="M163" i="4" s="1"/>
  <c r="I18" i="4"/>
  <c r="M18" i="4" l="1"/>
  <c r="I17" i="4"/>
  <c r="M17" i="4" s="1"/>
  <c r="K186" i="4"/>
  <c r="L186" i="4"/>
  <c r="J186" i="4"/>
  <c r="I71" i="4"/>
  <c r="M71" i="4" s="1"/>
  <c r="K45" i="4"/>
  <c r="O45" i="4" s="1"/>
  <c r="L45" i="4"/>
  <c r="P45" i="4" s="1"/>
  <c r="L147" i="4"/>
  <c r="P147" i="4" s="1"/>
  <c r="K147" i="4"/>
  <c r="O147" i="4" s="1"/>
  <c r="I93" i="4"/>
  <c r="M93" i="4" s="1"/>
  <c r="J16" i="4"/>
  <c r="K16" i="4"/>
  <c r="O16" i="4" s="1"/>
  <c r="L16" i="4"/>
  <c r="P16" i="4" s="1"/>
  <c r="J45" i="4"/>
  <c r="N45" i="4" s="1"/>
  <c r="O186" i="4" l="1"/>
  <c r="J189" i="4"/>
  <c r="N186" i="4"/>
  <c r="N16" i="4"/>
  <c r="J175" i="4"/>
  <c r="P186" i="4"/>
  <c r="I148" i="4"/>
  <c r="M148" i="4" s="1"/>
  <c r="I147" i="4"/>
  <c r="M147" i="4" s="1"/>
  <c r="I16" i="4"/>
  <c r="M16" i="4" s="1"/>
  <c r="I45" i="4"/>
  <c r="M45" i="4" s="1"/>
  <c r="N175" i="4" l="1"/>
  <c r="N189" i="4" s="1"/>
  <c r="I135" i="4"/>
  <c r="M135" i="4" s="1"/>
  <c r="K133" i="4" l="1"/>
  <c r="O133" i="4" s="1"/>
  <c r="L133" i="4"/>
  <c r="P133" i="4" s="1"/>
  <c r="K113" i="4" l="1"/>
  <c r="O113" i="4" s="1"/>
  <c r="L113" i="4"/>
  <c r="P113" i="4" s="1"/>
  <c r="I114" i="4" l="1"/>
  <c r="M114" i="4" s="1"/>
  <c r="L105" i="4"/>
  <c r="P105" i="4" s="1"/>
  <c r="I113" i="4"/>
  <c r="M113" i="4" s="1"/>
  <c r="L104" i="4" l="1"/>
  <c r="K105" i="4"/>
  <c r="O105" i="4" s="1"/>
  <c r="L175" i="4" l="1"/>
  <c r="P104" i="4"/>
  <c r="I105" i="4"/>
  <c r="M105" i="4" s="1"/>
  <c r="K104" i="4"/>
  <c r="O104" i="4" s="1"/>
  <c r="P175" i="4" l="1"/>
  <c r="P189" i="4" s="1"/>
  <c r="L188" i="4"/>
  <c r="L189" i="4"/>
  <c r="K175" i="4"/>
  <c r="I104" i="4"/>
  <c r="M104" i="4" s="1"/>
  <c r="O175" i="4" l="1"/>
  <c r="O189" i="4" s="1"/>
  <c r="K189" i="4"/>
  <c r="K188" i="4"/>
  <c r="I175" i="4"/>
  <c r="M175" i="4" s="1"/>
  <c r="I134" i="4"/>
  <c r="M134" i="4" s="1"/>
  <c r="I171" i="4"/>
  <c r="M171" i="4" l="1"/>
  <c r="I168" i="4"/>
  <c r="M168" i="4" s="1"/>
  <c r="I133" i="4"/>
  <c r="M133" i="4" s="1"/>
  <c r="I186" i="4" l="1"/>
  <c r="I189" i="4" l="1"/>
  <c r="M186" i="4"/>
  <c r="M189" i="4" s="1"/>
</calcChain>
</file>

<file path=xl/sharedStrings.xml><?xml version="1.0" encoding="utf-8"?>
<sst xmlns="http://schemas.openxmlformats.org/spreadsheetml/2006/main" count="588" uniqueCount="374">
  <si>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</si>
  <si>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</si>
  <si>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</si>
  <si>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</si>
  <si>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</si>
  <si>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</si>
  <si>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</si>
  <si>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</si>
  <si>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</si>
  <si>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</si>
  <si>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</si>
  <si>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</si>
  <si>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</si>
  <si>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</si>
  <si>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</si>
  <si>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</si>
  <si>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</si>
  <si>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</si>
  <si>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</si>
  <si>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</si>
  <si>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</si>
  <si>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</si>
  <si>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</si>
  <si>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</si>
  <si>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</si>
  <si>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</si>
  <si>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</si>
  <si>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</si>
  <si>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</si>
  <si>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</si>
  <si>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</si>
  <si>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</si>
  <si>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</si>
  <si>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</si>
  <si>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</si>
  <si>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</si>
  <si>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</si>
  <si>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</si>
  <si>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</si>
  <si>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</si>
  <si>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</si>
  <si>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</si>
  <si>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</si>
  <si>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</si>
  <si>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</si>
  <si>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</si>
  <si>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</si>
  <si>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</si>
  <si>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</si>
  <si>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</si>
  <si>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</si>
  <si>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</si>
  <si>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</si>
  <si>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</si>
  <si>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</si>
  <si>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</si>
  <si>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</si>
  <si>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</si>
  <si>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</si>
  <si>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</si>
  <si>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</si>
  <si>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</si>
  <si>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</si>
  <si>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</si>
  <si>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</si>
  <si>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</si>
  <si>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</si>
  <si>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</si>
  <si>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</si>
  <si>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</si>
  <si>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</si>
  <si>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</si>
  <si>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</si>
  <si>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</si>
  <si>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</si>
  <si>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</si>
  <si>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</si>
  <si>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</si>
  <si>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</si>
  <si>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</si>
  <si>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</si>
  <si>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</si>
  <si>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</si>
  <si>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</si>
  <si>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</si>
  <si>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</si>
  <si>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</si>
  <si>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</si>
  <si>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</si>
  <si>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</si>
  <si>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</si>
  <si>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</si>
  <si>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</si>
  <si>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</si>
  <si>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</si>
  <si>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</si>
  <si>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</si>
  <si>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</si>
  <si>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</si>
  <si>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</si>
  <si>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</si>
  <si>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3110180</t>
  </si>
  <si>
    <t>Інша діяльність у сфері державного управління</t>
  </si>
  <si>
    <t>3710180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</si>
  <si>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</si>
  <si>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</si>
  <si>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</si>
  <si>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</si>
  <si>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</si>
  <si>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</si>
  <si>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</si>
  <si>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</si>
  <si>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</si>
  <si>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</si>
  <si>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</si>
  <si>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</si>
  <si>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</si>
  <si>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</si>
  <si>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</si>
  <si>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</si>
  <si>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</si>
  <si>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</si>
  <si>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</si>
  <si>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</si>
  <si>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</si>
  <si>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</si>
  <si>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8340</t>
  </si>
  <si>
    <t>0218340</t>
  </si>
  <si>
    <t>0763</t>
  </si>
  <si>
    <t>1218340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</si>
  <si>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</si>
  <si>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</si>
  <si>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</si>
  <si>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</si>
  <si>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</si>
  <si>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</si>
  <si>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</si>
  <si>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</si>
  <si>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</si>
  <si>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</si>
  <si>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</si>
  <si>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</si>
  <si>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</si>
  <si>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</si>
  <si>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</si>
  <si>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</si>
  <si>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</si>
  <si>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</si>
  <si>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</si>
  <si>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</si>
  <si>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</si>
  <si>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</si>
  <si>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</si>
  <si>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</si>
  <si>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</si>
  <si>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</si>
  <si>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</si>
  <si>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 т.ч. за програмами: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</si>
  <si>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</si>
  <si>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</si>
  <si>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</si>
  <si>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</si>
  <si>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</si>
  <si>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</si>
  <si>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</si>
  <si>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</si>
  <si>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</si>
  <si>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</si>
  <si>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</si>
  <si>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</si>
  <si>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</si>
  <si>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</si>
  <si>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</si>
  <si>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</si>
  <si>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</si>
  <si>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</si>
  <si>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</si>
  <si>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</si>
  <si>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</si>
  <si>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</si>
  <si>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</si>
  <si>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</si>
  <si>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</si>
  <si>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</si>
  <si>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</si>
  <si>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</si>
  <si>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</si>
  <si>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</si>
  <si>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</si>
  <si>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</si>
  <si>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</si>
  <si>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</si>
  <si>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</si>
  <si>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</si>
  <si>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</si>
  <si>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</si>
  <si>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</si>
  <si>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</si>
  <si>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</si>
  <si>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</si>
  <si>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</si>
  <si>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</si>
  <si>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</si>
  <si>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</si>
  <si>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</si>
  <si>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</si>
  <si>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</si>
  <si>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</si>
  <si>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</si>
  <si>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</si>
  <si>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</si>
  <si>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</si>
  <si>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</si>
  <si>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</si>
  <si>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</si>
  <si>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</si>
  <si>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</si>
  <si>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</si>
  <si>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</si>
  <si>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</si>
  <si>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</si>
  <si>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</si>
  <si>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</si>
  <si>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</si>
  <si>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</si>
  <si>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</si>
  <si>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</si>
  <si>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</si>
  <si>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</si>
  <si>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</si>
  <si>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</si>
  <si>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</si>
  <si>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</si>
  <si>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</si>
  <si>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</si>
  <si>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</si>
  <si>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</si>
  <si>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</si>
  <si>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</si>
  <si>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</si>
  <si>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</si>
  <si>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</si>
  <si>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</si>
  <si>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</si>
  <si>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</si>
  <si>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</si>
  <si>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</si>
  <si>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</si>
  <si>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</si>
  <si>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</si>
  <si>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</si>
  <si>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</si>
  <si>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</si>
  <si>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</si>
  <si>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</si>
  <si>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</si>
  <si>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</si>
  <si>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</si>
  <si>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</si>
  <si>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</si>
  <si>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1010180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</si>
  <si>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</si>
  <si>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</si>
  <si>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</si>
  <si>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молодi та спорту Чорноморської мiської ради Одеського району Одеської областi</t>
  </si>
  <si>
    <t>1110180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</si>
  <si>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</si>
  <si>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</si>
  <si>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1210180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</si>
  <si>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</si>
  <si>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</si>
  <si>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</si>
  <si>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1510180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</si>
  <si>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</si>
  <si>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</si>
  <si>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</si>
  <si>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</si>
  <si>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</si>
  <si>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</si>
  <si>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</si>
  <si>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</si>
  <si>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</si>
  <si>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</si>
  <si>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</si>
  <si>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</si>
  <si>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</si>
  <si>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 xml:space="preserve">Начальник фінансового управління 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</si>
  <si>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</si>
  <si>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</si>
  <si>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</si>
  <si>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</si>
  <si>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</si>
  <si>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</si>
  <si>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</si>
  <si>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</si>
  <si>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</si>
  <si>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</si>
  <si>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</si>
  <si>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</si>
  <si>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</si>
  <si>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</si>
  <si>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</si>
  <si>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</si>
  <si>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</si>
  <si>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Управління освiти Чорноморської мiської ради Одеського району Одеської областi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</si>
  <si>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</si>
  <si>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</si>
  <si>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</si>
  <si>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</si>
  <si>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</si>
  <si>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</si>
  <si>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</si>
  <si>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</si>
  <si>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</si>
  <si>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</si>
  <si>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</si>
  <si>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</si>
  <si>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</si>
  <si>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</si>
  <si>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</si>
  <si>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</si>
  <si>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0910180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</si>
  <si>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</si>
  <si>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1517368</t>
  </si>
  <si>
    <t>7368</t>
  </si>
  <si>
    <t>Виконання інвестиційних проектів за рахунок субвенцій з інших бюджетів</t>
  </si>
  <si>
    <t>в т.ч.: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</si>
  <si>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</si>
  <si>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</si>
  <si>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</si>
  <si>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</si>
  <si>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</si>
  <si>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</si>
  <si>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</si>
  <si>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</si>
  <si>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</si>
  <si>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</si>
  <si>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</si>
  <si>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</si>
  <si>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</si>
  <si>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</si>
  <si>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</si>
  <si>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</si>
  <si>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0217130</t>
  </si>
  <si>
    <t>0218110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</si>
  <si>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</si>
  <si>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</si>
  <si>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</si>
  <si>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</si>
  <si>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</si>
  <si>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</si>
  <si>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</si>
  <si>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</si>
  <si>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</si>
  <si>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</si>
  <si>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</si>
  <si>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</si>
  <si>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</si>
  <si>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</si>
  <si>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</si>
  <si>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</si>
  <si>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</si>
  <si>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</si>
  <si>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про виконання видатків бюджету  Чорноморської міської територіальної громади  за  1 півріччя  2024 року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</si>
  <si>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</si>
  <si>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</si>
  <si>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8761</t>
  </si>
  <si>
    <t>у 19 разів</t>
  </si>
  <si>
    <t>у 12 разів</t>
  </si>
  <si>
    <t>у 2,4 рази</t>
  </si>
  <si>
    <t>більше 100</t>
  </si>
  <si>
    <t>більше 200</t>
  </si>
  <si>
    <t>у 1,3 рази</t>
  </si>
  <si>
    <t>від    08.08. 2024  № 642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</si>
</sst>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;\-#,##0.00;#,&quot;-&quot;"/>
    <numFmt numFmtId="166" formatCode="#,##0;\-#,##0;#,&quot;-&quot;"/>
    <numFmt numFmtId="167" formatCode="0.0%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4" fillId="3" borderId="0" applyNumberFormat="0" applyBorder="0" applyAlignment="0" applyProtection="0"/>
  </cellStyleXfs>
  <cellXfs count="138">
    <xf numFmtId="0" fontId="0" fillId="0" borderId="0" xfId="0"/>
    <xf numFmtId="0" fontId="6" fillId="2" borderId="0" xfId="0" applyFont="1" applyFill="1"/>
    <xf numFmtId="0" fontId="5" fillId="2" borderId="0" xfId="0" applyFont="1" applyFill="1"/>
    <xf numFmtId="49" fontId="3" fillId="2" borderId="0" xfId="0" applyNumberFormat="1" applyFont="1" applyFill="1"/>
    <xf numFmtId="0" fontId="9" fillId="2" borderId="0" xfId="0" applyFont="1" applyFill="1"/>
    <xf numFmtId="164" fontId="9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3" fillId="0" borderId="0" xfId="2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18" fillId="0" borderId="1" xfId="0" applyFont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quotePrefix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1" fontId="19" fillId="0" borderId="1" xfId="0" applyNumberFormat="1" applyFont="1" applyBorder="1" applyAlignment="1">
      <alignment horizontal="left" vertical="center" wrapText="1"/>
    </xf>
    <xf numFmtId="2" fontId="19" fillId="0" borderId="1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" fontId="6" fillId="0" borderId="0" xfId="0" applyNumberFormat="1" applyFont="1"/>
    <xf numFmtId="0" fontId="25" fillId="0" borderId="1" xfId="0" applyFont="1" applyBorder="1" applyAlignment="1">
      <alignment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18" fillId="0" borderId="1" xfId="0" applyNumberFormat="1" applyFont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9" fillId="2" borderId="0" xfId="0" applyFont="1" applyFill="1"/>
    <xf numFmtId="3" fontId="7" fillId="0" borderId="1" xfId="2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0" fillId="0" borderId="1" xfId="2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/>
    </xf>
    <xf numFmtId="3" fontId="18" fillId="0" borderId="1" xfId="2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/>
    </xf>
    <xf numFmtId="2" fontId="6" fillId="0" borderId="0" xfId="0" applyNumberFormat="1" applyFont="1"/>
    <xf numFmtId="166" fontId="20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2" fontId="3" fillId="2" borderId="0" xfId="0" applyNumberFormat="1" applyFont="1" applyFill="1"/>
    <xf numFmtId="2" fontId="6" fillId="2" borderId="0" xfId="0" applyNumberFormat="1" applyFont="1" applyFill="1"/>
    <xf numFmtId="0" fontId="3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2" fontId="6" fillId="2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3" fontId="5" fillId="0" borderId="0" xfId="0" applyNumberFormat="1" applyFont="1"/>
    <xf numFmtId="2" fontId="6" fillId="4" borderId="0" xfId="0" applyNumberFormat="1" applyFont="1" applyFill="1"/>
    <xf numFmtId="0" fontId="6" fillId="4" borderId="0" xfId="0" applyFont="1" applyFill="1"/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5" fillId="0" borderId="0" xfId="4" applyNumberFormat="1" applyFont="1" applyFill="1" applyAlignment="1">
      <alignment vertical="center"/>
    </xf>
    <xf numFmtId="165" fontId="20" fillId="0" borderId="1" xfId="0" applyNumberFormat="1" applyFont="1" applyBorder="1" applyAlignment="1">
      <alignment vertical="center"/>
    </xf>
    <xf numFmtId="2" fontId="14" fillId="4" borderId="0" xfId="0" applyNumberFormat="1" applyFont="1" applyFill="1"/>
    <xf numFmtId="4" fontId="6" fillId="4" borderId="0" xfId="0" applyNumberFormat="1" applyFont="1" applyFill="1"/>
    <xf numFmtId="0" fontId="14" fillId="4" borderId="0" xfId="0" applyFont="1" applyFill="1"/>
    <xf numFmtId="3" fontId="6" fillId="4" borderId="0" xfId="0" applyNumberFormat="1" applyFont="1" applyFill="1"/>
    <xf numFmtId="0" fontId="3" fillId="0" borderId="0" xfId="0" applyFont="1" applyAlignment="1">
      <alignment horizontal="left"/>
    </xf>
    <xf numFmtId="0" fontId="19" fillId="0" borderId="1" xfId="0" quotePrefix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166" fontId="20" fillId="0" borderId="1" xfId="0" applyNumberFormat="1" applyFont="1" applyBorder="1" applyAlignment="1">
      <alignment horizontal="right" vertical="center"/>
    </xf>
    <xf numFmtId="167" fontId="7" fillId="0" borderId="1" xfId="2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center" wrapText="1"/>
    </xf>
    <xf numFmtId="4" fontId="5" fillId="2" borderId="0" xfId="0" applyNumberFormat="1" applyFont="1" applyFill="1" applyAlignment="1">
      <alignment vertical="center"/>
    </xf>
    <xf numFmtId="3" fontId="20" fillId="0" borderId="1" xfId="0" applyNumberFormat="1" applyFont="1" applyBorder="1" applyAlignment="1">
      <alignment vertical="center"/>
    </xf>
    <xf numFmtId="167" fontId="8" fillId="0" borderId="1" xfId="2" applyNumberFormat="1" applyFont="1" applyBorder="1" applyAlignment="1">
      <alignment horizontal="right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49" fontId="1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Гарний" xfId="4" builtinId="26"/>
    <cellStyle name="Звичайний" xfId="0" builtinId="0"/>
    <cellStyle name="Обычный 2" xfId="3" xr:uid="{00000000-0005-0000-0000-000002000000}"/>
    <cellStyle name="Обычный 3" xfId="1" xr:uid="{00000000-0005-0000-0000-000003000000}"/>
    <cellStyle name="Обычный_дод 3" xfId="2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R194"/>
  <sheetViews>
    <sheetView showZeros="0" tabSelected="1" view="pageBreakPreview" zoomScale="90" zoomScaleNormal="50" zoomScaleSheetLayoutView="90" workbookViewId="0">
      <pane xSplit="4" ySplit="15" topLeftCell="L16" activePane="bottomRight" state="frozen"/>
      <selection pane="topRight" activeCell="E1" sqref="E1"/>
      <selection pane="bottomLeft" activeCell="A13" sqref="A13"/>
      <selection pane="bottomRight" activeCell="M3" sqref="M3:P3"/>
    </sheetView>
  </sheetViews>
  <sheetFormatPr defaultColWidth="9.109375" defaultRowHeight="15.6" x14ac:dyDescent="0.3"/>
  <cols>
    <col min="1" max="1" width="18" style="3" customWidth="1"/>
    <col min="2" max="2" width="15.109375" style="3" customWidth="1"/>
    <col min="3" max="3" width="18.44140625" style="3" customWidth="1"/>
    <col min="4" max="4" width="54.109375" style="1" customWidth="1"/>
    <col min="5" max="5" width="23.109375" style="9" customWidth="1"/>
    <col min="6" max="6" width="26.33203125" style="9" customWidth="1"/>
    <col min="7" max="7" width="21.6640625" style="91" customWidth="1"/>
    <col min="8" max="8" width="20.109375" style="91" customWidth="1"/>
    <col min="9" max="9" width="22.44140625" style="9" customWidth="1"/>
    <col min="10" max="10" width="26.6640625" style="9" customWidth="1"/>
    <col min="11" max="11" width="23.33203125" style="91" customWidth="1"/>
    <col min="12" max="12" width="22" style="91" customWidth="1"/>
    <col min="13" max="13" width="10.6640625" style="88" customWidth="1"/>
    <col min="14" max="14" width="12.6640625" style="88" customWidth="1"/>
    <col min="15" max="15" width="13.6640625" style="88" customWidth="1"/>
    <col min="16" max="16" width="11.109375" style="88" customWidth="1"/>
    <col min="17" max="17" width="12" style="1" bestFit="1" customWidth="1"/>
    <col min="18" max="16384" width="9.109375" style="1"/>
  </cols>
  <sheetData>
    <row r="1" spans="1:16" x14ac:dyDescent="0.3">
      <c r="A1" s="5"/>
      <c r="B1" s="6"/>
      <c r="C1" s="6"/>
      <c r="D1" s="7"/>
      <c r="E1" s="8"/>
      <c r="F1" s="8"/>
      <c r="G1" s="8"/>
      <c r="H1" s="8"/>
      <c r="I1" s="8"/>
      <c r="J1" s="8"/>
      <c r="K1" s="8"/>
      <c r="L1" s="8"/>
      <c r="M1" s="133" t="s">
        <v>309</v>
      </c>
      <c r="N1" s="133"/>
      <c r="O1" s="133"/>
      <c r="P1" s="81"/>
    </row>
    <row r="2" spans="1:16" ht="15.6" customHeight="1" x14ac:dyDescent="0.3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133" t="s">
        <v>310</v>
      </c>
      <c r="N2" s="133"/>
      <c r="O2" s="133"/>
      <c r="P2" s="133"/>
    </row>
    <row r="3" spans="1:16" ht="15.6" customHeight="1" x14ac:dyDescent="0.3">
      <c r="A3" s="5"/>
      <c r="B3" s="6"/>
      <c r="C3" s="10"/>
      <c r="D3" s="7"/>
      <c r="E3" s="8"/>
      <c r="F3" s="8"/>
      <c r="G3" s="8"/>
      <c r="H3" s="8"/>
      <c r="I3" s="8"/>
      <c r="J3" s="8"/>
      <c r="K3" s="101"/>
      <c r="L3" s="8"/>
      <c r="M3" s="133" t="s">
        <v>373</v>
      </c>
      <c r="N3" s="133"/>
      <c r="O3" s="133"/>
      <c r="P3" s="133"/>
    </row>
    <row r="4" spans="1:16" x14ac:dyDescent="0.3">
      <c r="A4" s="11"/>
      <c r="B4" s="10"/>
      <c r="C4" s="10"/>
      <c r="D4" s="7"/>
      <c r="E4" s="8"/>
      <c r="F4" s="8"/>
      <c r="G4" s="8"/>
      <c r="H4" s="8"/>
      <c r="I4" s="8"/>
      <c r="J4" s="8"/>
      <c r="K4" s="101"/>
      <c r="L4" s="8"/>
      <c r="M4" s="134"/>
      <c r="N4" s="134"/>
      <c r="O4" s="134"/>
      <c r="P4" s="92"/>
    </row>
    <row r="5" spans="1:16" s="4" customFormat="1" x14ac:dyDescent="0.3">
      <c r="A5" s="137" t="s">
        <v>175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s="4" customFormat="1" x14ac:dyDescent="0.3">
      <c r="A6" s="116" t="s">
        <v>363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s="4" customFormat="1" x14ac:dyDescent="0.3">
      <c r="A7" s="15">
        <v>1558900000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82"/>
      <c r="N7" s="82"/>
      <c r="O7" s="82"/>
      <c r="P7" s="82"/>
    </row>
    <row r="8" spans="1:16" s="4" customFormat="1" x14ac:dyDescent="0.3">
      <c r="A8" s="94" t="s">
        <v>215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82"/>
      <c r="N8" s="82"/>
      <c r="O8" s="82"/>
      <c r="P8" s="82"/>
    </row>
    <row r="9" spans="1:16" x14ac:dyDescent="0.3">
      <c r="A9" s="10"/>
      <c r="B9" s="10"/>
      <c r="C9" s="10"/>
      <c r="D9" s="12"/>
      <c r="E9" s="12"/>
      <c r="F9" s="12"/>
      <c r="G9" s="12"/>
      <c r="H9" s="12"/>
      <c r="I9" s="12"/>
      <c r="J9" s="12"/>
      <c r="K9" s="12"/>
      <c r="L9" s="12"/>
      <c r="M9" s="83"/>
      <c r="N9" s="83"/>
      <c r="O9" s="83"/>
      <c r="P9" s="83"/>
    </row>
    <row r="10" spans="1:16" ht="15.6" customHeight="1" x14ac:dyDescent="0.3">
      <c r="A10" s="120" t="s">
        <v>161</v>
      </c>
      <c r="B10" s="135" t="s">
        <v>162</v>
      </c>
      <c r="C10" s="120" t="s">
        <v>163</v>
      </c>
      <c r="D10" s="136" t="s">
        <v>164</v>
      </c>
      <c r="E10" s="121" t="s">
        <v>317</v>
      </c>
      <c r="F10" s="122"/>
      <c r="G10" s="122"/>
      <c r="H10" s="123"/>
      <c r="I10" s="121" t="s">
        <v>342</v>
      </c>
      <c r="J10" s="122"/>
      <c r="K10" s="122"/>
      <c r="L10" s="123"/>
      <c r="M10" s="121" t="s">
        <v>283</v>
      </c>
      <c r="N10" s="122"/>
      <c r="O10" s="122"/>
      <c r="P10" s="123"/>
    </row>
    <row r="11" spans="1:16" ht="15.6" customHeight="1" x14ac:dyDescent="0.3">
      <c r="A11" s="120"/>
      <c r="B11" s="135"/>
      <c r="C11" s="120"/>
      <c r="D11" s="136"/>
      <c r="E11" s="124" t="s">
        <v>340</v>
      </c>
      <c r="F11" s="130" t="s">
        <v>176</v>
      </c>
      <c r="G11" s="131"/>
      <c r="H11" s="132"/>
      <c r="I11" s="124" t="s">
        <v>340</v>
      </c>
      <c r="J11" s="130" t="s">
        <v>282</v>
      </c>
      <c r="K11" s="131"/>
      <c r="L11" s="132"/>
      <c r="M11" s="124" t="s">
        <v>340</v>
      </c>
      <c r="N11" s="127" t="s">
        <v>177</v>
      </c>
      <c r="O11" s="128"/>
      <c r="P11" s="129"/>
    </row>
    <row r="12" spans="1:16" x14ac:dyDescent="0.3">
      <c r="A12" s="120"/>
      <c r="B12" s="135"/>
      <c r="C12" s="120"/>
      <c r="D12" s="136"/>
      <c r="E12" s="125"/>
      <c r="F12" s="118" t="s">
        <v>178</v>
      </c>
      <c r="G12" s="118" t="s">
        <v>179</v>
      </c>
      <c r="H12" s="118"/>
      <c r="I12" s="125"/>
      <c r="J12" s="118" t="s">
        <v>180</v>
      </c>
      <c r="K12" s="118" t="s">
        <v>179</v>
      </c>
      <c r="L12" s="118"/>
      <c r="M12" s="125"/>
      <c r="N12" s="118" t="s">
        <v>178</v>
      </c>
      <c r="O12" s="118" t="s">
        <v>179</v>
      </c>
      <c r="P12" s="118"/>
    </row>
    <row r="13" spans="1:16" x14ac:dyDescent="0.3">
      <c r="A13" s="120"/>
      <c r="B13" s="135"/>
      <c r="C13" s="120"/>
      <c r="D13" s="136"/>
      <c r="E13" s="125"/>
      <c r="F13" s="119"/>
      <c r="G13" s="117" t="s">
        <v>341</v>
      </c>
      <c r="H13" s="93" t="s">
        <v>181</v>
      </c>
      <c r="I13" s="125"/>
      <c r="J13" s="119"/>
      <c r="K13" s="117" t="s">
        <v>341</v>
      </c>
      <c r="L13" s="93" t="s">
        <v>181</v>
      </c>
      <c r="M13" s="125"/>
      <c r="N13" s="119"/>
      <c r="O13" s="117" t="s">
        <v>341</v>
      </c>
      <c r="P13" s="93" t="s">
        <v>181</v>
      </c>
    </row>
    <row r="14" spans="1:16" ht="40.200000000000003" customHeight="1" x14ac:dyDescent="0.3">
      <c r="A14" s="120"/>
      <c r="B14" s="135"/>
      <c r="C14" s="120"/>
      <c r="D14" s="136"/>
      <c r="E14" s="126"/>
      <c r="F14" s="119"/>
      <c r="G14" s="117"/>
      <c r="H14" s="93" t="s">
        <v>0</v>
      </c>
      <c r="I14" s="126"/>
      <c r="J14" s="119"/>
      <c r="K14" s="117"/>
      <c r="L14" s="93" t="s">
        <v>0</v>
      </c>
      <c r="M14" s="126"/>
      <c r="N14" s="119"/>
      <c r="O14" s="117"/>
      <c r="P14" s="93" t="s">
        <v>0</v>
      </c>
    </row>
    <row r="15" spans="1:16" x14ac:dyDescent="0.3">
      <c r="A15" s="13">
        <v>1</v>
      </c>
      <c r="B15" s="13">
        <v>2</v>
      </c>
      <c r="C15" s="13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</row>
    <row r="16" spans="1:16" s="37" customFormat="1" ht="34.799999999999997" x14ac:dyDescent="0.3">
      <c r="A16" s="18" t="s">
        <v>61</v>
      </c>
      <c r="B16" s="18" t="s">
        <v>231</v>
      </c>
      <c r="C16" s="18" t="s">
        <v>231</v>
      </c>
      <c r="D16" s="19" t="s">
        <v>232</v>
      </c>
      <c r="E16" s="58">
        <f>F16+G16</f>
        <v>162344309</v>
      </c>
      <c r="F16" s="59">
        <f>F17</f>
        <v>154987505</v>
      </c>
      <c r="G16" s="59">
        <f t="shared" ref="G16:H16" si="0">G17</f>
        <v>7356804</v>
      </c>
      <c r="H16" s="59">
        <f t="shared" si="0"/>
        <v>7118204</v>
      </c>
      <c r="I16" s="58">
        <f>J16+K16</f>
        <v>74960268.5</v>
      </c>
      <c r="J16" s="58">
        <f>J17</f>
        <v>67584941.269999996</v>
      </c>
      <c r="K16" s="58">
        <f t="shared" ref="K16:L16" si="1">K17</f>
        <v>7375327.2300000004</v>
      </c>
      <c r="L16" s="58">
        <f t="shared" si="1"/>
        <v>3971136.25</v>
      </c>
      <c r="M16" s="109">
        <f>IFERROR((I16/E16),"")</f>
        <v>0.46173634888550358</v>
      </c>
      <c r="N16" s="109">
        <f t="shared" ref="N16:P16" si="2">IFERROR((J16/F16),"")</f>
        <v>0.43606703179072398</v>
      </c>
      <c r="O16" s="109">
        <f t="shared" si="2"/>
        <v>1.0025178365496756</v>
      </c>
      <c r="P16" s="109">
        <f t="shared" si="2"/>
        <v>0.55788458015533127</v>
      </c>
    </row>
    <row r="17" spans="1:16" s="38" customFormat="1" ht="34.799999999999997" x14ac:dyDescent="0.3">
      <c r="A17" s="18" t="s">
        <v>62</v>
      </c>
      <c r="B17" s="18" t="s">
        <v>231</v>
      </c>
      <c r="C17" s="18" t="s">
        <v>231</v>
      </c>
      <c r="D17" s="19" t="s">
        <v>232</v>
      </c>
      <c r="E17" s="59">
        <f>F17+G17</f>
        <v>162344309</v>
      </c>
      <c r="F17" s="59">
        <f t="shared" ref="F17:K17" si="3">F18+F23+F24+F25+F26+F27+F28+F29+F30+F37+F39+F40+F41+F43+F42+F35+F34+F38+F44</f>
        <v>154987505</v>
      </c>
      <c r="G17" s="59">
        <f>G18+G23+G24+G25+G26+G27+G28+G29+G30+G37+G39+G40+G41+G43+G42+G35+G34+G38+G44+G36</f>
        <v>7356804</v>
      </c>
      <c r="H17" s="59">
        <f>H18+H23+H24+H25+H26+H27+H28+H29+H30+H37+H39+H40+H41+H43+H42+H35+H34+H38+H44+H36</f>
        <v>7118204</v>
      </c>
      <c r="I17" s="59">
        <f>I18+I23+I24+I25+I26+I27+I28+I29+I30+I37+I39+I40+I41+I43+I42+I35+I34+I38+I44</f>
        <v>74960268.5</v>
      </c>
      <c r="J17" s="59">
        <f t="shared" si="3"/>
        <v>67584941.269999996</v>
      </c>
      <c r="K17" s="59">
        <f t="shared" si="3"/>
        <v>7375327.2300000004</v>
      </c>
      <c r="L17" s="59">
        <f>L18+L23+L24+L25+L26+L27+L28+L29+L30+L37+L39+L40+L41+L43+L42+L35+L34+L38+L44</f>
        <v>3971136.25</v>
      </c>
      <c r="M17" s="109">
        <f t="shared" ref="M17:M80" si="4">IFERROR((I17/E17),"")</f>
        <v>0.46173634888550358</v>
      </c>
      <c r="N17" s="109">
        <f t="shared" ref="N17:N80" si="5">IFERROR((J17/F17),"")</f>
        <v>0.43606703179072398</v>
      </c>
      <c r="O17" s="109">
        <f t="shared" ref="O17:O80" si="6">IFERROR((K17/G17),"")</f>
        <v>1.0025178365496756</v>
      </c>
      <c r="P17" s="109">
        <f t="shared" ref="P17:P80" si="7">IFERROR((L17/H17),"")</f>
        <v>0.55788458015533127</v>
      </c>
    </row>
    <row r="18" spans="1:16" s="39" customFormat="1" ht="90" x14ac:dyDescent="0.3">
      <c r="A18" s="20" t="s">
        <v>63</v>
      </c>
      <c r="B18" s="20" t="s">
        <v>52</v>
      </c>
      <c r="C18" s="20" t="s">
        <v>2</v>
      </c>
      <c r="D18" s="21" t="s">
        <v>233</v>
      </c>
      <c r="E18" s="60">
        <f t="shared" ref="E18:E76" si="8">F18+G18</f>
        <v>74062800</v>
      </c>
      <c r="F18" s="61">
        <f>F19+F20+F21+F22</f>
        <v>73924200</v>
      </c>
      <c r="G18" s="61">
        <f>G19+G20+G21+G22</f>
        <v>138600</v>
      </c>
      <c r="H18" s="61">
        <f t="shared" ref="H18" si="9">H19+H20+H21+H22</f>
        <v>0</v>
      </c>
      <c r="I18" s="60">
        <f t="shared" ref="I18:I81" si="10">J18+K18</f>
        <v>37558394.399999999</v>
      </c>
      <c r="J18" s="62">
        <f>J19+J20+J21+J22</f>
        <v>34174203.420000002</v>
      </c>
      <c r="K18" s="62">
        <f t="shared" ref="K18:L18" si="11">K19+K20+K21+K22</f>
        <v>3384190.98</v>
      </c>
      <c r="L18" s="62">
        <f t="shared" si="11"/>
        <v>0</v>
      </c>
      <c r="M18" s="111">
        <f t="shared" si="4"/>
        <v>0.50711550738022326</v>
      </c>
      <c r="N18" s="111">
        <f t="shared" si="5"/>
        <v>0.46228709164252035</v>
      </c>
      <c r="O18" s="111" t="s">
        <v>369</v>
      </c>
      <c r="P18" s="111" t="str">
        <f t="shared" si="7"/>
        <v/>
      </c>
    </row>
    <row r="19" spans="1:16" s="40" customFormat="1" ht="36" x14ac:dyDescent="0.3">
      <c r="A19" s="22"/>
      <c r="B19" s="22"/>
      <c r="C19" s="22"/>
      <c r="D19" s="23" t="s">
        <v>232</v>
      </c>
      <c r="E19" s="63">
        <f t="shared" si="8"/>
        <v>66183098</v>
      </c>
      <c r="F19" s="113">
        <v>66044500</v>
      </c>
      <c r="G19" s="64">
        <f>138598</f>
        <v>138598</v>
      </c>
      <c r="H19" s="64"/>
      <c r="I19" s="63">
        <f t="shared" si="10"/>
        <v>34039104.780000001</v>
      </c>
      <c r="J19" s="63">
        <v>30655938.84</v>
      </c>
      <c r="K19" s="65">
        <f>33186.88+3349979.06</f>
        <v>3383165.94</v>
      </c>
      <c r="L19" s="65"/>
      <c r="M19" s="114">
        <f t="shared" si="4"/>
        <v>0.51431718684429073</v>
      </c>
      <c r="N19" s="114">
        <f t="shared" si="5"/>
        <v>0.46417095806615238</v>
      </c>
      <c r="O19" s="114" t="s">
        <v>369</v>
      </c>
      <c r="P19" s="114" t="str">
        <f t="shared" si="7"/>
        <v/>
      </c>
    </row>
    <row r="20" spans="1:16" s="40" customFormat="1" ht="54" x14ac:dyDescent="0.3">
      <c r="A20" s="22"/>
      <c r="B20" s="22"/>
      <c r="C20" s="22"/>
      <c r="D20" s="23" t="s">
        <v>212</v>
      </c>
      <c r="E20" s="63">
        <f t="shared" si="8"/>
        <v>3206601</v>
      </c>
      <c r="F20" s="113">
        <v>3206600</v>
      </c>
      <c r="G20" s="64">
        <v>1</v>
      </c>
      <c r="H20" s="64"/>
      <c r="I20" s="63">
        <f t="shared" si="10"/>
        <v>1397715.08</v>
      </c>
      <c r="J20" s="63">
        <v>1396690.04</v>
      </c>
      <c r="K20" s="65">
        <v>1025.04</v>
      </c>
      <c r="L20" s="65"/>
      <c r="M20" s="114">
        <f t="shared" si="4"/>
        <v>0.43588680974028265</v>
      </c>
      <c r="N20" s="114">
        <f t="shared" si="5"/>
        <v>0.43556727998503086</v>
      </c>
      <c r="O20" s="114" t="s">
        <v>370</v>
      </c>
      <c r="P20" s="114" t="str">
        <f t="shared" si="7"/>
        <v/>
      </c>
    </row>
    <row r="21" spans="1:16" s="40" customFormat="1" ht="54" x14ac:dyDescent="0.3">
      <c r="A21" s="22"/>
      <c r="B21" s="22"/>
      <c r="C21" s="22"/>
      <c r="D21" s="23" t="s">
        <v>214</v>
      </c>
      <c r="E21" s="63">
        <f t="shared" si="8"/>
        <v>2157300</v>
      </c>
      <c r="F21" s="113">
        <v>2157300</v>
      </c>
      <c r="G21" s="64"/>
      <c r="H21" s="64"/>
      <c r="I21" s="63">
        <f t="shared" si="10"/>
        <v>992856.19</v>
      </c>
      <c r="J21" s="63">
        <v>992856.19</v>
      </c>
      <c r="K21" s="65"/>
      <c r="L21" s="65"/>
      <c r="M21" s="114">
        <f t="shared" si="4"/>
        <v>0.46023093218374816</v>
      </c>
      <c r="N21" s="114">
        <f t="shared" si="5"/>
        <v>0.46023093218374816</v>
      </c>
      <c r="O21" s="114" t="str">
        <f t="shared" si="6"/>
        <v/>
      </c>
      <c r="P21" s="114" t="str">
        <f t="shared" si="7"/>
        <v/>
      </c>
    </row>
    <row r="22" spans="1:16" s="40" customFormat="1" ht="54" x14ac:dyDescent="0.3">
      <c r="A22" s="22"/>
      <c r="B22" s="22"/>
      <c r="C22" s="22"/>
      <c r="D22" s="23" t="s">
        <v>213</v>
      </c>
      <c r="E22" s="63">
        <f t="shared" si="8"/>
        <v>2515801</v>
      </c>
      <c r="F22" s="113">
        <v>2515800</v>
      </c>
      <c r="G22" s="64">
        <v>1</v>
      </c>
      <c r="H22" s="64"/>
      <c r="I22" s="63">
        <f t="shared" si="10"/>
        <v>1128718.3500000001</v>
      </c>
      <c r="J22" s="63">
        <v>1128718.3500000001</v>
      </c>
      <c r="K22" s="65"/>
      <c r="L22" s="65"/>
      <c r="M22" s="114">
        <f t="shared" si="4"/>
        <v>0.44865168190965821</v>
      </c>
      <c r="N22" s="114">
        <f t="shared" si="5"/>
        <v>0.44865186024326259</v>
      </c>
      <c r="O22" s="114">
        <f t="shared" si="6"/>
        <v>0</v>
      </c>
      <c r="P22" s="114" t="str">
        <f t="shared" si="7"/>
        <v/>
      </c>
    </row>
    <row r="23" spans="1:16" s="40" customFormat="1" ht="54" x14ac:dyDescent="0.3">
      <c r="A23" s="20" t="s">
        <v>108</v>
      </c>
      <c r="B23" s="20" t="s">
        <v>109</v>
      </c>
      <c r="C23" s="20" t="s">
        <v>110</v>
      </c>
      <c r="D23" s="21" t="s">
        <v>111</v>
      </c>
      <c r="E23" s="60">
        <f t="shared" si="8"/>
        <v>50000</v>
      </c>
      <c r="F23" s="61">
        <v>50000</v>
      </c>
      <c r="G23" s="61"/>
      <c r="H23" s="61"/>
      <c r="I23" s="60">
        <f t="shared" si="10"/>
        <v>4400</v>
      </c>
      <c r="J23" s="95">
        <v>4400</v>
      </c>
      <c r="K23" s="62"/>
      <c r="L23" s="62"/>
      <c r="M23" s="111">
        <f t="shared" si="4"/>
        <v>8.7999999999999995E-2</v>
      </c>
      <c r="N23" s="111">
        <f t="shared" si="5"/>
        <v>8.7999999999999995E-2</v>
      </c>
      <c r="O23" s="111" t="str">
        <f t="shared" si="6"/>
        <v/>
      </c>
      <c r="P23" s="111" t="str">
        <f t="shared" si="7"/>
        <v/>
      </c>
    </row>
    <row r="24" spans="1:16" s="41" customFormat="1" ht="18" x14ac:dyDescent="0.3">
      <c r="A24" s="20" t="s">
        <v>115</v>
      </c>
      <c r="B24" s="20" t="s">
        <v>9</v>
      </c>
      <c r="C24" s="20" t="s">
        <v>5</v>
      </c>
      <c r="D24" s="21" t="s">
        <v>102</v>
      </c>
      <c r="E24" s="60">
        <f t="shared" si="8"/>
        <v>2576170</v>
      </c>
      <c r="F24" s="61">
        <v>2576170</v>
      </c>
      <c r="G24" s="61"/>
      <c r="H24" s="61"/>
      <c r="I24" s="60">
        <f t="shared" si="10"/>
        <v>777518.8</v>
      </c>
      <c r="J24" s="62">
        <v>777518.8</v>
      </c>
      <c r="K24" s="62"/>
      <c r="L24" s="62"/>
      <c r="M24" s="111">
        <f t="shared" si="4"/>
        <v>0.30181191458638212</v>
      </c>
      <c r="N24" s="111">
        <f t="shared" si="5"/>
        <v>0.30181191458638212</v>
      </c>
      <c r="O24" s="111" t="str">
        <f t="shared" si="6"/>
        <v/>
      </c>
      <c r="P24" s="111" t="str">
        <f t="shared" si="7"/>
        <v/>
      </c>
    </row>
    <row r="25" spans="1:16" s="42" customFormat="1" ht="36" x14ac:dyDescent="0.3">
      <c r="A25" s="20" t="s">
        <v>64</v>
      </c>
      <c r="B25" s="20" t="s">
        <v>30</v>
      </c>
      <c r="C25" s="20" t="s">
        <v>31</v>
      </c>
      <c r="D25" s="21" t="s">
        <v>155</v>
      </c>
      <c r="E25" s="60">
        <f t="shared" si="8"/>
        <v>22667209</v>
      </c>
      <c r="F25" s="61">
        <v>19766804</v>
      </c>
      <c r="G25" s="61">
        <v>2900405</v>
      </c>
      <c r="H25" s="61">
        <v>2900405</v>
      </c>
      <c r="I25" s="60">
        <f t="shared" si="10"/>
        <v>12504813.289999999</v>
      </c>
      <c r="J25" s="62">
        <v>10070176.039999999</v>
      </c>
      <c r="K25" s="62">
        <v>2434637.25</v>
      </c>
      <c r="L25" s="62">
        <v>2434637.25</v>
      </c>
      <c r="M25" s="111">
        <f t="shared" si="4"/>
        <v>0.55166973975490319</v>
      </c>
      <c r="N25" s="111">
        <f t="shared" si="5"/>
        <v>0.50944887398084182</v>
      </c>
      <c r="O25" s="111">
        <f t="shared" si="6"/>
        <v>0.83941285785950581</v>
      </c>
      <c r="P25" s="111">
        <f t="shared" si="7"/>
        <v>0.83941285785950581</v>
      </c>
    </row>
    <row r="26" spans="1:16" s="41" customFormat="1" ht="18" x14ac:dyDescent="0.3">
      <c r="A26" s="20" t="s">
        <v>65</v>
      </c>
      <c r="B26" s="20" t="s">
        <v>53</v>
      </c>
      <c r="C26" s="20" t="s">
        <v>32</v>
      </c>
      <c r="D26" s="21" t="s">
        <v>234</v>
      </c>
      <c r="E26" s="60">
        <f t="shared" si="8"/>
        <v>8941500</v>
      </c>
      <c r="F26" s="61">
        <v>8941500</v>
      </c>
      <c r="G26" s="61"/>
      <c r="H26" s="61"/>
      <c r="I26" s="60">
        <f t="shared" si="10"/>
        <v>3291673.44</v>
      </c>
      <c r="J26" s="62">
        <v>3291673.44</v>
      </c>
      <c r="K26" s="62"/>
      <c r="L26" s="62"/>
      <c r="M26" s="111">
        <f t="shared" si="4"/>
        <v>0.36813436671699379</v>
      </c>
      <c r="N26" s="111">
        <f t="shared" si="5"/>
        <v>0.36813436671699379</v>
      </c>
      <c r="O26" s="111" t="str">
        <f t="shared" si="6"/>
        <v/>
      </c>
      <c r="P26" s="111" t="str">
        <f t="shared" si="7"/>
        <v/>
      </c>
    </row>
    <row r="27" spans="1:16" s="41" customFormat="1" ht="54" x14ac:dyDescent="0.3">
      <c r="A27" s="20" t="s">
        <v>235</v>
      </c>
      <c r="B27" s="24">
        <v>2111</v>
      </c>
      <c r="C27" s="20" t="s">
        <v>236</v>
      </c>
      <c r="D27" s="21" t="s">
        <v>237</v>
      </c>
      <c r="E27" s="60">
        <f t="shared" si="8"/>
        <v>9927200</v>
      </c>
      <c r="F27" s="61">
        <v>8963200</v>
      </c>
      <c r="G27" s="61">
        <v>964000</v>
      </c>
      <c r="H27" s="61">
        <v>964000</v>
      </c>
      <c r="I27" s="60">
        <f t="shared" si="10"/>
        <v>3807273.5</v>
      </c>
      <c r="J27" s="62">
        <v>3807273.5</v>
      </c>
      <c r="K27" s="62"/>
      <c r="L27" s="62"/>
      <c r="M27" s="111">
        <f t="shared" si="4"/>
        <v>0.38351937102103312</v>
      </c>
      <c r="N27" s="111">
        <f t="shared" si="5"/>
        <v>0.42476721483398788</v>
      </c>
      <c r="O27" s="111">
        <f t="shared" si="6"/>
        <v>0</v>
      </c>
      <c r="P27" s="111">
        <f t="shared" si="7"/>
        <v>0</v>
      </c>
    </row>
    <row r="28" spans="1:16" s="41" customFormat="1" ht="36" x14ac:dyDescent="0.3">
      <c r="A28" s="20" t="s">
        <v>238</v>
      </c>
      <c r="B28" s="20" t="s">
        <v>186</v>
      </c>
      <c r="C28" s="20" t="s">
        <v>128</v>
      </c>
      <c r="D28" s="21" t="s">
        <v>239</v>
      </c>
      <c r="E28" s="60">
        <f t="shared" si="8"/>
        <v>1629600</v>
      </c>
      <c r="F28" s="61">
        <f>229600+1400000</f>
        <v>1629600</v>
      </c>
      <c r="G28" s="61"/>
      <c r="H28" s="61"/>
      <c r="I28" s="60">
        <f t="shared" si="10"/>
        <v>721639.05999999994</v>
      </c>
      <c r="J28" s="62">
        <f>103076.58+618562.48</f>
        <v>721639.05999999994</v>
      </c>
      <c r="K28" s="62"/>
      <c r="L28" s="62"/>
      <c r="M28" s="111">
        <f t="shared" si="4"/>
        <v>0.44283202012763867</v>
      </c>
      <c r="N28" s="111">
        <f t="shared" si="5"/>
        <v>0.44283202012763867</v>
      </c>
      <c r="O28" s="111" t="str">
        <f t="shared" si="6"/>
        <v/>
      </c>
      <c r="P28" s="111" t="str">
        <f t="shared" si="7"/>
        <v/>
      </c>
    </row>
    <row r="29" spans="1:16" s="40" customFormat="1" ht="36" x14ac:dyDescent="0.3">
      <c r="A29" s="20" t="s">
        <v>148</v>
      </c>
      <c r="B29" s="20" t="s">
        <v>146</v>
      </c>
      <c r="C29" s="20" t="s">
        <v>3</v>
      </c>
      <c r="D29" s="21" t="s">
        <v>147</v>
      </c>
      <c r="E29" s="60">
        <f t="shared" si="8"/>
        <v>4999900</v>
      </c>
      <c r="F29" s="61">
        <v>4999900</v>
      </c>
      <c r="G29" s="61"/>
      <c r="H29" s="61"/>
      <c r="I29" s="60">
        <f t="shared" si="10"/>
        <v>1614500</v>
      </c>
      <c r="J29" s="62">
        <v>1614500</v>
      </c>
      <c r="K29" s="62"/>
      <c r="L29" s="62"/>
      <c r="M29" s="111">
        <f t="shared" si="4"/>
        <v>0.32290645812916258</v>
      </c>
      <c r="N29" s="111">
        <f t="shared" si="5"/>
        <v>0.32290645812916258</v>
      </c>
      <c r="O29" s="111" t="str">
        <f t="shared" si="6"/>
        <v/>
      </c>
      <c r="P29" s="111" t="str">
        <f t="shared" si="7"/>
        <v/>
      </c>
    </row>
    <row r="30" spans="1:16" s="40" customFormat="1" ht="18" x14ac:dyDescent="0.3">
      <c r="A30" s="20" t="s">
        <v>66</v>
      </c>
      <c r="B30" s="20" t="s">
        <v>40</v>
      </c>
      <c r="C30" s="20" t="s">
        <v>8</v>
      </c>
      <c r="D30" s="21" t="s">
        <v>240</v>
      </c>
      <c r="E30" s="60">
        <f t="shared" si="8"/>
        <v>9163200</v>
      </c>
      <c r="F30" s="61">
        <f>F31+F32+F33</f>
        <v>9163200</v>
      </c>
      <c r="G30" s="61">
        <f>G32+G33</f>
        <v>0</v>
      </c>
      <c r="H30" s="61"/>
      <c r="I30" s="60">
        <f t="shared" si="10"/>
        <v>2261073.6500000004</v>
      </c>
      <c r="J30" s="61">
        <f>J31+J32+J33</f>
        <v>2261073.6500000004</v>
      </c>
      <c r="K30" s="61">
        <f>K32+K33</f>
        <v>0</v>
      </c>
      <c r="L30" s="61">
        <f>L32+L33</f>
        <v>0</v>
      </c>
      <c r="M30" s="111">
        <f t="shared" si="4"/>
        <v>0.24675589859437755</v>
      </c>
      <c r="N30" s="111">
        <f t="shared" si="5"/>
        <v>0.24675589859437755</v>
      </c>
      <c r="O30" s="111" t="str">
        <f t="shared" si="6"/>
        <v/>
      </c>
      <c r="P30" s="111" t="str">
        <f t="shared" si="7"/>
        <v/>
      </c>
    </row>
    <row r="31" spans="1:16" s="40" customFormat="1" ht="54" x14ac:dyDescent="0.3">
      <c r="A31" s="22"/>
      <c r="B31" s="22"/>
      <c r="C31" s="22"/>
      <c r="D31" s="23" t="s">
        <v>212</v>
      </c>
      <c r="E31" s="63">
        <f t="shared" si="8"/>
        <v>4176500</v>
      </c>
      <c r="F31" s="64">
        <v>4176500</v>
      </c>
      <c r="G31" s="64"/>
      <c r="H31" s="64"/>
      <c r="I31" s="63">
        <f t="shared" si="10"/>
        <v>1773981.36</v>
      </c>
      <c r="J31" s="63">
        <v>1773981.36</v>
      </c>
      <c r="K31" s="65"/>
      <c r="L31" s="65"/>
      <c r="M31" s="114">
        <f t="shared" si="4"/>
        <v>0.42475310906261227</v>
      </c>
      <c r="N31" s="114">
        <f t="shared" si="5"/>
        <v>0.42475310906261227</v>
      </c>
      <c r="O31" s="114" t="str">
        <f t="shared" si="6"/>
        <v/>
      </c>
      <c r="P31" s="114" t="str">
        <f t="shared" si="7"/>
        <v/>
      </c>
    </row>
    <row r="32" spans="1:16" s="40" customFormat="1" ht="54" x14ac:dyDescent="0.3">
      <c r="A32" s="22"/>
      <c r="B32" s="22"/>
      <c r="C32" s="22"/>
      <c r="D32" s="23" t="s">
        <v>214</v>
      </c>
      <c r="E32" s="63">
        <f t="shared" si="8"/>
        <v>1961700</v>
      </c>
      <c r="F32" s="64">
        <v>1961700</v>
      </c>
      <c r="G32" s="64"/>
      <c r="H32" s="64"/>
      <c r="I32" s="63">
        <f t="shared" si="10"/>
        <v>242478.29</v>
      </c>
      <c r="J32" s="63">
        <v>242478.29</v>
      </c>
      <c r="K32" s="65"/>
      <c r="L32" s="65"/>
      <c r="M32" s="114">
        <f t="shared" si="4"/>
        <v>0.12360620380282408</v>
      </c>
      <c r="N32" s="114">
        <f t="shared" si="5"/>
        <v>0.12360620380282408</v>
      </c>
      <c r="O32" s="114" t="str">
        <f t="shared" si="6"/>
        <v/>
      </c>
      <c r="P32" s="114" t="str">
        <f t="shared" si="7"/>
        <v/>
      </c>
    </row>
    <row r="33" spans="1:18" s="40" customFormat="1" ht="54" x14ac:dyDescent="0.3">
      <c r="A33" s="22"/>
      <c r="B33" s="22"/>
      <c r="C33" s="22"/>
      <c r="D33" s="23" t="s">
        <v>213</v>
      </c>
      <c r="E33" s="63">
        <f t="shared" si="8"/>
        <v>3025000</v>
      </c>
      <c r="F33" s="64">
        <v>3025000</v>
      </c>
      <c r="G33" s="64"/>
      <c r="H33" s="64"/>
      <c r="I33" s="63">
        <f t="shared" si="10"/>
        <v>244614</v>
      </c>
      <c r="J33" s="63">
        <v>244614</v>
      </c>
      <c r="K33" s="65"/>
      <c r="L33" s="65"/>
      <c r="M33" s="114">
        <f t="shared" si="4"/>
        <v>8.0864132231404956E-2</v>
      </c>
      <c r="N33" s="114">
        <f t="shared" si="5"/>
        <v>8.0864132231404956E-2</v>
      </c>
      <c r="O33" s="114" t="str">
        <f t="shared" si="6"/>
        <v/>
      </c>
      <c r="P33" s="114" t="str">
        <f t="shared" si="7"/>
        <v/>
      </c>
    </row>
    <row r="34" spans="1:18" s="40" customFormat="1" ht="18" x14ac:dyDescent="0.3">
      <c r="A34" s="25" t="s">
        <v>343</v>
      </c>
      <c r="B34" s="24">
        <v>7130</v>
      </c>
      <c r="C34" s="25" t="s">
        <v>296</v>
      </c>
      <c r="D34" s="102" t="s">
        <v>297</v>
      </c>
      <c r="E34" s="63">
        <f t="shared" ref="E34:E35" si="12">F34+G34</f>
        <v>3000</v>
      </c>
      <c r="F34" s="64">
        <v>3000</v>
      </c>
      <c r="G34" s="64"/>
      <c r="H34" s="64"/>
      <c r="I34" s="60">
        <f t="shared" si="10"/>
        <v>0</v>
      </c>
      <c r="J34" s="63">
        <v>0</v>
      </c>
      <c r="K34" s="65"/>
      <c r="L34" s="65"/>
      <c r="M34" s="111">
        <f t="shared" si="4"/>
        <v>0</v>
      </c>
      <c r="N34" s="111">
        <f t="shared" si="5"/>
        <v>0</v>
      </c>
      <c r="O34" s="111" t="str">
        <f t="shared" si="6"/>
        <v/>
      </c>
      <c r="P34" s="111" t="str">
        <f t="shared" si="7"/>
        <v/>
      </c>
    </row>
    <row r="35" spans="1:18" s="40" customFormat="1" ht="36" x14ac:dyDescent="0.3">
      <c r="A35" s="26" t="s">
        <v>318</v>
      </c>
      <c r="B35" s="26" t="s">
        <v>319</v>
      </c>
      <c r="C35" s="26" t="s">
        <v>125</v>
      </c>
      <c r="D35" s="21" t="s">
        <v>311</v>
      </c>
      <c r="E35" s="63">
        <f t="shared" si="12"/>
        <v>260000</v>
      </c>
      <c r="F35" s="61"/>
      <c r="G35" s="61">
        <v>260000</v>
      </c>
      <c r="H35" s="61">
        <v>260000</v>
      </c>
      <c r="I35" s="60">
        <f t="shared" si="10"/>
        <v>259999</v>
      </c>
      <c r="J35" s="63">
        <v>0</v>
      </c>
      <c r="K35" s="65">
        <v>259999</v>
      </c>
      <c r="L35" s="65">
        <v>259999</v>
      </c>
      <c r="M35" s="111">
        <f t="shared" si="4"/>
        <v>0.99999615384615381</v>
      </c>
      <c r="N35" s="111" t="str">
        <f t="shared" si="5"/>
        <v/>
      </c>
      <c r="O35" s="111">
        <f t="shared" si="6"/>
        <v>0.99999615384615381</v>
      </c>
      <c r="P35" s="111">
        <f t="shared" si="7"/>
        <v>0.99999615384615381</v>
      </c>
    </row>
    <row r="36" spans="1:18" s="40" customFormat="1" ht="18" x14ac:dyDescent="0.3">
      <c r="A36" s="25" t="s">
        <v>337</v>
      </c>
      <c r="B36" s="24">
        <v>7640</v>
      </c>
      <c r="C36" s="25" t="s">
        <v>6</v>
      </c>
      <c r="D36" s="102" t="s">
        <v>7</v>
      </c>
      <c r="E36" s="60">
        <f t="shared" ref="E36" si="13">F36+G36</f>
        <v>1680000</v>
      </c>
      <c r="F36" s="61"/>
      <c r="G36" s="61">
        <v>1680000</v>
      </c>
      <c r="H36" s="61">
        <v>1680000</v>
      </c>
      <c r="I36" s="60">
        <f t="shared" si="10"/>
        <v>0</v>
      </c>
      <c r="J36" s="63">
        <v>0</v>
      </c>
      <c r="K36" s="65"/>
      <c r="L36" s="65"/>
      <c r="M36" s="111">
        <f t="shared" si="4"/>
        <v>0</v>
      </c>
      <c r="N36" s="111" t="str">
        <f t="shared" si="5"/>
        <v/>
      </c>
      <c r="O36" s="111">
        <f t="shared" si="6"/>
        <v>0</v>
      </c>
      <c r="P36" s="111">
        <f t="shared" si="7"/>
        <v>0</v>
      </c>
    </row>
    <row r="37" spans="1:18" s="41" customFormat="1" ht="36" x14ac:dyDescent="0.3">
      <c r="A37" s="20" t="s">
        <v>113</v>
      </c>
      <c r="B37" s="20" t="s">
        <v>112</v>
      </c>
      <c r="C37" s="20" t="s">
        <v>22</v>
      </c>
      <c r="D37" s="21" t="s">
        <v>114</v>
      </c>
      <c r="E37" s="60">
        <f t="shared" si="8"/>
        <v>110000</v>
      </c>
      <c r="F37" s="61">
        <v>110000</v>
      </c>
      <c r="G37" s="61"/>
      <c r="H37" s="61"/>
      <c r="I37" s="60">
        <f t="shared" si="10"/>
        <v>76895</v>
      </c>
      <c r="J37" s="62">
        <v>76895</v>
      </c>
      <c r="K37" s="62"/>
      <c r="L37" s="62"/>
      <c r="M37" s="111">
        <f t="shared" si="4"/>
        <v>0.69904545454545453</v>
      </c>
      <c r="N37" s="111">
        <f t="shared" si="5"/>
        <v>0.69904545454545453</v>
      </c>
      <c r="O37" s="111" t="str">
        <f t="shared" si="6"/>
        <v/>
      </c>
      <c r="P37" s="111" t="str">
        <f t="shared" si="7"/>
        <v/>
      </c>
    </row>
    <row r="38" spans="1:18" s="41" customFormat="1" ht="54" x14ac:dyDescent="0.3">
      <c r="A38" s="25" t="s">
        <v>344</v>
      </c>
      <c r="B38" s="24">
        <v>8110</v>
      </c>
      <c r="C38" s="25" t="s">
        <v>4</v>
      </c>
      <c r="D38" s="102" t="s">
        <v>137</v>
      </c>
      <c r="E38" s="60">
        <f t="shared" si="8"/>
        <v>91000</v>
      </c>
      <c r="F38" s="61">
        <v>91000</v>
      </c>
      <c r="G38" s="61"/>
      <c r="H38" s="61"/>
      <c r="I38" s="60">
        <f t="shared" si="10"/>
        <v>0</v>
      </c>
      <c r="J38" s="62"/>
      <c r="K38" s="62"/>
      <c r="L38" s="62"/>
      <c r="M38" s="111">
        <f t="shared" si="4"/>
        <v>0</v>
      </c>
      <c r="N38" s="111">
        <f t="shared" si="5"/>
        <v>0</v>
      </c>
      <c r="O38" s="111" t="str">
        <f t="shared" si="6"/>
        <v/>
      </c>
      <c r="P38" s="111" t="str">
        <f t="shared" si="7"/>
        <v/>
      </c>
    </row>
    <row r="39" spans="1:18" s="41" customFormat="1" ht="36" x14ac:dyDescent="0.3">
      <c r="A39" s="20" t="s">
        <v>182</v>
      </c>
      <c r="B39" s="20" t="s">
        <v>183</v>
      </c>
      <c r="C39" s="20" t="s">
        <v>160</v>
      </c>
      <c r="D39" s="21" t="s">
        <v>184</v>
      </c>
      <c r="E39" s="60">
        <f t="shared" si="8"/>
        <v>21324400</v>
      </c>
      <c r="F39" s="61">
        <v>21287101</v>
      </c>
      <c r="G39" s="61">
        <v>37299</v>
      </c>
      <c r="H39" s="61">
        <v>37299</v>
      </c>
      <c r="I39" s="60">
        <f t="shared" si="10"/>
        <v>9251677.6400000006</v>
      </c>
      <c r="J39" s="66">
        <v>9251677.6400000006</v>
      </c>
      <c r="K39" s="66"/>
      <c r="L39" s="66"/>
      <c r="M39" s="111">
        <f t="shared" si="4"/>
        <v>0.43385406576503915</v>
      </c>
      <c r="N39" s="111">
        <f t="shared" si="5"/>
        <v>0.43461425959316868</v>
      </c>
      <c r="O39" s="111">
        <f t="shared" si="6"/>
        <v>0</v>
      </c>
      <c r="P39" s="111">
        <f t="shared" si="7"/>
        <v>0</v>
      </c>
      <c r="Q39" s="43"/>
    </row>
    <row r="40" spans="1:18" s="41" customFormat="1" ht="36" x14ac:dyDescent="0.3">
      <c r="A40" s="20" t="s">
        <v>241</v>
      </c>
      <c r="B40" s="24">
        <v>8220</v>
      </c>
      <c r="C40" s="20" t="s">
        <v>160</v>
      </c>
      <c r="D40" s="21" t="s">
        <v>242</v>
      </c>
      <c r="E40" s="60">
        <f t="shared" si="8"/>
        <v>786030</v>
      </c>
      <c r="F40" s="61">
        <v>786030</v>
      </c>
      <c r="G40" s="61"/>
      <c r="H40" s="61"/>
      <c r="I40" s="60">
        <f t="shared" si="10"/>
        <v>62010</v>
      </c>
      <c r="J40" s="62">
        <v>62010</v>
      </c>
      <c r="K40" s="66"/>
      <c r="L40" s="66"/>
      <c r="M40" s="111">
        <f t="shared" si="4"/>
        <v>7.8890118697759623E-2</v>
      </c>
      <c r="N40" s="111">
        <f t="shared" si="5"/>
        <v>7.8890118697759623E-2</v>
      </c>
      <c r="O40" s="111" t="str">
        <f t="shared" si="6"/>
        <v/>
      </c>
      <c r="P40" s="111" t="str">
        <f t="shared" si="7"/>
        <v/>
      </c>
      <c r="Q40" s="43"/>
    </row>
    <row r="41" spans="1:18" s="41" customFormat="1" ht="18" x14ac:dyDescent="0.3">
      <c r="A41" s="20" t="s">
        <v>243</v>
      </c>
      <c r="B41" s="20" t="s">
        <v>244</v>
      </c>
      <c r="C41" s="20" t="s">
        <v>160</v>
      </c>
      <c r="D41" s="21" t="s">
        <v>245</v>
      </c>
      <c r="E41" s="60">
        <f t="shared" si="8"/>
        <v>2105800</v>
      </c>
      <c r="F41" s="61">
        <v>2105800</v>
      </c>
      <c r="G41" s="61"/>
      <c r="H41" s="61"/>
      <c r="I41" s="60">
        <f t="shared" si="10"/>
        <v>992556</v>
      </c>
      <c r="J41" s="62">
        <v>992556</v>
      </c>
      <c r="K41" s="66"/>
      <c r="L41" s="66"/>
      <c r="M41" s="111">
        <f t="shared" si="4"/>
        <v>0.47134390730363757</v>
      </c>
      <c r="N41" s="111">
        <f t="shared" si="5"/>
        <v>0.47134390730363757</v>
      </c>
      <c r="O41" s="111" t="str">
        <f t="shared" si="6"/>
        <v/>
      </c>
      <c r="P41" s="111" t="str">
        <f t="shared" si="7"/>
        <v/>
      </c>
      <c r="Q41" s="43"/>
    </row>
    <row r="42" spans="1:18" s="41" customFormat="1" ht="18" x14ac:dyDescent="0.3">
      <c r="A42" s="26" t="s">
        <v>320</v>
      </c>
      <c r="B42" s="26" t="s">
        <v>246</v>
      </c>
      <c r="C42" s="26" t="s">
        <v>160</v>
      </c>
      <c r="D42" s="21" t="s">
        <v>247</v>
      </c>
      <c r="E42" s="60">
        <f t="shared" ref="E42" si="14">F42+G42</f>
        <v>1276500</v>
      </c>
      <c r="F42" s="61"/>
      <c r="G42" s="61">
        <v>1276500</v>
      </c>
      <c r="H42" s="61">
        <f>G42</f>
        <v>1276500</v>
      </c>
      <c r="I42" s="60">
        <f t="shared" si="10"/>
        <v>1276500</v>
      </c>
      <c r="J42" s="62">
        <v>0</v>
      </c>
      <c r="K42" s="66">
        <f>L42</f>
        <v>1276500</v>
      </c>
      <c r="L42" s="66">
        <v>1276500</v>
      </c>
      <c r="M42" s="111">
        <f t="shared" si="4"/>
        <v>1</v>
      </c>
      <c r="N42" s="111" t="str">
        <f t="shared" si="5"/>
        <v/>
      </c>
      <c r="O42" s="111">
        <f t="shared" si="6"/>
        <v>1</v>
      </c>
      <c r="P42" s="111">
        <f t="shared" si="7"/>
        <v>1</v>
      </c>
      <c r="Q42" s="43"/>
    </row>
    <row r="43" spans="1:18" s="41" customFormat="1" ht="36" x14ac:dyDescent="0.3">
      <c r="A43" s="20" t="s">
        <v>127</v>
      </c>
      <c r="B43" s="20" t="s">
        <v>126</v>
      </c>
      <c r="C43" s="20" t="s">
        <v>42</v>
      </c>
      <c r="D43" s="21" t="s">
        <v>135</v>
      </c>
      <c r="E43" s="60">
        <f t="shared" si="8"/>
        <v>100000</v>
      </c>
      <c r="F43" s="61"/>
      <c r="G43" s="61">
        <v>100000</v>
      </c>
      <c r="H43" s="61"/>
      <c r="I43" s="60">
        <f t="shared" si="10"/>
        <v>20000</v>
      </c>
      <c r="J43" s="62"/>
      <c r="K43" s="66">
        <v>20000</v>
      </c>
      <c r="L43" s="66"/>
      <c r="M43" s="111">
        <f t="shared" si="4"/>
        <v>0.2</v>
      </c>
      <c r="N43" s="111" t="str">
        <f t="shared" si="5"/>
        <v/>
      </c>
      <c r="O43" s="111">
        <f t="shared" si="6"/>
        <v>0.2</v>
      </c>
      <c r="P43" s="111" t="str">
        <f t="shared" si="7"/>
        <v/>
      </c>
      <c r="R43" s="44"/>
    </row>
    <row r="44" spans="1:18" s="41" customFormat="1" ht="36" x14ac:dyDescent="0.3">
      <c r="A44" s="25" t="s">
        <v>345</v>
      </c>
      <c r="B44" s="24">
        <v>8775</v>
      </c>
      <c r="C44" s="25" t="s">
        <v>5</v>
      </c>
      <c r="D44" s="102" t="s">
        <v>346</v>
      </c>
      <c r="E44" s="60">
        <f t="shared" si="8"/>
        <v>590000</v>
      </c>
      <c r="F44" s="61">
        <v>590000</v>
      </c>
      <c r="G44" s="61"/>
      <c r="H44" s="61"/>
      <c r="I44" s="60">
        <f t="shared" si="10"/>
        <v>479344.72</v>
      </c>
      <c r="J44" s="62">
        <v>479344.72</v>
      </c>
      <c r="K44" s="66"/>
      <c r="L44" s="66"/>
      <c r="M44" s="111">
        <f t="shared" si="4"/>
        <v>0.81244867796610165</v>
      </c>
      <c r="N44" s="111">
        <f t="shared" si="5"/>
        <v>0.81244867796610165</v>
      </c>
      <c r="O44" s="111" t="str">
        <f t="shared" si="6"/>
        <v/>
      </c>
      <c r="P44" s="111" t="str">
        <f t="shared" si="7"/>
        <v/>
      </c>
      <c r="R44" s="44"/>
    </row>
    <row r="45" spans="1:18" s="45" customFormat="1" ht="34.799999999999997" x14ac:dyDescent="0.3">
      <c r="A45" s="18" t="s">
        <v>54</v>
      </c>
      <c r="B45" s="18" t="s">
        <v>231</v>
      </c>
      <c r="C45" s="18" t="s">
        <v>231</v>
      </c>
      <c r="D45" s="19" t="s">
        <v>304</v>
      </c>
      <c r="E45" s="58">
        <f t="shared" si="8"/>
        <v>472684707.99000001</v>
      </c>
      <c r="F45" s="59">
        <f>F46</f>
        <v>444141468.99000001</v>
      </c>
      <c r="G45" s="59">
        <f t="shared" ref="G45:H45" si="15">G46</f>
        <v>28543239</v>
      </c>
      <c r="H45" s="59">
        <f t="shared" si="15"/>
        <v>10510323</v>
      </c>
      <c r="I45" s="58">
        <f t="shared" si="10"/>
        <v>212859232.85999995</v>
      </c>
      <c r="J45" s="67">
        <f>J46</f>
        <v>203974208.06999996</v>
      </c>
      <c r="K45" s="67">
        <f t="shared" ref="K45:L45" si="16">K46</f>
        <v>8885024.790000001</v>
      </c>
      <c r="L45" s="67">
        <f t="shared" si="16"/>
        <v>287282.61</v>
      </c>
      <c r="M45" s="109">
        <f t="shared" si="4"/>
        <v>0.45031969357575058</v>
      </c>
      <c r="N45" s="109">
        <f t="shared" si="5"/>
        <v>0.45925503991745592</v>
      </c>
      <c r="O45" s="109">
        <f t="shared" si="6"/>
        <v>0.3112829903431773</v>
      </c>
      <c r="P45" s="109">
        <f t="shared" si="7"/>
        <v>2.7333375958093771E-2</v>
      </c>
      <c r="R45" s="46"/>
    </row>
    <row r="46" spans="1:18" s="45" customFormat="1" ht="34.799999999999997" x14ac:dyDescent="0.3">
      <c r="A46" s="18" t="s">
        <v>55</v>
      </c>
      <c r="B46" s="18" t="s">
        <v>231</v>
      </c>
      <c r="C46" s="18" t="s">
        <v>231</v>
      </c>
      <c r="D46" s="19" t="s">
        <v>304</v>
      </c>
      <c r="E46" s="59">
        <f>E47+E48+E49+E50+E51+E52+E53+E54+E55+E56+E57+E58+E59+E61+E65+E66+E60+E67+E68+E69+E70</f>
        <v>472684707.99000001</v>
      </c>
      <c r="F46" s="59">
        <f>F47+F48+F49+F50+F51+F52+F53+F54+F55+F56+F57+F58+F60+F67+F68+F69+F70+F59+F61+F65</f>
        <v>444141468.99000001</v>
      </c>
      <c r="G46" s="59">
        <f>G47+G48+G49+G50+G51+G52+G53+G54+G55+G56+G57+G58+G60+G67+G68+G69+G70+G66+G65</f>
        <v>28543239</v>
      </c>
      <c r="H46" s="59">
        <f>H47+H48+H49+H50+H51+H52+H53+H54+H55+H56+H57+H58+H60+H67+H68+H69+H70+H66+H65</f>
        <v>10510323</v>
      </c>
      <c r="I46" s="59">
        <f>I47+I48+I49+I50+I51+I52+I53+I54+I55+I56+I57+I58+I59+KI60+I60+I61+I67+I68+I69+I70</f>
        <v>212859232.86000001</v>
      </c>
      <c r="J46" s="59">
        <f>J47+J48+J49+J50+J51+J52+J53+J54+J55+J56+J57+J58+J60+J67+J68+J69+J70+J59+J61+J65</f>
        <v>203974208.06999996</v>
      </c>
      <c r="K46" s="59">
        <f>K47+K48+K49+K50+K51+K52+K53+K54+K55+K56+K57+K58+K60+K67+K68+K69+K70+K65</f>
        <v>8885024.790000001</v>
      </c>
      <c r="L46" s="59">
        <f>L47+L48+L49+L50+L51+L52+L53+L54+L55+L56+L57+L58+L60+L67+L68+L69+L70</f>
        <v>287282.61</v>
      </c>
      <c r="M46" s="109">
        <f t="shared" si="4"/>
        <v>0.45031969357575075</v>
      </c>
      <c r="N46" s="109">
        <f t="shared" si="5"/>
        <v>0.45925503991745592</v>
      </c>
      <c r="O46" s="109">
        <f t="shared" si="6"/>
        <v>0.3112829903431773</v>
      </c>
      <c r="P46" s="109">
        <f t="shared" si="7"/>
        <v>2.7333375958093771E-2</v>
      </c>
    </row>
    <row r="47" spans="1:18" s="41" customFormat="1" ht="54" x14ac:dyDescent="0.3">
      <c r="A47" s="20" t="s">
        <v>57</v>
      </c>
      <c r="B47" s="20" t="s">
        <v>56</v>
      </c>
      <c r="C47" s="20" t="s">
        <v>2</v>
      </c>
      <c r="D47" s="21" t="s">
        <v>248</v>
      </c>
      <c r="E47" s="60">
        <f t="shared" si="8"/>
        <v>5115833</v>
      </c>
      <c r="F47" s="61">
        <v>5115833</v>
      </c>
      <c r="G47" s="61"/>
      <c r="H47" s="61"/>
      <c r="I47" s="60">
        <f t="shared" si="10"/>
        <v>2031238.35</v>
      </c>
      <c r="J47" s="62">
        <v>2031238.35</v>
      </c>
      <c r="K47" s="66"/>
      <c r="L47" s="66"/>
      <c r="M47" s="111">
        <f t="shared" si="4"/>
        <v>0.39704938570121429</v>
      </c>
      <c r="N47" s="111">
        <f t="shared" si="5"/>
        <v>0.39704938570121429</v>
      </c>
      <c r="O47" s="111" t="str">
        <f t="shared" si="6"/>
        <v/>
      </c>
      <c r="P47" s="111" t="str">
        <f t="shared" si="7"/>
        <v/>
      </c>
    </row>
    <row r="48" spans="1:18" s="41" customFormat="1" ht="18" x14ac:dyDescent="0.3">
      <c r="A48" s="20" t="s">
        <v>249</v>
      </c>
      <c r="B48" s="20" t="s">
        <v>9</v>
      </c>
      <c r="C48" s="20" t="s">
        <v>5</v>
      </c>
      <c r="D48" s="21" t="s">
        <v>102</v>
      </c>
      <c r="E48" s="60">
        <f t="shared" si="8"/>
        <v>99000</v>
      </c>
      <c r="F48" s="61">
        <v>99000</v>
      </c>
      <c r="G48" s="61"/>
      <c r="H48" s="61"/>
      <c r="I48" s="60">
        <f t="shared" si="10"/>
        <v>44910</v>
      </c>
      <c r="J48" s="62">
        <v>44910</v>
      </c>
      <c r="K48" s="66"/>
      <c r="L48" s="66"/>
      <c r="M48" s="111">
        <f t="shared" si="4"/>
        <v>0.45363636363636362</v>
      </c>
      <c r="N48" s="111">
        <f t="shared" si="5"/>
        <v>0.45363636363636362</v>
      </c>
      <c r="O48" s="111" t="str">
        <f t="shared" si="6"/>
        <v/>
      </c>
      <c r="P48" s="111" t="str">
        <f t="shared" si="7"/>
        <v/>
      </c>
    </row>
    <row r="49" spans="1:16" s="41" customFormat="1" ht="18" x14ac:dyDescent="0.3">
      <c r="A49" s="20" t="s">
        <v>58</v>
      </c>
      <c r="B49" s="20" t="s">
        <v>10</v>
      </c>
      <c r="C49" s="20" t="s">
        <v>11</v>
      </c>
      <c r="D49" s="21" t="s">
        <v>59</v>
      </c>
      <c r="E49" s="60">
        <f t="shared" si="8"/>
        <v>121349887</v>
      </c>
      <c r="F49" s="61">
        <v>101341174</v>
      </c>
      <c r="G49" s="61">
        <f>3908713+16100000</f>
        <v>20008713</v>
      </c>
      <c r="H49" s="61">
        <f>3908713</f>
        <v>3908713</v>
      </c>
      <c r="I49" s="60">
        <f t="shared" si="10"/>
        <v>39671400.020000003</v>
      </c>
      <c r="J49" s="62">
        <v>38529979.810000002</v>
      </c>
      <c r="K49" s="66">
        <f>287282.61+752389.38+101748.22</f>
        <v>1141420.21</v>
      </c>
      <c r="L49" s="66">
        <f>287282.61</f>
        <v>287282.61</v>
      </c>
      <c r="M49" s="111">
        <f t="shared" si="4"/>
        <v>0.32691748629316814</v>
      </c>
      <c r="N49" s="111">
        <f t="shared" si="5"/>
        <v>0.38020064588949803</v>
      </c>
      <c r="O49" s="111">
        <f t="shared" si="6"/>
        <v>5.7046158341118688E-2</v>
      </c>
      <c r="P49" s="111">
        <f t="shared" si="7"/>
        <v>7.3498005609519038E-2</v>
      </c>
    </row>
    <row r="50" spans="1:16" s="41" customFormat="1" ht="54" x14ac:dyDescent="0.3">
      <c r="A50" s="20" t="s">
        <v>188</v>
      </c>
      <c r="B50" s="20" t="s">
        <v>189</v>
      </c>
      <c r="C50" s="20" t="s">
        <v>13</v>
      </c>
      <c r="D50" s="21" t="s">
        <v>305</v>
      </c>
      <c r="E50" s="60">
        <f t="shared" si="8"/>
        <v>95514313</v>
      </c>
      <c r="F50" s="61">
        <v>93062543</v>
      </c>
      <c r="G50" s="61">
        <f>2254770+197000</f>
        <v>2451770</v>
      </c>
      <c r="H50" s="61">
        <f>2254770</f>
        <v>2254770</v>
      </c>
      <c r="I50" s="60">
        <f t="shared" si="10"/>
        <v>37562679.490000002</v>
      </c>
      <c r="J50" s="62">
        <v>36209505.090000004</v>
      </c>
      <c r="K50" s="66">
        <f>6590.1+1346584.3</f>
        <v>1353174.4000000001</v>
      </c>
      <c r="L50" s="66"/>
      <c r="M50" s="111">
        <f t="shared" si="4"/>
        <v>0.39326754609018655</v>
      </c>
      <c r="N50" s="111">
        <f t="shared" si="5"/>
        <v>0.38908785342347674</v>
      </c>
      <c r="O50" s="111">
        <f t="shared" si="6"/>
        <v>0.55191734950668303</v>
      </c>
      <c r="P50" s="111">
        <f t="shared" si="7"/>
        <v>0</v>
      </c>
    </row>
    <row r="51" spans="1:16" s="41" customFormat="1" ht="90" x14ac:dyDescent="0.3">
      <c r="A51" s="20" t="s">
        <v>190</v>
      </c>
      <c r="B51" s="20" t="s">
        <v>191</v>
      </c>
      <c r="C51" s="20" t="s">
        <v>15</v>
      </c>
      <c r="D51" s="21" t="s">
        <v>306</v>
      </c>
      <c r="E51" s="60">
        <f t="shared" si="8"/>
        <v>14926050</v>
      </c>
      <c r="F51" s="61">
        <v>14926050</v>
      </c>
      <c r="G51" s="66"/>
      <c r="H51" s="66"/>
      <c r="I51" s="60">
        <f t="shared" si="10"/>
        <v>4836022.34</v>
      </c>
      <c r="J51" s="66">
        <v>4770770.91</v>
      </c>
      <c r="K51" s="66">
        <f>65251.43</f>
        <v>65251.43</v>
      </c>
      <c r="L51" s="66"/>
      <c r="M51" s="111">
        <f t="shared" si="4"/>
        <v>0.32399880343426424</v>
      </c>
      <c r="N51" s="111">
        <f t="shared" si="5"/>
        <v>0.3196271558784809</v>
      </c>
      <c r="O51" s="111" t="str">
        <f t="shared" si="6"/>
        <v/>
      </c>
      <c r="P51" s="111" t="str">
        <f t="shared" si="7"/>
        <v/>
      </c>
    </row>
    <row r="52" spans="1:16" s="41" customFormat="1" ht="54" x14ac:dyDescent="0.3">
      <c r="A52" s="20" t="s">
        <v>192</v>
      </c>
      <c r="B52" s="20" t="s">
        <v>193</v>
      </c>
      <c r="C52" s="20" t="s">
        <v>13</v>
      </c>
      <c r="D52" s="21" t="s">
        <v>307</v>
      </c>
      <c r="E52" s="60">
        <f t="shared" si="8"/>
        <v>146822800</v>
      </c>
      <c r="F52" s="61">
        <f>146592900+229900</f>
        <v>146822800</v>
      </c>
      <c r="G52" s="61"/>
      <c r="H52" s="61"/>
      <c r="I52" s="60">
        <f t="shared" si="10"/>
        <v>86414891.920000002</v>
      </c>
      <c r="J52" s="62">
        <f>86379999.92+34892</f>
        <v>86414891.920000002</v>
      </c>
      <c r="K52" s="66"/>
      <c r="L52" s="66"/>
      <c r="M52" s="111">
        <f t="shared" si="4"/>
        <v>0.58856588976643953</v>
      </c>
      <c r="N52" s="111">
        <f t="shared" si="5"/>
        <v>0.58856588976643953</v>
      </c>
      <c r="O52" s="111" t="str">
        <f t="shared" si="6"/>
        <v/>
      </c>
      <c r="P52" s="111" t="str">
        <f t="shared" si="7"/>
        <v/>
      </c>
    </row>
    <row r="53" spans="1:16" s="41" customFormat="1" ht="90" x14ac:dyDescent="0.3">
      <c r="A53" s="20" t="s">
        <v>194</v>
      </c>
      <c r="B53" s="20" t="s">
        <v>195</v>
      </c>
      <c r="C53" s="20" t="s">
        <v>15</v>
      </c>
      <c r="D53" s="21" t="s">
        <v>308</v>
      </c>
      <c r="E53" s="60">
        <f t="shared" si="8"/>
        <v>12600000</v>
      </c>
      <c r="F53" s="61">
        <v>12600000</v>
      </c>
      <c r="G53" s="61"/>
      <c r="H53" s="61"/>
      <c r="I53" s="60">
        <f t="shared" si="10"/>
        <v>6910691.0700000003</v>
      </c>
      <c r="J53" s="62">
        <v>6910691.0700000003</v>
      </c>
      <c r="K53" s="66"/>
      <c r="L53" s="66"/>
      <c r="M53" s="111">
        <f t="shared" si="4"/>
        <v>0.54846754523809527</v>
      </c>
      <c r="N53" s="111">
        <f t="shared" si="5"/>
        <v>0.54846754523809527</v>
      </c>
      <c r="O53" s="111" t="str">
        <f t="shared" si="6"/>
        <v/>
      </c>
      <c r="P53" s="111" t="str">
        <f t="shared" si="7"/>
        <v/>
      </c>
    </row>
    <row r="54" spans="1:16" s="41" customFormat="1" ht="54" x14ac:dyDescent="0.3">
      <c r="A54" s="20" t="s">
        <v>60</v>
      </c>
      <c r="B54" s="20" t="s">
        <v>34</v>
      </c>
      <c r="C54" s="20" t="s">
        <v>16</v>
      </c>
      <c r="D54" s="21" t="s">
        <v>196</v>
      </c>
      <c r="E54" s="60">
        <f t="shared" si="8"/>
        <v>22655552</v>
      </c>
      <c r="F54" s="61">
        <v>22455552</v>
      </c>
      <c r="G54" s="61">
        <v>200000</v>
      </c>
      <c r="H54" s="61"/>
      <c r="I54" s="60">
        <f t="shared" si="10"/>
        <v>10623871.83</v>
      </c>
      <c r="J54" s="62">
        <v>10610183.779999999</v>
      </c>
      <c r="K54" s="62">
        <f>5168.05+8520</f>
        <v>13688.05</v>
      </c>
      <c r="L54" s="62"/>
      <c r="M54" s="111">
        <f t="shared" si="4"/>
        <v>0.46893016908173324</v>
      </c>
      <c r="N54" s="111">
        <f t="shared" si="5"/>
        <v>0.47249712587782294</v>
      </c>
      <c r="O54" s="111">
        <f t="shared" si="6"/>
        <v>6.8440249999999994E-2</v>
      </c>
      <c r="P54" s="111" t="str">
        <f t="shared" si="7"/>
        <v/>
      </c>
    </row>
    <row r="55" spans="1:16" s="41" customFormat="1" ht="36" x14ac:dyDescent="0.3">
      <c r="A55" s="20" t="s">
        <v>197</v>
      </c>
      <c r="B55" s="20" t="s">
        <v>198</v>
      </c>
      <c r="C55" s="20" t="s">
        <v>17</v>
      </c>
      <c r="D55" s="21" t="s">
        <v>199</v>
      </c>
      <c r="E55" s="60">
        <f t="shared" si="8"/>
        <v>30000</v>
      </c>
      <c r="F55" s="61">
        <v>30000</v>
      </c>
      <c r="G55" s="61"/>
      <c r="H55" s="61"/>
      <c r="I55" s="60">
        <f t="shared" si="10"/>
        <v>7460</v>
      </c>
      <c r="J55" s="62">
        <v>7460</v>
      </c>
      <c r="K55" s="62"/>
      <c r="L55" s="62"/>
      <c r="M55" s="111">
        <f t="shared" si="4"/>
        <v>0.24866666666666667</v>
      </c>
      <c r="N55" s="111">
        <f t="shared" si="5"/>
        <v>0.24866666666666667</v>
      </c>
      <c r="O55" s="111" t="str">
        <f t="shared" si="6"/>
        <v/>
      </c>
      <c r="P55" s="111" t="str">
        <f t="shared" si="7"/>
        <v/>
      </c>
    </row>
    <row r="56" spans="1:16" s="41" customFormat="1" ht="36" x14ac:dyDescent="0.3">
      <c r="A56" s="20" t="s">
        <v>200</v>
      </c>
      <c r="B56" s="20" t="s">
        <v>201</v>
      </c>
      <c r="C56" s="20" t="s">
        <v>18</v>
      </c>
      <c r="D56" s="21" t="s">
        <v>152</v>
      </c>
      <c r="E56" s="60">
        <f t="shared" si="8"/>
        <v>21125853</v>
      </c>
      <c r="F56" s="61">
        <v>21122853</v>
      </c>
      <c r="G56" s="61">
        <v>3000</v>
      </c>
      <c r="H56" s="61"/>
      <c r="I56" s="60">
        <f t="shared" si="10"/>
        <v>14331885.33</v>
      </c>
      <c r="J56" s="62">
        <v>8025434.6299999999</v>
      </c>
      <c r="K56" s="66">
        <f>6306450.7</f>
        <v>6306450.7000000002</v>
      </c>
      <c r="L56" s="66"/>
      <c r="M56" s="111">
        <f t="shared" si="4"/>
        <v>0.67840504854407535</v>
      </c>
      <c r="N56" s="111">
        <f t="shared" si="5"/>
        <v>0.3799408455855845</v>
      </c>
      <c r="O56" s="111" t="s">
        <v>371</v>
      </c>
      <c r="P56" s="111" t="str">
        <f t="shared" si="7"/>
        <v/>
      </c>
    </row>
    <row r="57" spans="1:16" s="41" customFormat="1" ht="36" x14ac:dyDescent="0.3">
      <c r="A57" s="20" t="s">
        <v>202</v>
      </c>
      <c r="B57" s="20" t="s">
        <v>203</v>
      </c>
      <c r="C57" s="20" t="s">
        <v>18</v>
      </c>
      <c r="D57" s="21" t="s">
        <v>204</v>
      </c>
      <c r="E57" s="60">
        <f t="shared" si="8"/>
        <v>516520</v>
      </c>
      <c r="F57" s="61">
        <v>516520</v>
      </c>
      <c r="G57" s="61"/>
      <c r="H57" s="61"/>
      <c r="I57" s="60">
        <f t="shared" si="10"/>
        <v>161079.79</v>
      </c>
      <c r="J57" s="62">
        <v>161079.79</v>
      </c>
      <c r="K57" s="62"/>
      <c r="L57" s="62"/>
      <c r="M57" s="111">
        <f t="shared" si="4"/>
        <v>0.31185586230930074</v>
      </c>
      <c r="N57" s="111">
        <f t="shared" si="5"/>
        <v>0.31185586230930074</v>
      </c>
      <c r="O57" s="111" t="str">
        <f t="shared" si="6"/>
        <v/>
      </c>
      <c r="P57" s="111" t="str">
        <f t="shared" si="7"/>
        <v/>
      </c>
    </row>
    <row r="58" spans="1:16" s="41" customFormat="1" ht="36" x14ac:dyDescent="0.3">
      <c r="A58" s="20" t="s">
        <v>205</v>
      </c>
      <c r="B58" s="20" t="s">
        <v>206</v>
      </c>
      <c r="C58" s="20" t="s">
        <v>18</v>
      </c>
      <c r="D58" s="21" t="s">
        <v>207</v>
      </c>
      <c r="E58" s="60">
        <f t="shared" si="8"/>
        <v>2775740</v>
      </c>
      <c r="F58" s="61">
        <v>2775740</v>
      </c>
      <c r="G58" s="61"/>
      <c r="H58" s="61"/>
      <c r="I58" s="60">
        <f t="shared" si="10"/>
        <v>840063.6</v>
      </c>
      <c r="J58" s="62">
        <v>840063.6</v>
      </c>
      <c r="K58" s="62"/>
      <c r="L58" s="62"/>
      <c r="M58" s="111">
        <f t="shared" si="4"/>
        <v>0.30264491631060547</v>
      </c>
      <c r="N58" s="111">
        <f t="shared" si="5"/>
        <v>0.30264491631060547</v>
      </c>
      <c r="O58" s="111" t="str">
        <f t="shared" si="6"/>
        <v/>
      </c>
      <c r="P58" s="111" t="str">
        <f t="shared" si="7"/>
        <v/>
      </c>
    </row>
    <row r="59" spans="1:16" s="41" customFormat="1" ht="126" x14ac:dyDescent="0.3">
      <c r="A59" s="25" t="s">
        <v>347</v>
      </c>
      <c r="B59" s="24">
        <v>1154</v>
      </c>
      <c r="C59" s="25" t="s">
        <v>18</v>
      </c>
      <c r="D59" s="102" t="s">
        <v>348</v>
      </c>
      <c r="E59" s="60">
        <f t="shared" ref="E59" si="17">F59+G59</f>
        <v>245454.99</v>
      </c>
      <c r="F59" s="61">
        <v>245454.99</v>
      </c>
      <c r="G59" s="61"/>
      <c r="H59" s="61"/>
      <c r="I59" s="60">
        <f t="shared" si="10"/>
        <v>245454.99</v>
      </c>
      <c r="J59" s="62">
        <v>245454.99</v>
      </c>
      <c r="K59" s="62"/>
      <c r="L59" s="62"/>
      <c r="M59" s="111">
        <f t="shared" si="4"/>
        <v>1</v>
      </c>
      <c r="N59" s="111">
        <f t="shared" si="5"/>
        <v>1</v>
      </c>
      <c r="O59" s="111" t="str">
        <f t="shared" si="6"/>
        <v/>
      </c>
      <c r="P59" s="111" t="str">
        <f t="shared" si="7"/>
        <v/>
      </c>
    </row>
    <row r="60" spans="1:16" s="41" customFormat="1" ht="36" x14ac:dyDescent="0.3">
      <c r="A60" s="25" t="s">
        <v>288</v>
      </c>
      <c r="B60" s="25" t="s">
        <v>289</v>
      </c>
      <c r="C60" s="26" t="s">
        <v>18</v>
      </c>
      <c r="D60" s="21" t="s">
        <v>290</v>
      </c>
      <c r="E60" s="60">
        <f t="shared" si="8"/>
        <v>4467418</v>
      </c>
      <c r="F60" s="61">
        <v>4467418</v>
      </c>
      <c r="G60" s="61"/>
      <c r="H60" s="61"/>
      <c r="I60" s="60">
        <f t="shared" si="10"/>
        <v>1891175.87</v>
      </c>
      <c r="J60" s="62">
        <v>1891175.87</v>
      </c>
      <c r="K60" s="62"/>
      <c r="L60" s="62"/>
      <c r="M60" s="111">
        <f t="shared" si="4"/>
        <v>0.42332637554847119</v>
      </c>
      <c r="N60" s="111">
        <f t="shared" si="5"/>
        <v>0.42332637554847119</v>
      </c>
      <c r="O60" s="111" t="str">
        <f t="shared" si="6"/>
        <v/>
      </c>
      <c r="P60" s="111" t="str">
        <f t="shared" si="7"/>
        <v/>
      </c>
    </row>
    <row r="61" spans="1:16" s="41" customFormat="1" ht="90" x14ac:dyDescent="0.3">
      <c r="A61" s="78" t="s">
        <v>349</v>
      </c>
      <c r="B61" s="78" t="s">
        <v>350</v>
      </c>
      <c r="C61" s="78" t="s">
        <v>18</v>
      </c>
      <c r="D61" s="103" t="s">
        <v>351</v>
      </c>
      <c r="E61" s="60">
        <f t="shared" ref="E61:E65" si="18">F61+G61</f>
        <v>97284</v>
      </c>
      <c r="F61" s="61">
        <f>F63+F64</f>
        <v>97284</v>
      </c>
      <c r="G61" s="61"/>
      <c r="H61" s="61"/>
      <c r="I61" s="60">
        <f t="shared" si="10"/>
        <v>94848.34</v>
      </c>
      <c r="J61" s="62">
        <f>J63+J64</f>
        <v>94848.34</v>
      </c>
      <c r="K61" s="62"/>
      <c r="L61" s="62"/>
      <c r="M61" s="111">
        <f t="shared" si="4"/>
        <v>0.97496340610994614</v>
      </c>
      <c r="N61" s="111">
        <f t="shared" si="5"/>
        <v>0.97496340610994614</v>
      </c>
      <c r="O61" s="111" t="str">
        <f t="shared" si="6"/>
        <v/>
      </c>
      <c r="P61" s="111" t="str">
        <f t="shared" si="7"/>
        <v/>
      </c>
    </row>
    <row r="62" spans="1:16" s="41" customFormat="1" ht="18" x14ac:dyDescent="0.3">
      <c r="A62" s="78"/>
      <c r="B62" s="78"/>
      <c r="C62" s="78"/>
      <c r="D62" s="103" t="s">
        <v>352</v>
      </c>
      <c r="E62" s="60">
        <f t="shared" si="18"/>
        <v>0</v>
      </c>
      <c r="F62" s="61"/>
      <c r="G62" s="61"/>
      <c r="H62" s="61"/>
      <c r="I62" s="60">
        <f t="shared" si="10"/>
        <v>0</v>
      </c>
      <c r="J62" s="62"/>
      <c r="K62" s="62"/>
      <c r="L62" s="62"/>
      <c r="M62" s="111" t="str">
        <f t="shared" si="4"/>
        <v/>
      </c>
      <c r="N62" s="111" t="str">
        <f t="shared" si="5"/>
        <v/>
      </c>
      <c r="O62" s="111" t="str">
        <f t="shared" si="6"/>
        <v/>
      </c>
      <c r="P62" s="111" t="str">
        <f t="shared" si="7"/>
        <v/>
      </c>
    </row>
    <row r="63" spans="1:16" s="40" customFormat="1" ht="72" x14ac:dyDescent="0.3">
      <c r="A63" s="104"/>
      <c r="B63" s="104"/>
      <c r="C63" s="104"/>
      <c r="D63" s="105" t="s">
        <v>353</v>
      </c>
      <c r="E63" s="63">
        <f t="shared" si="18"/>
        <v>60434</v>
      </c>
      <c r="F63" s="115">
        <v>60434</v>
      </c>
      <c r="G63" s="64"/>
      <c r="H63" s="64"/>
      <c r="I63" s="63">
        <f t="shared" si="10"/>
        <v>58466.62</v>
      </c>
      <c r="J63" s="65">
        <v>58466.62</v>
      </c>
      <c r="K63" s="65"/>
      <c r="L63" s="65"/>
      <c r="M63" s="114">
        <f t="shared" si="4"/>
        <v>0.96744580865075958</v>
      </c>
      <c r="N63" s="114">
        <f t="shared" si="5"/>
        <v>0.96744580865075958</v>
      </c>
      <c r="O63" s="114" t="str">
        <f t="shared" si="6"/>
        <v/>
      </c>
      <c r="P63" s="114" t="str">
        <f t="shared" si="7"/>
        <v/>
      </c>
    </row>
    <row r="64" spans="1:16" s="40" customFormat="1" ht="72" x14ac:dyDescent="0.3">
      <c r="A64" s="104"/>
      <c r="B64" s="104"/>
      <c r="C64" s="104"/>
      <c r="D64" s="105" t="s">
        <v>354</v>
      </c>
      <c r="E64" s="63">
        <f t="shared" si="18"/>
        <v>36850</v>
      </c>
      <c r="F64" s="115">
        <v>36850</v>
      </c>
      <c r="G64" s="64"/>
      <c r="H64" s="64"/>
      <c r="I64" s="63">
        <f t="shared" si="10"/>
        <v>36381.72</v>
      </c>
      <c r="J64" s="65">
        <v>36381.72</v>
      </c>
      <c r="K64" s="65"/>
      <c r="L64" s="65"/>
      <c r="M64" s="114">
        <f t="shared" si="4"/>
        <v>0.98729226594301223</v>
      </c>
      <c r="N64" s="114">
        <f t="shared" si="5"/>
        <v>0.98729226594301223</v>
      </c>
      <c r="O64" s="114" t="str">
        <f t="shared" si="6"/>
        <v/>
      </c>
      <c r="P64" s="114" t="str">
        <f t="shared" si="7"/>
        <v/>
      </c>
    </row>
    <row r="65" spans="1:16" s="41" customFormat="1" ht="126" x14ac:dyDescent="0.3">
      <c r="A65" s="25" t="s">
        <v>355</v>
      </c>
      <c r="B65" s="24">
        <v>1291</v>
      </c>
      <c r="C65" s="78" t="s">
        <v>18</v>
      </c>
      <c r="D65" s="102" t="s">
        <v>356</v>
      </c>
      <c r="E65" s="60">
        <f t="shared" si="18"/>
        <v>656964</v>
      </c>
      <c r="F65" s="61"/>
      <c r="G65" s="61">
        <v>656964</v>
      </c>
      <c r="H65" s="61">
        <v>656964</v>
      </c>
      <c r="I65" s="60">
        <f t="shared" si="10"/>
        <v>0</v>
      </c>
      <c r="J65" s="62"/>
      <c r="K65" s="62"/>
      <c r="L65" s="62"/>
      <c r="M65" s="111">
        <f t="shared" si="4"/>
        <v>0</v>
      </c>
      <c r="N65" s="111" t="str">
        <f t="shared" si="5"/>
        <v/>
      </c>
      <c r="O65" s="111">
        <f t="shared" si="6"/>
        <v>0</v>
      </c>
      <c r="P65" s="111">
        <f t="shared" si="7"/>
        <v>0</v>
      </c>
    </row>
    <row r="66" spans="1:16" s="41" customFormat="1" ht="126" x14ac:dyDescent="0.3">
      <c r="A66" s="78" t="s">
        <v>332</v>
      </c>
      <c r="B66" s="78" t="s">
        <v>333</v>
      </c>
      <c r="C66" s="78" t="s">
        <v>18</v>
      </c>
      <c r="D66" s="106" t="s">
        <v>334</v>
      </c>
      <c r="E66" s="60">
        <f t="shared" si="8"/>
        <v>1532916</v>
      </c>
      <c r="F66" s="61"/>
      <c r="G66" s="61">
        <v>1532916</v>
      </c>
      <c r="H66" s="61"/>
      <c r="I66" s="60">
        <f t="shared" si="10"/>
        <v>0</v>
      </c>
      <c r="J66" s="62"/>
      <c r="K66" s="62"/>
      <c r="L66" s="62"/>
      <c r="M66" s="111">
        <f t="shared" si="4"/>
        <v>0</v>
      </c>
      <c r="N66" s="111" t="str">
        <f t="shared" si="5"/>
        <v/>
      </c>
      <c r="O66" s="111">
        <f t="shared" si="6"/>
        <v>0</v>
      </c>
      <c r="P66" s="111" t="str">
        <f t="shared" si="7"/>
        <v/>
      </c>
    </row>
    <row r="67" spans="1:16" s="40" customFormat="1" ht="90" x14ac:dyDescent="0.3">
      <c r="A67" s="20" t="s">
        <v>291</v>
      </c>
      <c r="B67" s="20" t="s">
        <v>292</v>
      </c>
      <c r="C67" s="20" t="s">
        <v>19</v>
      </c>
      <c r="D67" s="21" t="s">
        <v>293</v>
      </c>
      <c r="E67" s="63">
        <f t="shared" si="8"/>
        <v>3339500</v>
      </c>
      <c r="F67" s="64">
        <v>3339500</v>
      </c>
      <c r="G67" s="64"/>
      <c r="H67" s="64"/>
      <c r="I67" s="60">
        <f t="shared" si="10"/>
        <v>1164942</v>
      </c>
      <c r="J67" s="65">
        <v>1164942</v>
      </c>
      <c r="K67" s="65"/>
      <c r="L67" s="65"/>
      <c r="M67" s="111">
        <f t="shared" si="4"/>
        <v>0.34883725108549185</v>
      </c>
      <c r="N67" s="111">
        <f t="shared" si="5"/>
        <v>0.34883725108549185</v>
      </c>
      <c r="O67" s="111" t="str">
        <f t="shared" si="6"/>
        <v/>
      </c>
      <c r="P67" s="111" t="str">
        <f t="shared" si="7"/>
        <v/>
      </c>
    </row>
    <row r="68" spans="1:16" s="42" customFormat="1" ht="36" x14ac:dyDescent="0.3">
      <c r="A68" s="20" t="s">
        <v>149</v>
      </c>
      <c r="B68" s="20" t="s">
        <v>146</v>
      </c>
      <c r="C68" s="20" t="s">
        <v>3</v>
      </c>
      <c r="D68" s="21" t="s">
        <v>147</v>
      </c>
      <c r="E68" s="60">
        <f t="shared" si="8"/>
        <v>3100000</v>
      </c>
      <c r="F68" s="61">
        <v>3100000</v>
      </c>
      <c r="G68" s="61"/>
      <c r="H68" s="61"/>
      <c r="I68" s="60">
        <f t="shared" si="10"/>
        <v>1156719.1399999999</v>
      </c>
      <c r="J68" s="62">
        <v>1156719.1399999999</v>
      </c>
      <c r="K68" s="62"/>
      <c r="L68" s="62"/>
      <c r="M68" s="111">
        <f t="shared" si="4"/>
        <v>0.37313520645161286</v>
      </c>
      <c r="N68" s="111">
        <f t="shared" si="5"/>
        <v>0.37313520645161286</v>
      </c>
      <c r="O68" s="111" t="str">
        <f t="shared" si="6"/>
        <v/>
      </c>
      <c r="P68" s="111" t="str">
        <f t="shared" si="7"/>
        <v/>
      </c>
    </row>
    <row r="69" spans="1:16" s="42" customFormat="1" ht="54" x14ac:dyDescent="0.3">
      <c r="A69" s="20" t="s">
        <v>67</v>
      </c>
      <c r="B69" s="20" t="s">
        <v>48</v>
      </c>
      <c r="C69" s="20" t="s">
        <v>20</v>
      </c>
      <c r="D69" s="21" t="s">
        <v>21</v>
      </c>
      <c r="E69" s="60">
        <f t="shared" si="8"/>
        <v>11923747</v>
      </c>
      <c r="F69" s="61">
        <v>11923747</v>
      </c>
      <c r="G69" s="61"/>
      <c r="H69" s="61"/>
      <c r="I69" s="60">
        <f t="shared" si="10"/>
        <v>4861690.78</v>
      </c>
      <c r="J69" s="62">
        <v>4856650.78</v>
      </c>
      <c r="K69" s="62">
        <v>5040</v>
      </c>
      <c r="L69" s="62"/>
      <c r="M69" s="111">
        <f t="shared" si="4"/>
        <v>0.40773179605370696</v>
      </c>
      <c r="N69" s="111">
        <f t="shared" si="5"/>
        <v>0.40730911013123644</v>
      </c>
      <c r="O69" s="111" t="str">
        <f t="shared" si="6"/>
        <v/>
      </c>
      <c r="P69" s="111" t="str">
        <f t="shared" si="7"/>
        <v/>
      </c>
    </row>
    <row r="70" spans="1:16" s="39" customFormat="1" ht="54" x14ac:dyDescent="0.3">
      <c r="A70" s="25" t="s">
        <v>284</v>
      </c>
      <c r="B70" s="24">
        <v>8110</v>
      </c>
      <c r="C70" s="25" t="s">
        <v>4</v>
      </c>
      <c r="D70" s="21" t="s">
        <v>137</v>
      </c>
      <c r="E70" s="60">
        <f t="shared" si="8"/>
        <v>3789876</v>
      </c>
      <c r="F70" s="61">
        <v>100000</v>
      </c>
      <c r="G70" s="61">
        <v>3689876</v>
      </c>
      <c r="H70" s="61">
        <v>3689876</v>
      </c>
      <c r="I70" s="60">
        <f t="shared" si="10"/>
        <v>8208</v>
      </c>
      <c r="J70" s="62">
        <v>8208</v>
      </c>
      <c r="K70" s="62"/>
      <c r="L70" s="62"/>
      <c r="M70" s="111">
        <f t="shared" si="4"/>
        <v>2.1657700674111765E-3</v>
      </c>
      <c r="N70" s="111">
        <f t="shared" si="5"/>
        <v>8.208E-2</v>
      </c>
      <c r="O70" s="111">
        <f t="shared" si="6"/>
        <v>0</v>
      </c>
      <c r="P70" s="111">
        <f t="shared" si="7"/>
        <v>0</v>
      </c>
    </row>
    <row r="71" spans="1:16" s="45" customFormat="1" ht="52.2" x14ac:dyDescent="0.3">
      <c r="A71" s="18" t="s">
        <v>68</v>
      </c>
      <c r="B71" s="18" t="s">
        <v>231</v>
      </c>
      <c r="C71" s="18" t="s">
        <v>231</v>
      </c>
      <c r="D71" s="19" t="s">
        <v>250</v>
      </c>
      <c r="E71" s="58">
        <f t="shared" si="8"/>
        <v>99677365</v>
      </c>
      <c r="F71" s="59">
        <f>F72</f>
        <v>99620965</v>
      </c>
      <c r="G71" s="59">
        <f t="shared" ref="G71:L71" si="19">G72</f>
        <v>56400</v>
      </c>
      <c r="H71" s="59">
        <f t="shared" si="19"/>
        <v>0</v>
      </c>
      <c r="I71" s="59">
        <f t="shared" si="19"/>
        <v>39262053.270000003</v>
      </c>
      <c r="J71" s="59">
        <f t="shared" si="19"/>
        <v>38552557.090000004</v>
      </c>
      <c r="K71" s="59">
        <f t="shared" si="19"/>
        <v>709496.17999999993</v>
      </c>
      <c r="L71" s="59">
        <f t="shared" si="19"/>
        <v>0</v>
      </c>
      <c r="M71" s="109">
        <f t="shared" si="4"/>
        <v>0.39389136410257236</v>
      </c>
      <c r="N71" s="109">
        <f t="shared" si="5"/>
        <v>0.38699240757204073</v>
      </c>
      <c r="O71" s="109" t="s">
        <v>372</v>
      </c>
      <c r="P71" s="109" t="str">
        <f t="shared" si="7"/>
        <v/>
      </c>
    </row>
    <row r="72" spans="1:16" s="39" customFormat="1" ht="52.2" x14ac:dyDescent="0.3">
      <c r="A72" s="18" t="s">
        <v>69</v>
      </c>
      <c r="B72" s="18" t="s">
        <v>231</v>
      </c>
      <c r="C72" s="18" t="s">
        <v>231</v>
      </c>
      <c r="D72" s="19" t="s">
        <v>250</v>
      </c>
      <c r="E72" s="58">
        <f t="shared" si="8"/>
        <v>99677365</v>
      </c>
      <c r="F72" s="59">
        <f>F73+F74+F75+F76+F77+F78+F79+F80+F81+F82+F83+F84+F85+F86+F87</f>
        <v>99620965</v>
      </c>
      <c r="G72" s="59">
        <f>G73+G74+G75+G76+G77+G78+G79+G80+G81+G82+G83+G84+G85+G86+G87</f>
        <v>56400</v>
      </c>
      <c r="H72" s="59">
        <f>H73+H74+H75+H76+H77+H78+H79+H80+H81+H82+H83+H84+H85+H86+H87</f>
        <v>0</v>
      </c>
      <c r="I72" s="59">
        <f>J72+K72</f>
        <v>39262053.270000003</v>
      </c>
      <c r="J72" s="59">
        <f>J73+J74+J75+J76+J77+J78+J79+J80+J81+J82+J83+J84+J85+J86+J87</f>
        <v>38552557.090000004</v>
      </c>
      <c r="K72" s="59">
        <f>K73+K74+K75+K76+K77+K78+K79+K80+K81+K82+K83+K84+K85+K86+K87</f>
        <v>709496.17999999993</v>
      </c>
      <c r="L72" s="59">
        <f>L73+L74+L75+L76+L77+L78+L79+L80+L81+L82+L83+L84+L85+L86+L87</f>
        <v>0</v>
      </c>
      <c r="M72" s="109">
        <f t="shared" si="4"/>
        <v>0.39389136410257236</v>
      </c>
      <c r="N72" s="109">
        <f t="shared" si="5"/>
        <v>0.38699240757204073</v>
      </c>
      <c r="O72" s="109" t="s">
        <v>372</v>
      </c>
      <c r="P72" s="109" t="str">
        <f t="shared" si="7"/>
        <v/>
      </c>
    </row>
    <row r="73" spans="1:16" s="42" customFormat="1" ht="54" x14ac:dyDescent="0.3">
      <c r="A73" s="20" t="s">
        <v>70</v>
      </c>
      <c r="B73" s="20" t="s">
        <v>56</v>
      </c>
      <c r="C73" s="20" t="s">
        <v>2</v>
      </c>
      <c r="D73" s="21" t="s">
        <v>248</v>
      </c>
      <c r="E73" s="60">
        <f t="shared" si="8"/>
        <v>15522300</v>
      </c>
      <c r="F73" s="61">
        <v>15522300</v>
      </c>
      <c r="G73" s="61"/>
      <c r="H73" s="61"/>
      <c r="I73" s="60">
        <f t="shared" si="10"/>
        <v>7710517.9000000004</v>
      </c>
      <c r="J73" s="62">
        <v>7710517.9000000004</v>
      </c>
      <c r="K73" s="62"/>
      <c r="L73" s="62"/>
      <c r="M73" s="111">
        <f t="shared" si="4"/>
        <v>0.4967381058219465</v>
      </c>
      <c r="N73" s="111">
        <f t="shared" si="5"/>
        <v>0.4967381058219465</v>
      </c>
      <c r="O73" s="111" t="str">
        <f t="shared" si="6"/>
        <v/>
      </c>
      <c r="P73" s="111" t="str">
        <f t="shared" si="7"/>
        <v/>
      </c>
    </row>
    <row r="74" spans="1:16" s="39" customFormat="1" ht="18" x14ac:dyDescent="0.3">
      <c r="A74" s="20" t="s">
        <v>159</v>
      </c>
      <c r="B74" s="20" t="s">
        <v>9</v>
      </c>
      <c r="C74" s="20" t="s">
        <v>5</v>
      </c>
      <c r="D74" s="21" t="s">
        <v>102</v>
      </c>
      <c r="E74" s="60">
        <f t="shared" si="8"/>
        <v>248200</v>
      </c>
      <c r="F74" s="61">
        <v>248200</v>
      </c>
      <c r="G74" s="61"/>
      <c r="H74" s="61"/>
      <c r="I74" s="60">
        <f t="shared" si="10"/>
        <v>94505</v>
      </c>
      <c r="J74" s="62">
        <v>94505</v>
      </c>
      <c r="K74" s="62"/>
      <c r="L74" s="62"/>
      <c r="M74" s="111">
        <f t="shared" si="4"/>
        <v>0.38076148267526189</v>
      </c>
      <c r="N74" s="111">
        <f t="shared" si="5"/>
        <v>0.38076148267526189</v>
      </c>
      <c r="O74" s="111" t="str">
        <f t="shared" si="6"/>
        <v/>
      </c>
      <c r="P74" s="111" t="str">
        <f t="shared" si="7"/>
        <v/>
      </c>
    </row>
    <row r="75" spans="1:16" s="39" customFormat="1" ht="36" x14ac:dyDescent="0.3">
      <c r="A75" s="20" t="s">
        <v>105</v>
      </c>
      <c r="B75" s="20" t="s">
        <v>33</v>
      </c>
      <c r="C75" s="20" t="s">
        <v>14</v>
      </c>
      <c r="D75" s="21" t="s">
        <v>104</v>
      </c>
      <c r="E75" s="60">
        <f t="shared" si="8"/>
        <v>2311000</v>
      </c>
      <c r="F75" s="61">
        <v>2311000</v>
      </c>
      <c r="G75" s="61"/>
      <c r="H75" s="61"/>
      <c r="I75" s="60">
        <f t="shared" si="10"/>
        <v>250000</v>
      </c>
      <c r="J75" s="62">
        <v>250000</v>
      </c>
      <c r="K75" s="62"/>
      <c r="L75" s="62"/>
      <c r="M75" s="111">
        <f t="shared" si="4"/>
        <v>0.10817827780181739</v>
      </c>
      <c r="N75" s="111">
        <f t="shared" si="5"/>
        <v>0.10817827780181739</v>
      </c>
      <c r="O75" s="111" t="str">
        <f t="shared" si="6"/>
        <v/>
      </c>
      <c r="P75" s="111" t="str">
        <f t="shared" si="7"/>
        <v/>
      </c>
    </row>
    <row r="76" spans="1:16" s="39" customFormat="1" ht="36" x14ac:dyDescent="0.3">
      <c r="A76" s="20" t="s">
        <v>106</v>
      </c>
      <c r="B76" s="20" t="s">
        <v>107</v>
      </c>
      <c r="C76" s="20" t="s">
        <v>34</v>
      </c>
      <c r="D76" s="21" t="s">
        <v>251</v>
      </c>
      <c r="E76" s="60">
        <f t="shared" si="8"/>
        <v>11500</v>
      </c>
      <c r="F76" s="61">
        <v>11500</v>
      </c>
      <c r="G76" s="61"/>
      <c r="H76" s="61"/>
      <c r="I76" s="60">
        <f t="shared" si="10"/>
        <v>2307.4</v>
      </c>
      <c r="J76" s="62">
        <v>2307.4</v>
      </c>
      <c r="K76" s="62"/>
      <c r="L76" s="62"/>
      <c r="M76" s="111">
        <f t="shared" si="4"/>
        <v>0.20064347826086956</v>
      </c>
      <c r="N76" s="111">
        <f t="shared" si="5"/>
        <v>0.20064347826086956</v>
      </c>
      <c r="O76" s="111" t="str">
        <f t="shared" si="6"/>
        <v/>
      </c>
      <c r="P76" s="111" t="str">
        <f t="shared" si="7"/>
        <v/>
      </c>
    </row>
    <row r="77" spans="1:16" s="39" customFormat="1" ht="54" x14ac:dyDescent="0.3">
      <c r="A77" s="20" t="s">
        <v>167</v>
      </c>
      <c r="B77" s="20" t="s">
        <v>165</v>
      </c>
      <c r="C77" s="20" t="s">
        <v>34</v>
      </c>
      <c r="D77" s="21" t="s">
        <v>166</v>
      </c>
      <c r="E77" s="60">
        <f t="shared" ref="E77:E142" si="20">F77+G77</f>
        <v>306529</v>
      </c>
      <c r="F77" s="61">
        <v>306529</v>
      </c>
      <c r="G77" s="61"/>
      <c r="H77" s="61"/>
      <c r="I77" s="60">
        <f t="shared" si="10"/>
        <v>115526.86</v>
      </c>
      <c r="J77" s="62">
        <v>115526.86</v>
      </c>
      <c r="K77" s="62"/>
      <c r="L77" s="62"/>
      <c r="M77" s="111">
        <f t="shared" si="4"/>
        <v>0.37688721132421404</v>
      </c>
      <c r="N77" s="111">
        <f t="shared" si="5"/>
        <v>0.37688721132421404</v>
      </c>
      <c r="O77" s="111" t="str">
        <f t="shared" si="6"/>
        <v/>
      </c>
      <c r="P77" s="111" t="str">
        <f t="shared" si="7"/>
        <v/>
      </c>
    </row>
    <row r="78" spans="1:16" s="39" customFormat="1" ht="36" x14ac:dyDescent="0.3">
      <c r="A78" s="20" t="s">
        <v>168</v>
      </c>
      <c r="B78" s="20" t="s">
        <v>169</v>
      </c>
      <c r="C78" s="20" t="s">
        <v>14</v>
      </c>
      <c r="D78" s="21" t="s">
        <v>170</v>
      </c>
      <c r="E78" s="60">
        <f t="shared" si="20"/>
        <v>182216</v>
      </c>
      <c r="F78" s="61">
        <v>182216</v>
      </c>
      <c r="G78" s="61"/>
      <c r="H78" s="61"/>
      <c r="I78" s="60">
        <f t="shared" si="10"/>
        <v>35322</v>
      </c>
      <c r="J78" s="62">
        <v>35322</v>
      </c>
      <c r="K78" s="62"/>
      <c r="L78" s="62"/>
      <c r="M78" s="111">
        <f t="shared" si="4"/>
        <v>0.19384686306361681</v>
      </c>
      <c r="N78" s="111">
        <f t="shared" si="5"/>
        <v>0.19384686306361681</v>
      </c>
      <c r="O78" s="111" t="str">
        <f t="shared" si="6"/>
        <v/>
      </c>
      <c r="P78" s="111" t="str">
        <f t="shared" si="7"/>
        <v/>
      </c>
    </row>
    <row r="79" spans="1:16" s="42" customFormat="1" ht="72" x14ac:dyDescent="0.3">
      <c r="A79" s="20" t="s">
        <v>117</v>
      </c>
      <c r="B79" s="20" t="s">
        <v>116</v>
      </c>
      <c r="C79" s="20" t="s">
        <v>12</v>
      </c>
      <c r="D79" s="21" t="s">
        <v>252</v>
      </c>
      <c r="E79" s="60">
        <f t="shared" si="20"/>
        <v>19693900</v>
      </c>
      <c r="F79" s="61">
        <v>19637500</v>
      </c>
      <c r="G79" s="61">
        <v>56400</v>
      </c>
      <c r="H79" s="61"/>
      <c r="I79" s="60">
        <f t="shared" si="10"/>
        <v>7623965.6799999997</v>
      </c>
      <c r="J79" s="62">
        <v>7600965.6799999997</v>
      </c>
      <c r="K79" s="62">
        <v>23000</v>
      </c>
      <c r="L79" s="62">
        <v>0</v>
      </c>
      <c r="M79" s="111">
        <f t="shared" si="4"/>
        <v>0.38712320464712424</v>
      </c>
      <c r="N79" s="111">
        <f t="shared" si="5"/>
        <v>0.38706381565881604</v>
      </c>
      <c r="O79" s="111">
        <f t="shared" si="6"/>
        <v>0.40780141843971629</v>
      </c>
      <c r="P79" s="111" t="str">
        <f t="shared" si="7"/>
        <v/>
      </c>
    </row>
    <row r="80" spans="1:16" s="39" customFormat="1" ht="36" x14ac:dyDescent="0.3">
      <c r="A80" s="20" t="s">
        <v>72</v>
      </c>
      <c r="B80" s="20" t="s">
        <v>71</v>
      </c>
      <c r="C80" s="20" t="s">
        <v>19</v>
      </c>
      <c r="D80" s="21" t="s">
        <v>253</v>
      </c>
      <c r="E80" s="60">
        <f t="shared" si="20"/>
        <v>8328600</v>
      </c>
      <c r="F80" s="61">
        <v>8328600</v>
      </c>
      <c r="G80" s="61"/>
      <c r="H80" s="61"/>
      <c r="I80" s="60">
        <f t="shared" si="10"/>
        <v>3771154.73</v>
      </c>
      <c r="J80" s="62">
        <v>3749187.73</v>
      </c>
      <c r="K80" s="62">
        <v>21967</v>
      </c>
      <c r="L80" s="62"/>
      <c r="M80" s="111">
        <f t="shared" si="4"/>
        <v>0.45279575558917468</v>
      </c>
      <c r="N80" s="111">
        <f t="shared" si="5"/>
        <v>0.45015821746752155</v>
      </c>
      <c r="O80" s="111" t="str">
        <f t="shared" si="6"/>
        <v/>
      </c>
      <c r="P80" s="111" t="str">
        <f t="shared" si="7"/>
        <v/>
      </c>
    </row>
    <row r="81" spans="1:16" s="39" customFormat="1" ht="18" x14ac:dyDescent="0.3">
      <c r="A81" s="20" t="s">
        <v>254</v>
      </c>
      <c r="B81" s="20" t="s">
        <v>83</v>
      </c>
      <c r="C81" s="20" t="s">
        <v>19</v>
      </c>
      <c r="D81" s="21" t="s">
        <v>255</v>
      </c>
      <c r="E81" s="60">
        <f t="shared" si="20"/>
        <v>700000</v>
      </c>
      <c r="F81" s="61">
        <v>700000</v>
      </c>
      <c r="G81" s="61"/>
      <c r="H81" s="61"/>
      <c r="I81" s="60">
        <f t="shared" si="10"/>
        <v>0</v>
      </c>
      <c r="J81" s="62">
        <v>0</v>
      </c>
      <c r="K81" s="62"/>
      <c r="L81" s="62"/>
      <c r="M81" s="111">
        <f t="shared" ref="M81:M144" si="21">IFERROR((I81/E81),"")</f>
        <v>0</v>
      </c>
      <c r="N81" s="111">
        <f t="shared" ref="N81:N144" si="22">IFERROR((J81/F81),"")</f>
        <v>0</v>
      </c>
      <c r="O81" s="111" t="str">
        <f t="shared" ref="O81:O144" si="23">IFERROR((K81/G81),"")</f>
        <v/>
      </c>
      <c r="P81" s="111" t="str">
        <f t="shared" ref="P81:P144" si="24">IFERROR((L81/H81),"")</f>
        <v/>
      </c>
    </row>
    <row r="82" spans="1:16" s="39" customFormat="1" ht="108" x14ac:dyDescent="0.3">
      <c r="A82" s="20" t="s">
        <v>140</v>
      </c>
      <c r="B82" s="20" t="s">
        <v>141</v>
      </c>
      <c r="C82" s="20" t="s">
        <v>10</v>
      </c>
      <c r="D82" s="21" t="s">
        <v>256</v>
      </c>
      <c r="E82" s="60">
        <f t="shared" si="20"/>
        <v>3300000</v>
      </c>
      <c r="F82" s="61">
        <v>3300000</v>
      </c>
      <c r="G82" s="61"/>
      <c r="H82" s="61"/>
      <c r="I82" s="60">
        <f t="shared" ref="I82:I87" si="25">J82+K82</f>
        <v>1332489.82</v>
      </c>
      <c r="J82" s="62">
        <v>1332489.82</v>
      </c>
      <c r="K82" s="66"/>
      <c r="L82" s="66"/>
      <c r="M82" s="111">
        <f t="shared" si="21"/>
        <v>0.40378479393939398</v>
      </c>
      <c r="N82" s="111">
        <f t="shared" si="22"/>
        <v>0.40378479393939398</v>
      </c>
      <c r="O82" s="111" t="str">
        <f t="shared" si="23"/>
        <v/>
      </c>
      <c r="P82" s="111" t="str">
        <f t="shared" si="24"/>
        <v/>
      </c>
    </row>
    <row r="83" spans="1:16" s="39" customFormat="1" ht="72" x14ac:dyDescent="0.3">
      <c r="A83" s="20" t="s">
        <v>171</v>
      </c>
      <c r="B83" s="20" t="s">
        <v>172</v>
      </c>
      <c r="C83" s="20" t="s">
        <v>10</v>
      </c>
      <c r="D83" s="21" t="s">
        <v>173</v>
      </c>
      <c r="E83" s="60">
        <f t="shared" si="20"/>
        <v>28720</v>
      </c>
      <c r="F83" s="61">
        <v>28720</v>
      </c>
      <c r="G83" s="61"/>
      <c r="H83" s="61"/>
      <c r="I83" s="60">
        <f t="shared" si="25"/>
        <v>13804.81</v>
      </c>
      <c r="J83" s="62">
        <v>13804.81</v>
      </c>
      <c r="K83" s="66"/>
      <c r="L83" s="66"/>
      <c r="M83" s="111">
        <f t="shared" si="21"/>
        <v>0.48066887186629526</v>
      </c>
      <c r="N83" s="111">
        <f t="shared" si="22"/>
        <v>0.48066887186629526</v>
      </c>
      <c r="O83" s="111" t="str">
        <f t="shared" si="23"/>
        <v/>
      </c>
      <c r="P83" s="111" t="str">
        <f t="shared" si="24"/>
        <v/>
      </c>
    </row>
    <row r="84" spans="1:16" s="39" customFormat="1" ht="90" x14ac:dyDescent="0.3">
      <c r="A84" s="20" t="s">
        <v>142</v>
      </c>
      <c r="B84" s="20" t="s">
        <v>143</v>
      </c>
      <c r="C84" s="20" t="s">
        <v>29</v>
      </c>
      <c r="D84" s="21" t="s">
        <v>257</v>
      </c>
      <c r="E84" s="60">
        <f t="shared" si="20"/>
        <v>1500000</v>
      </c>
      <c r="F84" s="61">
        <v>1500000</v>
      </c>
      <c r="G84" s="61"/>
      <c r="H84" s="61"/>
      <c r="I84" s="60">
        <f t="shared" si="25"/>
        <v>624323.99</v>
      </c>
      <c r="J84" s="62">
        <v>624323.99</v>
      </c>
      <c r="K84" s="66"/>
      <c r="L84" s="66"/>
      <c r="M84" s="111">
        <f t="shared" si="21"/>
        <v>0.41621599333333331</v>
      </c>
      <c r="N84" s="111">
        <f t="shared" si="22"/>
        <v>0.41621599333333331</v>
      </c>
      <c r="O84" s="111" t="str">
        <f t="shared" si="23"/>
        <v/>
      </c>
      <c r="P84" s="111" t="str">
        <f t="shared" si="24"/>
        <v/>
      </c>
    </row>
    <row r="85" spans="1:16" s="39" customFormat="1" ht="54" x14ac:dyDescent="0.3">
      <c r="A85" s="20" t="s">
        <v>144</v>
      </c>
      <c r="B85" s="20" t="s">
        <v>145</v>
      </c>
      <c r="C85" s="20" t="s">
        <v>14</v>
      </c>
      <c r="D85" s="21" t="s">
        <v>258</v>
      </c>
      <c r="E85" s="60">
        <f t="shared" si="20"/>
        <v>71000</v>
      </c>
      <c r="F85" s="61">
        <v>71000</v>
      </c>
      <c r="G85" s="61"/>
      <c r="H85" s="61"/>
      <c r="I85" s="60">
        <f t="shared" si="25"/>
        <v>23288.23</v>
      </c>
      <c r="J85" s="62">
        <v>23288.23</v>
      </c>
      <c r="K85" s="66"/>
      <c r="L85" s="66"/>
      <c r="M85" s="111">
        <f t="shared" si="21"/>
        <v>0.32800323943661969</v>
      </c>
      <c r="N85" s="111">
        <f t="shared" si="22"/>
        <v>0.32800323943661969</v>
      </c>
      <c r="O85" s="111" t="str">
        <f t="shared" si="23"/>
        <v/>
      </c>
      <c r="P85" s="111" t="str">
        <f t="shared" si="24"/>
        <v/>
      </c>
    </row>
    <row r="86" spans="1:16" s="39" customFormat="1" ht="54" x14ac:dyDescent="0.3">
      <c r="A86" s="26" t="s">
        <v>279</v>
      </c>
      <c r="B86" s="24">
        <v>3230</v>
      </c>
      <c r="C86" s="24">
        <v>1070</v>
      </c>
      <c r="D86" s="21" t="s">
        <v>278</v>
      </c>
      <c r="E86" s="60">
        <f t="shared" si="20"/>
        <v>688600</v>
      </c>
      <c r="F86" s="61">
        <f>191000+497600</f>
        <v>688600</v>
      </c>
      <c r="G86" s="61">
        <v>0</v>
      </c>
      <c r="H86" s="61"/>
      <c r="I86" s="60">
        <f t="shared" si="25"/>
        <v>692095.5</v>
      </c>
      <c r="J86" s="62">
        <f>122680</f>
        <v>122680</v>
      </c>
      <c r="K86" s="66">
        <v>569415.5</v>
      </c>
      <c r="L86" s="66"/>
      <c r="M86" s="111">
        <f t="shared" si="21"/>
        <v>1.0050762416497241</v>
      </c>
      <c r="N86" s="111">
        <f t="shared" si="22"/>
        <v>0.17815858263142609</v>
      </c>
      <c r="O86" s="111" t="str">
        <f t="shared" si="23"/>
        <v/>
      </c>
      <c r="P86" s="111" t="str">
        <f t="shared" si="24"/>
        <v/>
      </c>
    </row>
    <row r="87" spans="1:16" s="39" customFormat="1" ht="36" x14ac:dyDescent="0.3">
      <c r="A87" s="20" t="s">
        <v>150</v>
      </c>
      <c r="B87" s="20" t="s">
        <v>146</v>
      </c>
      <c r="C87" s="20" t="s">
        <v>3</v>
      </c>
      <c r="D87" s="21" t="s">
        <v>147</v>
      </c>
      <c r="E87" s="60">
        <f t="shared" si="20"/>
        <v>46784800</v>
      </c>
      <c r="F87" s="61">
        <f>44864900+1919900</f>
        <v>46784800</v>
      </c>
      <c r="G87" s="61">
        <v>0</v>
      </c>
      <c r="H87" s="61"/>
      <c r="I87" s="60">
        <f t="shared" si="25"/>
        <v>16972751.350000001</v>
      </c>
      <c r="J87" s="62">
        <f>16594797.67+282840</f>
        <v>16877637.670000002</v>
      </c>
      <c r="K87" s="66">
        <v>95113.68</v>
      </c>
      <c r="L87" s="66"/>
      <c r="M87" s="111">
        <f t="shared" si="21"/>
        <v>0.36278345424154856</v>
      </c>
      <c r="N87" s="111">
        <f t="shared" si="22"/>
        <v>0.36075045035994602</v>
      </c>
      <c r="O87" s="111" t="str">
        <f t="shared" si="23"/>
        <v/>
      </c>
      <c r="P87" s="111" t="str">
        <f t="shared" si="24"/>
        <v/>
      </c>
    </row>
    <row r="88" spans="1:16" s="39" customFormat="1" ht="52.2" x14ac:dyDescent="0.3">
      <c r="A88" s="50" t="s">
        <v>312</v>
      </c>
      <c r="B88" s="18" t="s">
        <v>231</v>
      </c>
      <c r="C88" s="18" t="s">
        <v>231</v>
      </c>
      <c r="D88" s="19" t="s">
        <v>313</v>
      </c>
      <c r="E88" s="58">
        <f t="shared" ref="E88" si="26">F88+G88</f>
        <v>2530500</v>
      </c>
      <c r="F88" s="59">
        <f>F89</f>
        <v>2530500</v>
      </c>
      <c r="G88" s="59">
        <f>G89</f>
        <v>0</v>
      </c>
      <c r="H88" s="59">
        <f>H89</f>
        <v>0</v>
      </c>
      <c r="I88" s="58">
        <f t="shared" ref="I88" si="27">J88+K88</f>
        <v>1103369.54</v>
      </c>
      <c r="J88" s="67">
        <f>J89</f>
        <v>1103369.54</v>
      </c>
      <c r="K88" s="59">
        <f>K89</f>
        <v>0</v>
      </c>
      <c r="L88" s="59">
        <f>L89</f>
        <v>0</v>
      </c>
      <c r="M88" s="109">
        <f t="shared" si="21"/>
        <v>0.43602827109266945</v>
      </c>
      <c r="N88" s="109">
        <f t="shared" si="22"/>
        <v>0.43602827109266945</v>
      </c>
      <c r="O88" s="109" t="str">
        <f t="shared" si="23"/>
        <v/>
      </c>
      <c r="P88" s="109" t="str">
        <f t="shared" si="24"/>
        <v/>
      </c>
    </row>
    <row r="89" spans="1:16" s="39" customFormat="1" ht="52.2" x14ac:dyDescent="0.3">
      <c r="A89" s="50" t="s">
        <v>314</v>
      </c>
      <c r="B89" s="18" t="s">
        <v>231</v>
      </c>
      <c r="C89" s="18" t="s">
        <v>231</v>
      </c>
      <c r="D89" s="19" t="s">
        <v>313</v>
      </c>
      <c r="E89" s="59">
        <f>F89+G89</f>
        <v>2530500</v>
      </c>
      <c r="F89" s="59">
        <f>F90+F92+F91</f>
        <v>2530500</v>
      </c>
      <c r="G89" s="59">
        <f>G90+G92+G91</f>
        <v>0</v>
      </c>
      <c r="H89" s="59">
        <f>H90+H92+H91</f>
        <v>0</v>
      </c>
      <c r="I89" s="59">
        <f>J89+K89</f>
        <v>1103369.54</v>
      </c>
      <c r="J89" s="59">
        <f>J90+J92+J91</f>
        <v>1103369.54</v>
      </c>
      <c r="K89" s="59">
        <f>K90+K92+K91</f>
        <v>0</v>
      </c>
      <c r="L89" s="59">
        <f>L90+L92+L91</f>
        <v>0</v>
      </c>
      <c r="M89" s="109">
        <f t="shared" si="21"/>
        <v>0.43602827109266945</v>
      </c>
      <c r="N89" s="109">
        <f t="shared" si="22"/>
        <v>0.43602827109266945</v>
      </c>
      <c r="O89" s="109" t="str">
        <f t="shared" si="23"/>
        <v/>
      </c>
      <c r="P89" s="109" t="str">
        <f t="shared" si="24"/>
        <v/>
      </c>
    </row>
    <row r="90" spans="1:16" s="39" customFormat="1" ht="54" x14ac:dyDescent="0.3">
      <c r="A90" s="26" t="s">
        <v>315</v>
      </c>
      <c r="B90" s="20" t="s">
        <v>56</v>
      </c>
      <c r="C90" s="20" t="s">
        <v>2</v>
      </c>
      <c r="D90" s="21" t="s">
        <v>248</v>
      </c>
      <c r="E90" s="60">
        <f t="shared" si="20"/>
        <v>2226500</v>
      </c>
      <c r="F90" s="61">
        <v>2226500</v>
      </c>
      <c r="G90" s="61"/>
      <c r="H90" s="61"/>
      <c r="I90" s="60">
        <f t="shared" ref="I90:I144" si="28">J90+K90</f>
        <v>1035997.54</v>
      </c>
      <c r="J90" s="62">
        <v>1035997.54</v>
      </c>
      <c r="K90" s="66"/>
      <c r="L90" s="66"/>
      <c r="M90" s="111">
        <f t="shared" si="21"/>
        <v>0.46530318437008761</v>
      </c>
      <c r="N90" s="111">
        <f t="shared" si="22"/>
        <v>0.46530318437008761</v>
      </c>
      <c r="O90" s="111" t="str">
        <f t="shared" si="23"/>
        <v/>
      </c>
      <c r="P90" s="111" t="str">
        <f t="shared" si="24"/>
        <v/>
      </c>
    </row>
    <row r="91" spans="1:16" s="39" customFormat="1" ht="18" x14ac:dyDescent="0.3">
      <c r="A91" s="26" t="s">
        <v>321</v>
      </c>
      <c r="B91" s="26" t="s">
        <v>9</v>
      </c>
      <c r="C91" s="26" t="s">
        <v>5</v>
      </c>
      <c r="D91" s="21" t="s">
        <v>102</v>
      </c>
      <c r="E91" s="60">
        <f t="shared" ref="E91" si="29">F91+G91</f>
        <v>99000</v>
      </c>
      <c r="F91" s="61">
        <v>99000</v>
      </c>
      <c r="G91" s="61"/>
      <c r="H91" s="61"/>
      <c r="I91" s="60">
        <f t="shared" si="28"/>
        <v>0</v>
      </c>
      <c r="J91" s="62">
        <v>0</v>
      </c>
      <c r="K91" s="66"/>
      <c r="L91" s="66"/>
      <c r="M91" s="111">
        <f t="shared" si="21"/>
        <v>0</v>
      </c>
      <c r="N91" s="111">
        <f t="shared" si="22"/>
        <v>0</v>
      </c>
      <c r="O91" s="111" t="str">
        <f t="shared" si="23"/>
        <v/>
      </c>
      <c r="P91" s="111" t="str">
        <f t="shared" si="24"/>
        <v/>
      </c>
    </row>
    <row r="92" spans="1:16" s="39" customFormat="1" ht="36" x14ac:dyDescent="0.3">
      <c r="A92" s="26" t="s">
        <v>316</v>
      </c>
      <c r="B92" s="20" t="s">
        <v>35</v>
      </c>
      <c r="C92" s="20" t="s">
        <v>19</v>
      </c>
      <c r="D92" s="21" t="s">
        <v>44</v>
      </c>
      <c r="E92" s="60">
        <f t="shared" si="20"/>
        <v>205000</v>
      </c>
      <c r="F92" s="61">
        <v>205000</v>
      </c>
      <c r="G92" s="61"/>
      <c r="H92" s="61"/>
      <c r="I92" s="60">
        <f t="shared" si="28"/>
        <v>67372</v>
      </c>
      <c r="J92" s="62">
        <v>67372</v>
      </c>
      <c r="K92" s="66"/>
      <c r="L92" s="66"/>
      <c r="M92" s="111">
        <f t="shared" si="21"/>
        <v>0.32864390243902442</v>
      </c>
      <c r="N92" s="111">
        <f t="shared" si="22"/>
        <v>0.32864390243902442</v>
      </c>
      <c r="O92" s="111" t="str">
        <f t="shared" si="23"/>
        <v/>
      </c>
      <c r="P92" s="111" t="str">
        <f t="shared" si="24"/>
        <v/>
      </c>
    </row>
    <row r="93" spans="1:16" s="38" customFormat="1" ht="34.799999999999997" x14ac:dyDescent="0.3">
      <c r="A93" s="18" t="s">
        <v>73</v>
      </c>
      <c r="B93" s="18" t="s">
        <v>231</v>
      </c>
      <c r="C93" s="18" t="s">
        <v>231</v>
      </c>
      <c r="D93" s="19" t="s">
        <v>259</v>
      </c>
      <c r="E93" s="58">
        <f t="shared" si="20"/>
        <v>57936300</v>
      </c>
      <c r="F93" s="59">
        <f>F94</f>
        <v>56631300</v>
      </c>
      <c r="G93" s="59">
        <f t="shared" ref="G93:H93" si="30">G94</f>
        <v>1305000</v>
      </c>
      <c r="H93" s="59">
        <f t="shared" si="30"/>
        <v>0</v>
      </c>
      <c r="I93" s="58">
        <f t="shared" si="28"/>
        <v>27529882.579999998</v>
      </c>
      <c r="J93" s="67">
        <f>J94</f>
        <v>27076149.359999999</v>
      </c>
      <c r="K93" s="67">
        <f t="shared" ref="K93:L93" si="31">K94</f>
        <v>453733.22</v>
      </c>
      <c r="L93" s="67">
        <f t="shared" si="31"/>
        <v>0</v>
      </c>
      <c r="M93" s="109">
        <f t="shared" si="21"/>
        <v>0.47517502118706229</v>
      </c>
      <c r="N93" s="109">
        <f t="shared" si="22"/>
        <v>0.47811279910579485</v>
      </c>
      <c r="O93" s="109">
        <f t="shared" si="23"/>
        <v>0.34768829118773942</v>
      </c>
      <c r="P93" s="109" t="str">
        <f t="shared" si="24"/>
        <v/>
      </c>
    </row>
    <row r="94" spans="1:16" s="38" customFormat="1" ht="34.799999999999997" x14ac:dyDescent="0.3">
      <c r="A94" s="18" t="s">
        <v>74</v>
      </c>
      <c r="B94" s="18" t="s">
        <v>231</v>
      </c>
      <c r="C94" s="18" t="s">
        <v>231</v>
      </c>
      <c r="D94" s="19" t="s">
        <v>259</v>
      </c>
      <c r="E94" s="58">
        <f t="shared" si="20"/>
        <v>57936300</v>
      </c>
      <c r="F94" s="59">
        <f>F95+F96+F97+F99+F100+F101+F102+F103+F98</f>
        <v>56631300</v>
      </c>
      <c r="G94" s="59">
        <f t="shared" ref="G94:L94" si="32">G95+G96+G97+G99+G100+G101+G102+G103+G98</f>
        <v>1305000</v>
      </c>
      <c r="H94" s="59">
        <f t="shared" si="32"/>
        <v>0</v>
      </c>
      <c r="I94" s="59">
        <f t="shared" si="32"/>
        <v>27529882.580000002</v>
      </c>
      <c r="J94" s="59">
        <f t="shared" si="32"/>
        <v>27076149.359999999</v>
      </c>
      <c r="K94" s="59">
        <f t="shared" si="32"/>
        <v>453733.22</v>
      </c>
      <c r="L94" s="59">
        <f t="shared" si="32"/>
        <v>0</v>
      </c>
      <c r="M94" s="109">
        <f t="shared" si="21"/>
        <v>0.4751750211870624</v>
      </c>
      <c r="N94" s="109">
        <f t="shared" si="22"/>
        <v>0.47811279910579485</v>
      </c>
      <c r="O94" s="109">
        <f t="shared" si="23"/>
        <v>0.34768829118773942</v>
      </c>
      <c r="P94" s="109" t="str">
        <f t="shared" si="24"/>
        <v/>
      </c>
    </row>
    <row r="95" spans="1:16" s="39" customFormat="1" ht="54" x14ac:dyDescent="0.3">
      <c r="A95" s="20" t="s">
        <v>75</v>
      </c>
      <c r="B95" s="20" t="s">
        <v>56</v>
      </c>
      <c r="C95" s="20" t="s">
        <v>2</v>
      </c>
      <c r="D95" s="21" t="s">
        <v>248</v>
      </c>
      <c r="E95" s="60">
        <f t="shared" si="20"/>
        <v>912100</v>
      </c>
      <c r="F95" s="61">
        <v>912100</v>
      </c>
      <c r="G95" s="61"/>
      <c r="H95" s="61"/>
      <c r="I95" s="60">
        <f t="shared" si="28"/>
        <v>519555.81</v>
      </c>
      <c r="J95" s="62">
        <v>519555.81</v>
      </c>
      <c r="K95" s="62"/>
      <c r="L95" s="62"/>
      <c r="M95" s="111">
        <f t="shared" si="21"/>
        <v>0.56962592917443267</v>
      </c>
      <c r="N95" s="111">
        <f t="shared" si="22"/>
        <v>0.56962592917443267</v>
      </c>
      <c r="O95" s="111" t="str">
        <f t="shared" si="23"/>
        <v/>
      </c>
      <c r="P95" s="111" t="str">
        <f t="shared" si="24"/>
        <v/>
      </c>
    </row>
    <row r="96" spans="1:16" s="39" customFormat="1" ht="18" x14ac:dyDescent="0.3">
      <c r="A96" s="20" t="s">
        <v>260</v>
      </c>
      <c r="B96" s="20" t="s">
        <v>9</v>
      </c>
      <c r="C96" s="20" t="s">
        <v>5</v>
      </c>
      <c r="D96" s="21" t="s">
        <v>102</v>
      </c>
      <c r="E96" s="60">
        <f t="shared" si="20"/>
        <v>99000</v>
      </c>
      <c r="F96" s="61">
        <v>99000</v>
      </c>
      <c r="G96" s="61"/>
      <c r="H96" s="61"/>
      <c r="I96" s="60">
        <f t="shared" si="28"/>
        <v>64870</v>
      </c>
      <c r="J96" s="66">
        <v>64870</v>
      </c>
      <c r="K96" s="62"/>
      <c r="L96" s="62"/>
      <c r="M96" s="111">
        <f t="shared" si="21"/>
        <v>0.6552525252525252</v>
      </c>
      <c r="N96" s="111">
        <f t="shared" si="22"/>
        <v>0.6552525252525252</v>
      </c>
      <c r="O96" s="111" t="str">
        <f t="shared" si="23"/>
        <v/>
      </c>
      <c r="P96" s="111" t="str">
        <f t="shared" si="24"/>
        <v/>
      </c>
    </row>
    <row r="97" spans="1:16" s="39" customFormat="1" ht="36" x14ac:dyDescent="0.3">
      <c r="A97" s="20" t="s">
        <v>208</v>
      </c>
      <c r="B97" s="20" t="s">
        <v>209</v>
      </c>
      <c r="C97" s="20" t="s">
        <v>16</v>
      </c>
      <c r="D97" s="21" t="s">
        <v>261</v>
      </c>
      <c r="E97" s="60">
        <f t="shared" si="20"/>
        <v>26849300</v>
      </c>
      <c r="F97" s="61">
        <v>25824300</v>
      </c>
      <c r="G97" s="61">
        <v>1025000</v>
      </c>
      <c r="H97" s="61"/>
      <c r="I97" s="60">
        <f t="shared" si="28"/>
        <v>14097481.15</v>
      </c>
      <c r="J97" s="66">
        <v>13701458.93</v>
      </c>
      <c r="K97" s="62">
        <f>214012.22+182010</f>
        <v>396022.22</v>
      </c>
      <c r="L97" s="62"/>
      <c r="M97" s="111">
        <f t="shared" si="21"/>
        <v>0.52505954158953871</v>
      </c>
      <c r="N97" s="111">
        <f t="shared" si="22"/>
        <v>0.53056458180860666</v>
      </c>
      <c r="O97" s="111">
        <f t="shared" si="23"/>
        <v>0.38636314146341461</v>
      </c>
      <c r="P97" s="111" t="str">
        <f t="shared" si="24"/>
        <v/>
      </c>
    </row>
    <row r="98" spans="1:16" s="39" customFormat="1" ht="90" x14ac:dyDescent="0.3">
      <c r="A98" s="24">
        <v>1013140</v>
      </c>
      <c r="B98" s="24">
        <v>3140</v>
      </c>
      <c r="C98" s="24">
        <v>1040</v>
      </c>
      <c r="D98" s="21" t="s">
        <v>293</v>
      </c>
      <c r="E98" s="60">
        <f t="shared" si="20"/>
        <v>150000</v>
      </c>
      <c r="F98" s="61">
        <v>150000</v>
      </c>
      <c r="G98" s="61"/>
      <c r="H98" s="61"/>
      <c r="I98" s="60">
        <f t="shared" si="28"/>
        <v>84660</v>
      </c>
      <c r="J98" s="66">
        <v>84660</v>
      </c>
      <c r="K98" s="62"/>
      <c r="L98" s="62"/>
      <c r="M98" s="111">
        <f t="shared" si="21"/>
        <v>0.56440000000000001</v>
      </c>
      <c r="N98" s="111">
        <f t="shared" si="22"/>
        <v>0.56440000000000001</v>
      </c>
      <c r="O98" s="111" t="str">
        <f t="shared" si="23"/>
        <v/>
      </c>
      <c r="P98" s="111" t="str">
        <f t="shared" si="24"/>
        <v/>
      </c>
    </row>
    <row r="99" spans="1:16" s="39" customFormat="1" ht="18" x14ac:dyDescent="0.3">
      <c r="A99" s="20" t="s">
        <v>77</v>
      </c>
      <c r="B99" s="20" t="s">
        <v>76</v>
      </c>
      <c r="C99" s="20" t="s">
        <v>37</v>
      </c>
      <c r="D99" s="21" t="s">
        <v>78</v>
      </c>
      <c r="E99" s="60">
        <f t="shared" si="20"/>
        <v>9660300</v>
      </c>
      <c r="F99" s="61">
        <v>9580300</v>
      </c>
      <c r="G99" s="61">
        <v>80000</v>
      </c>
      <c r="H99" s="61"/>
      <c r="I99" s="60">
        <f t="shared" si="28"/>
        <v>4204760.2799999993</v>
      </c>
      <c r="J99" s="62">
        <v>4176700.78</v>
      </c>
      <c r="K99" s="62">
        <v>28059.5</v>
      </c>
      <c r="L99" s="62"/>
      <c r="M99" s="111">
        <f t="shared" si="21"/>
        <v>0.43526187385484916</v>
      </c>
      <c r="N99" s="111">
        <f t="shared" si="22"/>
        <v>0.43596763984426373</v>
      </c>
      <c r="O99" s="111">
        <f t="shared" si="23"/>
        <v>0.35074375000000002</v>
      </c>
      <c r="P99" s="111" t="str">
        <f t="shared" si="24"/>
        <v/>
      </c>
    </row>
    <row r="100" spans="1:16" s="39" customFormat="1" ht="18" x14ac:dyDescent="0.3">
      <c r="A100" s="20" t="s">
        <v>80</v>
      </c>
      <c r="B100" s="20" t="s">
        <v>79</v>
      </c>
      <c r="C100" s="20" t="s">
        <v>37</v>
      </c>
      <c r="D100" s="21" t="s">
        <v>262</v>
      </c>
      <c r="E100" s="60">
        <f t="shared" si="20"/>
        <v>4002600</v>
      </c>
      <c r="F100" s="61">
        <v>3962600</v>
      </c>
      <c r="G100" s="61">
        <v>40000</v>
      </c>
      <c r="H100" s="61"/>
      <c r="I100" s="60">
        <f t="shared" si="28"/>
        <v>1862119.4</v>
      </c>
      <c r="J100" s="62">
        <v>1856727.4</v>
      </c>
      <c r="K100" s="62">
        <v>5392</v>
      </c>
      <c r="L100" s="62"/>
      <c r="M100" s="111">
        <f t="shared" si="21"/>
        <v>0.46522745215609851</v>
      </c>
      <c r="N100" s="111">
        <f t="shared" si="22"/>
        <v>0.46856291323878257</v>
      </c>
      <c r="O100" s="111">
        <f t="shared" si="23"/>
        <v>0.1348</v>
      </c>
      <c r="P100" s="111" t="str">
        <f t="shared" si="24"/>
        <v/>
      </c>
    </row>
    <row r="101" spans="1:16" s="39" customFormat="1" ht="54" x14ac:dyDescent="0.3">
      <c r="A101" s="20" t="s">
        <v>81</v>
      </c>
      <c r="B101" s="20" t="s">
        <v>36</v>
      </c>
      <c r="C101" s="20" t="s">
        <v>38</v>
      </c>
      <c r="D101" s="21" t="s">
        <v>263</v>
      </c>
      <c r="E101" s="60">
        <f t="shared" si="20"/>
        <v>13071200</v>
      </c>
      <c r="F101" s="61">
        <v>12911200</v>
      </c>
      <c r="G101" s="61">
        <v>160000</v>
      </c>
      <c r="H101" s="61"/>
      <c r="I101" s="60">
        <f t="shared" si="28"/>
        <v>5487241.0300000003</v>
      </c>
      <c r="J101" s="62">
        <v>5462981.5300000003</v>
      </c>
      <c r="K101" s="62">
        <v>24259.5</v>
      </c>
      <c r="L101" s="62"/>
      <c r="M101" s="111">
        <f t="shared" si="21"/>
        <v>0.41979627195666813</v>
      </c>
      <c r="N101" s="111">
        <f t="shared" si="22"/>
        <v>0.4231195806741434</v>
      </c>
      <c r="O101" s="111">
        <f t="shared" si="23"/>
        <v>0.15162187499999999</v>
      </c>
      <c r="P101" s="111" t="str">
        <f t="shared" si="24"/>
        <v/>
      </c>
    </row>
    <row r="102" spans="1:16" s="39" customFormat="1" ht="36" x14ac:dyDescent="0.3">
      <c r="A102" s="20" t="s">
        <v>151</v>
      </c>
      <c r="B102" s="20" t="s">
        <v>132</v>
      </c>
      <c r="C102" s="20" t="s">
        <v>39</v>
      </c>
      <c r="D102" s="21" t="s">
        <v>133</v>
      </c>
      <c r="E102" s="60">
        <f t="shared" si="20"/>
        <v>2591800</v>
      </c>
      <c r="F102" s="61">
        <v>2591800</v>
      </c>
      <c r="G102" s="61"/>
      <c r="H102" s="61"/>
      <c r="I102" s="60">
        <f t="shared" si="28"/>
        <v>1120775.9099999999</v>
      </c>
      <c r="J102" s="62">
        <v>1120775.9099999999</v>
      </c>
      <c r="K102" s="62"/>
      <c r="L102" s="62"/>
      <c r="M102" s="111">
        <f t="shared" si="21"/>
        <v>0.43243148005247317</v>
      </c>
      <c r="N102" s="111">
        <f t="shared" si="22"/>
        <v>0.43243148005247317</v>
      </c>
      <c r="O102" s="111" t="str">
        <f t="shared" si="23"/>
        <v/>
      </c>
      <c r="P102" s="111" t="str">
        <f t="shared" si="24"/>
        <v/>
      </c>
    </row>
    <row r="103" spans="1:16" s="39" customFormat="1" ht="18" x14ac:dyDescent="0.3">
      <c r="A103" s="20" t="s">
        <v>130</v>
      </c>
      <c r="B103" s="20" t="s">
        <v>131</v>
      </c>
      <c r="C103" s="20" t="s">
        <v>39</v>
      </c>
      <c r="D103" s="21" t="s">
        <v>134</v>
      </c>
      <c r="E103" s="60">
        <f t="shared" si="20"/>
        <v>600000</v>
      </c>
      <c r="F103" s="61">
        <v>600000</v>
      </c>
      <c r="G103" s="61"/>
      <c r="H103" s="61"/>
      <c r="I103" s="60">
        <f t="shared" si="28"/>
        <v>88419</v>
      </c>
      <c r="J103" s="62">
        <v>88419</v>
      </c>
      <c r="K103" s="62"/>
      <c r="L103" s="62"/>
      <c r="M103" s="111">
        <f t="shared" si="21"/>
        <v>0.147365</v>
      </c>
      <c r="N103" s="111">
        <f t="shared" si="22"/>
        <v>0.147365</v>
      </c>
      <c r="O103" s="111" t="str">
        <f t="shared" si="23"/>
        <v/>
      </c>
      <c r="P103" s="111" t="str">
        <f t="shared" si="24"/>
        <v/>
      </c>
    </row>
    <row r="104" spans="1:16" s="37" customFormat="1" ht="52.2" x14ac:dyDescent="0.3">
      <c r="A104" s="18" t="s">
        <v>23</v>
      </c>
      <c r="B104" s="18" t="s">
        <v>231</v>
      </c>
      <c r="C104" s="18" t="s">
        <v>231</v>
      </c>
      <c r="D104" s="19" t="s">
        <v>264</v>
      </c>
      <c r="E104" s="58">
        <f t="shared" si="20"/>
        <v>7281144</v>
      </c>
      <c r="F104" s="59">
        <f>F105</f>
        <v>7281144</v>
      </c>
      <c r="G104" s="67">
        <f>G105</f>
        <v>0</v>
      </c>
      <c r="H104" s="67">
        <f>H105</f>
        <v>0</v>
      </c>
      <c r="I104" s="58">
        <f t="shared" si="28"/>
        <v>2974744.5199999996</v>
      </c>
      <c r="J104" s="67">
        <f>J105</f>
        <v>2974744.5199999996</v>
      </c>
      <c r="K104" s="67">
        <f>K105</f>
        <v>0</v>
      </c>
      <c r="L104" s="67">
        <f>L105</f>
        <v>0</v>
      </c>
      <c r="M104" s="109">
        <f t="shared" si="21"/>
        <v>0.40855455131775992</v>
      </c>
      <c r="N104" s="109">
        <f t="shared" si="22"/>
        <v>0.40855455131775992</v>
      </c>
      <c r="O104" s="109" t="str">
        <f t="shared" si="23"/>
        <v/>
      </c>
      <c r="P104" s="109" t="str">
        <f t="shared" si="24"/>
        <v/>
      </c>
    </row>
    <row r="105" spans="1:16" s="38" customFormat="1" ht="52.2" x14ac:dyDescent="0.3">
      <c r="A105" s="18" t="s">
        <v>24</v>
      </c>
      <c r="B105" s="18" t="s">
        <v>231</v>
      </c>
      <c r="C105" s="18" t="s">
        <v>231</v>
      </c>
      <c r="D105" s="19" t="s">
        <v>264</v>
      </c>
      <c r="E105" s="58">
        <f t="shared" si="20"/>
        <v>7281144</v>
      </c>
      <c r="F105" s="59">
        <f>F106+F107+F108+F109+F110+F112+F111</f>
        <v>7281144</v>
      </c>
      <c r="G105" s="59">
        <f>G106+G107+G108+G109+G110+G112</f>
        <v>0</v>
      </c>
      <c r="H105" s="59">
        <f>H106+H107+H108+H109+H110+H112</f>
        <v>0</v>
      </c>
      <c r="I105" s="59">
        <f>I106+I107+I108+I109+I110+I112</f>
        <v>2953955.7199999997</v>
      </c>
      <c r="J105" s="59">
        <f>J106+J107+J108+J109+J110+J112+J111</f>
        <v>2974744.5199999996</v>
      </c>
      <c r="K105" s="67">
        <f>SUM(K106:K112)</f>
        <v>0</v>
      </c>
      <c r="L105" s="67">
        <f>SUM(L106:L112)</f>
        <v>0</v>
      </c>
      <c r="M105" s="109">
        <f t="shared" si="21"/>
        <v>0.40569939558948426</v>
      </c>
      <c r="N105" s="109">
        <f t="shared" si="22"/>
        <v>0.40855455131775992</v>
      </c>
      <c r="O105" s="109" t="str">
        <f t="shared" si="23"/>
        <v/>
      </c>
      <c r="P105" s="109" t="str">
        <f t="shared" si="24"/>
        <v/>
      </c>
    </row>
    <row r="106" spans="1:16" s="39" customFormat="1" ht="54" x14ac:dyDescent="0.3">
      <c r="A106" s="20" t="s">
        <v>82</v>
      </c>
      <c r="B106" s="20" t="s">
        <v>56</v>
      </c>
      <c r="C106" s="20" t="s">
        <v>2</v>
      </c>
      <c r="D106" s="21" t="s">
        <v>248</v>
      </c>
      <c r="E106" s="60">
        <f t="shared" si="20"/>
        <v>2042100</v>
      </c>
      <c r="F106" s="61">
        <v>2042100</v>
      </c>
      <c r="G106" s="61"/>
      <c r="H106" s="61"/>
      <c r="I106" s="60">
        <f t="shared" si="28"/>
        <v>916945.33</v>
      </c>
      <c r="J106" s="62">
        <v>916945.33</v>
      </c>
      <c r="K106" s="62"/>
      <c r="L106" s="62"/>
      <c r="M106" s="111">
        <f t="shared" si="21"/>
        <v>0.44902077763087017</v>
      </c>
      <c r="N106" s="111">
        <f t="shared" si="22"/>
        <v>0.44902077763087017</v>
      </c>
      <c r="O106" s="111" t="str">
        <f t="shared" si="23"/>
        <v/>
      </c>
      <c r="P106" s="111" t="str">
        <f t="shared" si="24"/>
        <v/>
      </c>
    </row>
    <row r="107" spans="1:16" s="39" customFormat="1" ht="18" x14ac:dyDescent="0.3">
      <c r="A107" s="20" t="s">
        <v>265</v>
      </c>
      <c r="B107" s="20" t="s">
        <v>9</v>
      </c>
      <c r="C107" s="20" t="s">
        <v>5</v>
      </c>
      <c r="D107" s="21" t="s">
        <v>102</v>
      </c>
      <c r="E107" s="60">
        <f t="shared" si="20"/>
        <v>99000</v>
      </c>
      <c r="F107" s="61">
        <v>99000</v>
      </c>
      <c r="G107" s="61"/>
      <c r="H107" s="61"/>
      <c r="I107" s="60">
        <f t="shared" si="28"/>
        <v>49900</v>
      </c>
      <c r="J107" s="62">
        <v>49900</v>
      </c>
      <c r="K107" s="62"/>
      <c r="L107" s="62"/>
      <c r="M107" s="111">
        <f t="shared" si="21"/>
        <v>0.50404040404040407</v>
      </c>
      <c r="N107" s="111">
        <f t="shared" si="22"/>
        <v>0.50404040404040407</v>
      </c>
      <c r="O107" s="111" t="str">
        <f t="shared" si="23"/>
        <v/>
      </c>
      <c r="P107" s="111" t="str">
        <f t="shared" si="24"/>
        <v/>
      </c>
    </row>
    <row r="108" spans="1:16" s="39" customFormat="1" ht="18" x14ac:dyDescent="0.3">
      <c r="A108" s="20" t="s">
        <v>85</v>
      </c>
      <c r="B108" s="20" t="s">
        <v>84</v>
      </c>
      <c r="C108" s="20" t="s">
        <v>19</v>
      </c>
      <c r="D108" s="21" t="s">
        <v>49</v>
      </c>
      <c r="E108" s="60">
        <f t="shared" si="20"/>
        <v>1979400</v>
      </c>
      <c r="F108" s="61">
        <f>913000+1066400</f>
        <v>1979400</v>
      </c>
      <c r="G108" s="61"/>
      <c r="H108" s="61"/>
      <c r="I108" s="60">
        <f t="shared" si="28"/>
        <v>574845.99</v>
      </c>
      <c r="J108" s="62">
        <f>157818+417027.99</f>
        <v>574845.99</v>
      </c>
      <c r="K108" s="62"/>
      <c r="L108" s="62"/>
      <c r="M108" s="111">
        <f t="shared" si="21"/>
        <v>0.29041426189754471</v>
      </c>
      <c r="N108" s="111">
        <f t="shared" si="22"/>
        <v>0.29041426189754471</v>
      </c>
      <c r="O108" s="111" t="str">
        <f t="shared" si="23"/>
        <v/>
      </c>
      <c r="P108" s="111" t="str">
        <f t="shared" si="24"/>
        <v/>
      </c>
    </row>
    <row r="109" spans="1:16" s="39" customFormat="1" ht="36" x14ac:dyDescent="0.3">
      <c r="A109" s="20" t="s">
        <v>26</v>
      </c>
      <c r="B109" s="20" t="s">
        <v>25</v>
      </c>
      <c r="C109" s="20" t="s">
        <v>20</v>
      </c>
      <c r="D109" s="21" t="s">
        <v>43</v>
      </c>
      <c r="E109" s="60">
        <f t="shared" si="20"/>
        <v>950000</v>
      </c>
      <c r="F109" s="61">
        <v>950000</v>
      </c>
      <c r="G109" s="61"/>
      <c r="H109" s="61"/>
      <c r="I109" s="60">
        <f t="shared" si="28"/>
        <v>366064.81</v>
      </c>
      <c r="J109" s="62">
        <v>366064.81</v>
      </c>
      <c r="K109" s="62"/>
      <c r="L109" s="62"/>
      <c r="M109" s="111">
        <f t="shared" si="21"/>
        <v>0.38533137894736841</v>
      </c>
      <c r="N109" s="111">
        <f t="shared" si="22"/>
        <v>0.38533137894736841</v>
      </c>
      <c r="O109" s="111" t="str">
        <f t="shared" si="23"/>
        <v/>
      </c>
      <c r="P109" s="111" t="str">
        <f t="shared" si="24"/>
        <v/>
      </c>
    </row>
    <row r="110" spans="1:16" s="39" customFormat="1" ht="36" x14ac:dyDescent="0.3">
      <c r="A110" s="20" t="s">
        <v>45</v>
      </c>
      <c r="B110" s="20" t="s">
        <v>46</v>
      </c>
      <c r="C110" s="20" t="s">
        <v>20</v>
      </c>
      <c r="D110" s="21" t="s">
        <v>47</v>
      </c>
      <c r="E110" s="60">
        <f t="shared" si="20"/>
        <v>320000</v>
      </c>
      <c r="F110" s="61">
        <v>320000</v>
      </c>
      <c r="G110" s="61"/>
      <c r="H110" s="61"/>
      <c r="I110" s="60">
        <f t="shared" si="28"/>
        <v>137853.19</v>
      </c>
      <c r="J110" s="62">
        <v>137853.19</v>
      </c>
      <c r="K110" s="62"/>
      <c r="L110" s="62"/>
      <c r="M110" s="111">
        <f t="shared" si="21"/>
        <v>0.43079121874999998</v>
      </c>
      <c r="N110" s="111">
        <f t="shared" si="22"/>
        <v>0.43079121874999998</v>
      </c>
      <c r="O110" s="111" t="str">
        <f t="shared" si="23"/>
        <v/>
      </c>
      <c r="P110" s="111" t="str">
        <f t="shared" si="24"/>
        <v/>
      </c>
    </row>
    <row r="111" spans="1:16" s="39" customFormat="1" ht="54" x14ac:dyDescent="0.3">
      <c r="A111" s="78" t="s">
        <v>357</v>
      </c>
      <c r="B111" s="78" t="s">
        <v>358</v>
      </c>
      <c r="C111" s="78" t="s">
        <v>20</v>
      </c>
      <c r="D111" s="103" t="s">
        <v>359</v>
      </c>
      <c r="E111" s="60">
        <f t="shared" ref="E111" si="33">F111+G111</f>
        <v>103944</v>
      </c>
      <c r="F111" s="61">
        <v>103944</v>
      </c>
      <c r="G111" s="61"/>
      <c r="H111" s="61"/>
      <c r="I111" s="60">
        <f t="shared" si="28"/>
        <v>20788.8</v>
      </c>
      <c r="J111" s="62">
        <v>20788.8</v>
      </c>
      <c r="K111" s="62"/>
      <c r="L111" s="62"/>
      <c r="M111" s="111">
        <f t="shared" si="21"/>
        <v>0.19999999999999998</v>
      </c>
      <c r="N111" s="111">
        <f t="shared" si="22"/>
        <v>0.19999999999999998</v>
      </c>
      <c r="O111" s="111" t="str">
        <f t="shared" si="23"/>
        <v/>
      </c>
      <c r="P111" s="111" t="str">
        <f t="shared" si="24"/>
        <v/>
      </c>
    </row>
    <row r="112" spans="1:16" s="39" customFormat="1" ht="72" x14ac:dyDescent="0.3">
      <c r="A112" s="20" t="s">
        <v>50</v>
      </c>
      <c r="B112" s="20" t="s">
        <v>51</v>
      </c>
      <c r="C112" s="20" t="s">
        <v>20</v>
      </c>
      <c r="D112" s="21" t="s">
        <v>266</v>
      </c>
      <c r="E112" s="60">
        <f t="shared" si="20"/>
        <v>1786700</v>
      </c>
      <c r="F112" s="61">
        <v>1786700</v>
      </c>
      <c r="G112" s="61"/>
      <c r="H112" s="61"/>
      <c r="I112" s="60">
        <f t="shared" si="28"/>
        <v>908346.4</v>
      </c>
      <c r="J112" s="62">
        <v>908346.4</v>
      </c>
      <c r="K112" s="62"/>
      <c r="L112" s="62"/>
      <c r="M112" s="111">
        <f t="shared" si="21"/>
        <v>0.50839335087031956</v>
      </c>
      <c r="N112" s="111">
        <f t="shared" si="22"/>
        <v>0.50839335087031956</v>
      </c>
      <c r="O112" s="111" t="str">
        <f t="shared" si="23"/>
        <v/>
      </c>
      <c r="P112" s="111" t="str">
        <f t="shared" si="24"/>
        <v/>
      </c>
    </row>
    <row r="113" spans="1:16" s="38" customFormat="1" ht="52.2" x14ac:dyDescent="0.3">
      <c r="A113" s="18" t="s">
        <v>86</v>
      </c>
      <c r="B113" s="18" t="s">
        <v>231</v>
      </c>
      <c r="C113" s="18" t="s">
        <v>231</v>
      </c>
      <c r="D113" s="19" t="s">
        <v>267</v>
      </c>
      <c r="E113" s="58">
        <f t="shared" si="20"/>
        <v>153524053.44</v>
      </c>
      <c r="F113" s="59">
        <f>F114</f>
        <v>144441210</v>
      </c>
      <c r="G113" s="59">
        <f t="shared" ref="G113:H113" si="34">G114</f>
        <v>9082843.4400000013</v>
      </c>
      <c r="H113" s="59">
        <f t="shared" si="34"/>
        <v>8018896</v>
      </c>
      <c r="I113" s="58">
        <f t="shared" si="28"/>
        <v>81829538.870000005</v>
      </c>
      <c r="J113" s="67">
        <f>J114</f>
        <v>81780308.600000009</v>
      </c>
      <c r="K113" s="67">
        <f t="shared" ref="K113:L113" si="35">K114</f>
        <v>49230.27</v>
      </c>
      <c r="L113" s="67">
        <f t="shared" si="35"/>
        <v>44307.24</v>
      </c>
      <c r="M113" s="109">
        <f t="shared" si="21"/>
        <v>0.53300793612761455</v>
      </c>
      <c r="N113" s="109">
        <f t="shared" si="22"/>
        <v>0.56618404539812428</v>
      </c>
      <c r="O113" s="109">
        <f t="shared" si="23"/>
        <v>5.4201385640089807E-3</v>
      </c>
      <c r="P113" s="109">
        <f t="shared" si="24"/>
        <v>5.525354113583715E-3</v>
      </c>
    </row>
    <row r="114" spans="1:16" s="39" customFormat="1" ht="52.2" x14ac:dyDescent="0.3">
      <c r="A114" s="18" t="s">
        <v>87</v>
      </c>
      <c r="B114" s="18" t="s">
        <v>231</v>
      </c>
      <c r="C114" s="18" t="s">
        <v>231</v>
      </c>
      <c r="D114" s="19" t="s">
        <v>267</v>
      </c>
      <c r="E114" s="58">
        <f t="shared" si="20"/>
        <v>153524053.44</v>
      </c>
      <c r="F114" s="59">
        <f t="shared" ref="F114:J114" si="36">SUM(F115:F131)</f>
        <v>144441210</v>
      </c>
      <c r="G114" s="59">
        <f>SUM(G115:G132)</f>
        <v>9082843.4400000013</v>
      </c>
      <c r="H114" s="59">
        <f>SUM(H115:H132)</f>
        <v>8018896</v>
      </c>
      <c r="I114" s="59">
        <f t="shared" si="36"/>
        <v>81829538.870000005</v>
      </c>
      <c r="J114" s="59">
        <f t="shared" si="36"/>
        <v>81780308.600000009</v>
      </c>
      <c r="K114" s="59">
        <f>SUM(K115:K132)</f>
        <v>49230.27</v>
      </c>
      <c r="L114" s="59">
        <f>SUM(L115:L132)</f>
        <v>44307.24</v>
      </c>
      <c r="M114" s="109">
        <f t="shared" si="21"/>
        <v>0.53300793612761455</v>
      </c>
      <c r="N114" s="109">
        <f t="shared" si="22"/>
        <v>0.56618404539812428</v>
      </c>
      <c r="O114" s="109">
        <f t="shared" si="23"/>
        <v>5.4201385640089807E-3</v>
      </c>
      <c r="P114" s="109">
        <f t="shared" si="24"/>
        <v>5.525354113583715E-3</v>
      </c>
    </row>
    <row r="115" spans="1:16" s="42" customFormat="1" ht="54" x14ac:dyDescent="0.3">
      <c r="A115" s="20" t="s">
        <v>88</v>
      </c>
      <c r="B115" s="20" t="s">
        <v>56</v>
      </c>
      <c r="C115" s="20" t="s">
        <v>2</v>
      </c>
      <c r="D115" s="21" t="s">
        <v>248</v>
      </c>
      <c r="E115" s="60">
        <f t="shared" si="20"/>
        <v>4330900</v>
      </c>
      <c r="F115" s="61">
        <v>4294900</v>
      </c>
      <c r="G115" s="61">
        <v>36000</v>
      </c>
      <c r="H115" s="61">
        <v>36000</v>
      </c>
      <c r="I115" s="60">
        <f t="shared" si="28"/>
        <v>1721133.68</v>
      </c>
      <c r="J115" s="62">
        <v>1721133.68</v>
      </c>
      <c r="K115" s="62"/>
      <c r="L115" s="62"/>
      <c r="M115" s="111">
        <f t="shared" si="21"/>
        <v>0.39740785518021654</v>
      </c>
      <c r="N115" s="111">
        <f t="shared" si="22"/>
        <v>0.40073894153530931</v>
      </c>
      <c r="O115" s="111">
        <f t="shared" si="23"/>
        <v>0</v>
      </c>
      <c r="P115" s="111">
        <f t="shared" si="24"/>
        <v>0</v>
      </c>
    </row>
    <row r="116" spans="1:16" s="39" customFormat="1" ht="54" x14ac:dyDescent="0.3">
      <c r="A116" s="20" t="s">
        <v>187</v>
      </c>
      <c r="B116" s="20" t="s">
        <v>109</v>
      </c>
      <c r="C116" s="20" t="s">
        <v>110</v>
      </c>
      <c r="D116" s="21" t="s">
        <v>111</v>
      </c>
      <c r="E116" s="60">
        <f t="shared" si="20"/>
        <v>25000</v>
      </c>
      <c r="F116" s="61">
        <v>25000</v>
      </c>
      <c r="G116" s="61"/>
      <c r="H116" s="61"/>
      <c r="I116" s="60">
        <f t="shared" si="28"/>
        <v>2200</v>
      </c>
      <c r="J116" s="62">
        <v>2200</v>
      </c>
      <c r="K116" s="62"/>
      <c r="L116" s="62"/>
      <c r="M116" s="111">
        <f t="shared" si="21"/>
        <v>8.7999999999999995E-2</v>
      </c>
      <c r="N116" s="111">
        <f t="shared" si="22"/>
        <v>8.7999999999999995E-2</v>
      </c>
      <c r="O116" s="111" t="str">
        <f t="shared" si="23"/>
        <v/>
      </c>
      <c r="P116" s="111" t="str">
        <f t="shared" si="24"/>
        <v/>
      </c>
    </row>
    <row r="117" spans="1:16" s="39" customFormat="1" ht="18" x14ac:dyDescent="0.3">
      <c r="A117" s="20" t="s">
        <v>268</v>
      </c>
      <c r="B117" s="20" t="s">
        <v>9</v>
      </c>
      <c r="C117" s="20" t="s">
        <v>5</v>
      </c>
      <c r="D117" s="21" t="s">
        <v>102</v>
      </c>
      <c r="E117" s="60">
        <f t="shared" si="20"/>
        <v>99000</v>
      </c>
      <c r="F117" s="61">
        <v>99000</v>
      </c>
      <c r="G117" s="61"/>
      <c r="H117" s="61"/>
      <c r="I117" s="60">
        <f t="shared" si="28"/>
        <v>37425</v>
      </c>
      <c r="J117" s="62">
        <v>37425</v>
      </c>
      <c r="K117" s="62"/>
      <c r="L117" s="62"/>
      <c r="M117" s="111">
        <f t="shared" si="21"/>
        <v>0.37803030303030305</v>
      </c>
      <c r="N117" s="111">
        <f t="shared" si="22"/>
        <v>0.37803030303030305</v>
      </c>
      <c r="O117" s="111" t="str">
        <f t="shared" si="23"/>
        <v/>
      </c>
      <c r="P117" s="111" t="str">
        <f t="shared" si="24"/>
        <v/>
      </c>
    </row>
    <row r="118" spans="1:16" s="39" customFormat="1" ht="18" x14ac:dyDescent="0.3">
      <c r="A118" s="20" t="s">
        <v>139</v>
      </c>
      <c r="B118" s="20" t="s">
        <v>138</v>
      </c>
      <c r="C118" s="20" t="s">
        <v>118</v>
      </c>
      <c r="D118" s="21" t="s">
        <v>119</v>
      </c>
      <c r="E118" s="60">
        <f t="shared" si="20"/>
        <v>30000</v>
      </c>
      <c r="F118" s="61">
        <v>30000</v>
      </c>
      <c r="G118" s="61"/>
      <c r="H118" s="61"/>
      <c r="I118" s="60">
        <f t="shared" si="28"/>
        <v>9763.66</v>
      </c>
      <c r="J118" s="62">
        <v>9763.66</v>
      </c>
      <c r="K118" s="62"/>
      <c r="L118" s="62"/>
      <c r="M118" s="111">
        <f t="shared" si="21"/>
        <v>0.32545533333333332</v>
      </c>
      <c r="N118" s="111">
        <f t="shared" si="22"/>
        <v>0.32545533333333332</v>
      </c>
      <c r="O118" s="111" t="str">
        <f t="shared" si="23"/>
        <v/>
      </c>
      <c r="P118" s="111" t="str">
        <f t="shared" si="24"/>
        <v/>
      </c>
    </row>
    <row r="119" spans="1:16" s="39" customFormat="1" ht="36" x14ac:dyDescent="0.3">
      <c r="A119" s="28">
        <v>1216011</v>
      </c>
      <c r="B119" s="28">
        <v>6011</v>
      </c>
      <c r="C119" s="25" t="s">
        <v>285</v>
      </c>
      <c r="D119" s="29" t="s">
        <v>99</v>
      </c>
      <c r="E119" s="60">
        <f t="shared" si="20"/>
        <v>4348556</v>
      </c>
      <c r="F119" s="61">
        <v>319069</v>
      </c>
      <c r="G119" s="61">
        <v>4029487</v>
      </c>
      <c r="H119" s="61">
        <v>4029487</v>
      </c>
      <c r="I119" s="60">
        <f t="shared" si="28"/>
        <v>9246.6</v>
      </c>
      <c r="J119" s="62"/>
      <c r="K119" s="62">
        <v>9246.6</v>
      </c>
      <c r="L119" s="62">
        <v>9246.6</v>
      </c>
      <c r="M119" s="111">
        <f t="shared" si="21"/>
        <v>2.1263610265108692E-3</v>
      </c>
      <c r="N119" s="111">
        <f t="shared" si="22"/>
        <v>0</v>
      </c>
      <c r="O119" s="111">
        <f t="shared" si="23"/>
        <v>2.2947337961383174E-3</v>
      </c>
      <c r="P119" s="111">
        <f t="shared" si="24"/>
        <v>2.2947337961383174E-3</v>
      </c>
    </row>
    <row r="120" spans="1:16" s="39" customFormat="1" ht="36" x14ac:dyDescent="0.3">
      <c r="A120" s="24">
        <v>1216013</v>
      </c>
      <c r="B120" s="24">
        <v>6013</v>
      </c>
      <c r="C120" s="25" t="s">
        <v>8</v>
      </c>
      <c r="D120" s="102" t="s">
        <v>100</v>
      </c>
      <c r="E120" s="60">
        <f t="shared" ref="E120" si="37">F120+G120</f>
        <v>1244281</v>
      </c>
      <c r="F120" s="61"/>
      <c r="G120" s="61">
        <v>1244281</v>
      </c>
      <c r="H120" s="61">
        <v>1244281</v>
      </c>
      <c r="I120" s="60">
        <f t="shared" si="28"/>
        <v>0</v>
      </c>
      <c r="J120" s="62"/>
      <c r="K120" s="62"/>
      <c r="L120" s="62"/>
      <c r="M120" s="111">
        <f t="shared" si="21"/>
        <v>0</v>
      </c>
      <c r="N120" s="111" t="str">
        <f t="shared" si="22"/>
        <v/>
      </c>
      <c r="O120" s="111">
        <f t="shared" si="23"/>
        <v>0</v>
      </c>
      <c r="P120" s="111">
        <f t="shared" si="24"/>
        <v>0</v>
      </c>
    </row>
    <row r="121" spans="1:16" s="39" customFormat="1" ht="36" x14ac:dyDescent="0.3">
      <c r="A121" s="20" t="s">
        <v>121</v>
      </c>
      <c r="B121" s="20" t="s">
        <v>120</v>
      </c>
      <c r="C121" s="20" t="s">
        <v>8</v>
      </c>
      <c r="D121" s="21" t="s">
        <v>122</v>
      </c>
      <c r="E121" s="60">
        <f t="shared" si="20"/>
        <v>795000</v>
      </c>
      <c r="F121" s="61">
        <v>300000</v>
      </c>
      <c r="G121" s="61">
        <v>495000</v>
      </c>
      <c r="H121" s="61">
        <v>495000</v>
      </c>
      <c r="I121" s="60">
        <f t="shared" si="28"/>
        <v>35060.639999999999</v>
      </c>
      <c r="J121" s="62">
        <v>0</v>
      </c>
      <c r="K121" s="62">
        <v>35060.639999999999</v>
      </c>
      <c r="L121" s="62">
        <f>K121</f>
        <v>35060.639999999999</v>
      </c>
      <c r="M121" s="111">
        <f t="shared" si="21"/>
        <v>4.4101433962264153E-2</v>
      </c>
      <c r="N121" s="111">
        <f t="shared" si="22"/>
        <v>0</v>
      </c>
      <c r="O121" s="111">
        <f t="shared" si="23"/>
        <v>7.0829575757575758E-2</v>
      </c>
      <c r="P121" s="111">
        <f t="shared" si="24"/>
        <v>7.0829575757575758E-2</v>
      </c>
    </row>
    <row r="122" spans="1:16" s="39" customFormat="1" ht="36" x14ac:dyDescent="0.3">
      <c r="A122" s="20" t="s">
        <v>153</v>
      </c>
      <c r="B122" s="20" t="s">
        <v>154</v>
      </c>
      <c r="C122" s="20" t="s">
        <v>8</v>
      </c>
      <c r="D122" s="21" t="s">
        <v>269</v>
      </c>
      <c r="E122" s="60">
        <f t="shared" si="20"/>
        <v>1493000</v>
      </c>
      <c r="F122" s="61">
        <v>1493000</v>
      </c>
      <c r="G122" s="61"/>
      <c r="H122" s="61"/>
      <c r="I122" s="60">
        <f t="shared" si="28"/>
        <v>640898.13</v>
      </c>
      <c r="J122" s="62">
        <v>640898.13</v>
      </c>
      <c r="K122" s="62"/>
      <c r="L122" s="62"/>
      <c r="M122" s="111">
        <f t="shared" si="21"/>
        <v>0.42926867381111855</v>
      </c>
      <c r="N122" s="111">
        <f t="shared" si="22"/>
        <v>0.42926867381111855</v>
      </c>
      <c r="O122" s="111" t="str">
        <f t="shared" si="23"/>
        <v/>
      </c>
      <c r="P122" s="111" t="str">
        <f t="shared" si="24"/>
        <v/>
      </c>
    </row>
    <row r="123" spans="1:16" s="42" customFormat="1" ht="18" x14ac:dyDescent="0.3">
      <c r="A123" s="20" t="s">
        <v>89</v>
      </c>
      <c r="B123" s="20" t="s">
        <v>40</v>
      </c>
      <c r="C123" s="20" t="s">
        <v>8</v>
      </c>
      <c r="D123" s="21" t="s">
        <v>240</v>
      </c>
      <c r="E123" s="60">
        <f t="shared" si="20"/>
        <v>75374500</v>
      </c>
      <c r="F123" s="61">
        <f>34970000+19050000+19965000</f>
        <v>73985000</v>
      </c>
      <c r="G123" s="61">
        <v>1389500</v>
      </c>
      <c r="H123" s="61">
        <v>1389500</v>
      </c>
      <c r="I123" s="60">
        <f t="shared" si="28"/>
        <v>31679566.41</v>
      </c>
      <c r="J123" s="62">
        <f>16517997.67+7617862.03+7543706.71</f>
        <v>31679566.41</v>
      </c>
      <c r="K123" s="62"/>
      <c r="L123" s="62"/>
      <c r="M123" s="111">
        <f t="shared" si="21"/>
        <v>0.42029554305501199</v>
      </c>
      <c r="N123" s="111">
        <f t="shared" si="22"/>
        <v>0.42818904386024192</v>
      </c>
      <c r="O123" s="111">
        <f t="shared" si="23"/>
        <v>0</v>
      </c>
      <c r="P123" s="111">
        <f t="shared" si="24"/>
        <v>0</v>
      </c>
    </row>
    <row r="124" spans="1:16" s="42" customFormat="1" ht="18" x14ac:dyDescent="0.3">
      <c r="A124" s="24">
        <v>1217130</v>
      </c>
      <c r="B124" s="24">
        <v>7130</v>
      </c>
      <c r="C124" s="25" t="s">
        <v>296</v>
      </c>
      <c r="D124" s="102" t="s">
        <v>297</v>
      </c>
      <c r="E124" s="60">
        <f t="shared" ref="E124" si="38">F124+G124</f>
        <v>55000</v>
      </c>
      <c r="F124" s="61">
        <v>55000</v>
      </c>
      <c r="G124" s="61"/>
      <c r="H124" s="61"/>
      <c r="I124" s="60">
        <f t="shared" si="28"/>
        <v>0</v>
      </c>
      <c r="J124" s="62">
        <v>0</v>
      </c>
      <c r="K124" s="62"/>
      <c r="L124" s="62"/>
      <c r="M124" s="111">
        <f t="shared" si="21"/>
        <v>0</v>
      </c>
      <c r="N124" s="111">
        <f t="shared" si="22"/>
        <v>0</v>
      </c>
      <c r="O124" s="111" t="str">
        <f t="shared" si="23"/>
        <v/>
      </c>
      <c r="P124" s="111" t="str">
        <f t="shared" si="24"/>
        <v/>
      </c>
    </row>
    <row r="125" spans="1:16" s="39" customFormat="1" ht="54" x14ac:dyDescent="0.3">
      <c r="A125" s="20" t="s">
        <v>123</v>
      </c>
      <c r="B125" s="20" t="s">
        <v>97</v>
      </c>
      <c r="C125" s="20" t="s">
        <v>41</v>
      </c>
      <c r="D125" s="21" t="s">
        <v>98</v>
      </c>
      <c r="E125" s="60">
        <f t="shared" si="20"/>
        <v>25700000</v>
      </c>
      <c r="F125" s="61">
        <v>25700000</v>
      </c>
      <c r="G125" s="61"/>
      <c r="H125" s="61"/>
      <c r="I125" s="60">
        <f t="shared" si="28"/>
        <v>12095158.800000001</v>
      </c>
      <c r="J125" s="62">
        <v>12095158.800000001</v>
      </c>
      <c r="K125" s="62"/>
      <c r="L125" s="62"/>
      <c r="M125" s="111">
        <f t="shared" si="21"/>
        <v>0.4706287470817121</v>
      </c>
      <c r="N125" s="111">
        <f t="shared" si="22"/>
        <v>0.4706287470817121</v>
      </c>
      <c r="O125" s="111" t="str">
        <f t="shared" si="23"/>
        <v/>
      </c>
      <c r="P125" s="111" t="str">
        <f t="shared" si="24"/>
        <v/>
      </c>
    </row>
    <row r="126" spans="1:16" s="39" customFormat="1" ht="144" x14ac:dyDescent="0.3">
      <c r="A126" s="24">
        <v>1217691</v>
      </c>
      <c r="B126" s="24">
        <v>7691</v>
      </c>
      <c r="C126" s="25" t="s">
        <v>22</v>
      </c>
      <c r="D126" s="21" t="s">
        <v>156</v>
      </c>
      <c r="E126" s="60">
        <f t="shared" si="20"/>
        <v>393146</v>
      </c>
      <c r="F126" s="61"/>
      <c r="G126" s="61">
        <v>393146</v>
      </c>
      <c r="H126" s="61"/>
      <c r="I126" s="60">
        <f t="shared" si="28"/>
        <v>4923.03</v>
      </c>
      <c r="J126" s="62"/>
      <c r="K126" s="62">
        <v>4923.03</v>
      </c>
      <c r="L126" s="62"/>
      <c r="M126" s="111">
        <f t="shared" si="21"/>
        <v>1.2522141901481891E-2</v>
      </c>
      <c r="N126" s="111" t="str">
        <f t="shared" si="22"/>
        <v/>
      </c>
      <c r="O126" s="111">
        <f t="shared" si="23"/>
        <v>1.2522141901481891E-2</v>
      </c>
      <c r="P126" s="111" t="str">
        <f t="shared" si="24"/>
        <v/>
      </c>
    </row>
    <row r="127" spans="1:16" s="39" customFormat="1" ht="36" x14ac:dyDescent="0.3">
      <c r="A127" s="24">
        <v>1217693</v>
      </c>
      <c r="B127" s="20" t="s">
        <v>136</v>
      </c>
      <c r="C127" s="20" t="s">
        <v>22</v>
      </c>
      <c r="D127" s="21" t="s">
        <v>270</v>
      </c>
      <c r="E127" s="60">
        <f t="shared" si="20"/>
        <v>36119300</v>
      </c>
      <c r="F127" s="61">
        <f>3115000+18000000+15004300</f>
        <v>36119300</v>
      </c>
      <c r="G127" s="61"/>
      <c r="H127" s="61"/>
      <c r="I127" s="60">
        <f t="shared" si="28"/>
        <v>34256941.670000002</v>
      </c>
      <c r="J127" s="62">
        <f>1252641.67+18000000+15004300</f>
        <v>34256941.670000002</v>
      </c>
      <c r="K127" s="62"/>
      <c r="L127" s="62"/>
      <c r="M127" s="111">
        <f t="shared" si="21"/>
        <v>0.94843869261032199</v>
      </c>
      <c r="N127" s="111">
        <f t="shared" si="22"/>
        <v>0.94843869261032199</v>
      </c>
      <c r="O127" s="111" t="str">
        <f t="shared" si="23"/>
        <v/>
      </c>
      <c r="P127" s="111" t="str">
        <f t="shared" si="24"/>
        <v/>
      </c>
    </row>
    <row r="128" spans="1:16" s="39" customFormat="1" ht="72" x14ac:dyDescent="0.3">
      <c r="A128" s="24">
        <v>1217700</v>
      </c>
      <c r="B128" s="24">
        <v>7700</v>
      </c>
      <c r="C128" s="25" t="s">
        <v>5</v>
      </c>
      <c r="D128" s="21" t="s">
        <v>364</v>
      </c>
      <c r="E128" s="60">
        <f t="shared" si="20"/>
        <v>420801.44</v>
      </c>
      <c r="F128" s="61"/>
      <c r="G128" s="61">
        <v>420801.44</v>
      </c>
      <c r="H128" s="61"/>
      <c r="I128" s="60">
        <f t="shared" si="28"/>
        <v>0</v>
      </c>
      <c r="J128" s="62"/>
      <c r="K128" s="62"/>
      <c r="L128" s="62"/>
      <c r="M128" s="111">
        <f t="shared" si="21"/>
        <v>0</v>
      </c>
      <c r="N128" s="111" t="str">
        <f t="shared" si="22"/>
        <v/>
      </c>
      <c r="O128" s="111">
        <f t="shared" si="23"/>
        <v>0</v>
      </c>
      <c r="P128" s="111" t="str">
        <f t="shared" si="24"/>
        <v/>
      </c>
    </row>
    <row r="129" spans="1:18" s="39" customFormat="1" ht="54" x14ac:dyDescent="0.3">
      <c r="A129" s="24">
        <v>1218110</v>
      </c>
      <c r="B129" s="24">
        <v>8110</v>
      </c>
      <c r="C129" s="25" t="s">
        <v>4</v>
      </c>
      <c r="D129" s="21" t="s">
        <v>137</v>
      </c>
      <c r="E129" s="60">
        <f t="shared" si="20"/>
        <v>2158241</v>
      </c>
      <c r="F129" s="61">
        <f>1852741+155500</f>
        <v>2008241</v>
      </c>
      <c r="G129" s="61">
        <v>150000</v>
      </c>
      <c r="H129" s="61">
        <v>150000</v>
      </c>
      <c r="I129" s="60">
        <f t="shared" si="28"/>
        <v>1324521.25</v>
      </c>
      <c r="J129" s="66">
        <f>1169021.25+155500</f>
        <v>1324521.25</v>
      </c>
      <c r="K129" s="66"/>
      <c r="L129" s="66"/>
      <c r="M129" s="111">
        <f t="shared" si="21"/>
        <v>0.61370405343981516</v>
      </c>
      <c r="N129" s="111">
        <f t="shared" si="22"/>
        <v>0.65954297815849794</v>
      </c>
      <c r="O129" s="111">
        <f t="shared" si="23"/>
        <v>0</v>
      </c>
      <c r="P129" s="111">
        <f t="shared" si="24"/>
        <v>0</v>
      </c>
    </row>
    <row r="130" spans="1:18" s="39" customFormat="1" ht="18" x14ac:dyDescent="0.3">
      <c r="A130" s="24">
        <v>1218240</v>
      </c>
      <c r="B130" s="24">
        <v>8240</v>
      </c>
      <c r="C130" s="26" t="s">
        <v>160</v>
      </c>
      <c r="D130" s="27" t="s">
        <v>247</v>
      </c>
      <c r="E130" s="60">
        <f t="shared" si="20"/>
        <v>12700</v>
      </c>
      <c r="F130" s="61">
        <v>12700</v>
      </c>
      <c r="G130" s="61"/>
      <c r="H130" s="61"/>
      <c r="I130" s="60">
        <f t="shared" si="28"/>
        <v>12700</v>
      </c>
      <c r="J130" s="66">
        <v>12700</v>
      </c>
      <c r="K130" s="66"/>
      <c r="L130" s="66"/>
      <c r="M130" s="111">
        <f t="shared" si="21"/>
        <v>1</v>
      </c>
      <c r="N130" s="111">
        <f t="shared" si="22"/>
        <v>1</v>
      </c>
      <c r="O130" s="111" t="str">
        <f t="shared" si="23"/>
        <v/>
      </c>
      <c r="P130" s="111" t="str">
        <f t="shared" si="24"/>
        <v/>
      </c>
    </row>
    <row r="131" spans="1:18" s="41" customFormat="1" ht="36" x14ac:dyDescent="0.3">
      <c r="A131" s="20" t="s">
        <v>129</v>
      </c>
      <c r="B131" s="20" t="s">
        <v>126</v>
      </c>
      <c r="C131" s="20" t="s">
        <v>42</v>
      </c>
      <c r="D131" s="21" t="s">
        <v>135</v>
      </c>
      <c r="E131" s="60">
        <f t="shared" si="20"/>
        <v>250000</v>
      </c>
      <c r="F131" s="61"/>
      <c r="G131" s="61">
        <f>100000+150000</f>
        <v>250000</v>
      </c>
      <c r="H131" s="61"/>
      <c r="I131" s="60">
        <f t="shared" si="28"/>
        <v>0</v>
      </c>
      <c r="J131" s="66"/>
      <c r="K131" s="66"/>
      <c r="L131" s="66"/>
      <c r="M131" s="111">
        <f t="shared" si="21"/>
        <v>0</v>
      </c>
      <c r="N131" s="111" t="str">
        <f t="shared" si="22"/>
        <v/>
      </c>
      <c r="O131" s="111">
        <f t="shared" si="23"/>
        <v>0</v>
      </c>
      <c r="P131" s="111" t="str">
        <f t="shared" si="24"/>
        <v/>
      </c>
    </row>
    <row r="132" spans="1:18" s="41" customFormat="1" ht="72" x14ac:dyDescent="0.3">
      <c r="A132" s="24">
        <v>1218761</v>
      </c>
      <c r="B132" s="107" t="s">
        <v>42</v>
      </c>
      <c r="C132" s="107" t="s">
        <v>366</v>
      </c>
      <c r="D132" s="21" t="s">
        <v>365</v>
      </c>
      <c r="E132" s="60">
        <f t="shared" si="20"/>
        <v>674628</v>
      </c>
      <c r="F132" s="61"/>
      <c r="G132" s="61">
        <v>674628</v>
      </c>
      <c r="H132" s="61">
        <v>674628</v>
      </c>
      <c r="I132" s="60">
        <f t="shared" si="28"/>
        <v>0</v>
      </c>
      <c r="J132" s="66"/>
      <c r="K132" s="66"/>
      <c r="L132" s="66"/>
      <c r="M132" s="111">
        <f t="shared" si="21"/>
        <v>0</v>
      </c>
      <c r="N132" s="111" t="str">
        <f t="shared" si="22"/>
        <v/>
      </c>
      <c r="O132" s="111">
        <f t="shared" si="23"/>
        <v>0</v>
      </c>
      <c r="P132" s="111">
        <f t="shared" si="24"/>
        <v>0</v>
      </c>
    </row>
    <row r="133" spans="1:18" s="41" customFormat="1" ht="52.2" x14ac:dyDescent="0.3">
      <c r="A133" s="18" t="s">
        <v>27</v>
      </c>
      <c r="B133" s="18" t="s">
        <v>231</v>
      </c>
      <c r="C133" s="18" t="s">
        <v>231</v>
      </c>
      <c r="D133" s="19" t="s">
        <v>271</v>
      </c>
      <c r="E133" s="58">
        <f t="shared" si="20"/>
        <v>113172885</v>
      </c>
      <c r="F133" s="59">
        <f>F134</f>
        <v>4485000</v>
      </c>
      <c r="G133" s="59">
        <f t="shared" ref="G133:L133" si="39">G134</f>
        <v>108687885</v>
      </c>
      <c r="H133" s="59">
        <f t="shared" si="39"/>
        <v>108687885</v>
      </c>
      <c r="I133" s="59">
        <f t="shared" si="39"/>
        <v>23489968.339999996</v>
      </c>
      <c r="J133" s="59">
        <f>J134</f>
        <v>1979483.96</v>
      </c>
      <c r="K133" s="59">
        <f t="shared" si="39"/>
        <v>21510484.380000003</v>
      </c>
      <c r="L133" s="59">
        <f t="shared" si="39"/>
        <v>21510484.380000003</v>
      </c>
      <c r="M133" s="109">
        <f t="shared" si="21"/>
        <v>0.20755827104699148</v>
      </c>
      <c r="N133" s="109">
        <f t="shared" si="22"/>
        <v>0.4413565128205128</v>
      </c>
      <c r="O133" s="109">
        <f t="shared" si="23"/>
        <v>0.19791059859155419</v>
      </c>
      <c r="P133" s="109">
        <f t="shared" si="24"/>
        <v>0.19791059859155419</v>
      </c>
      <c r="Q133" s="45"/>
      <c r="R133" s="47"/>
    </row>
    <row r="134" spans="1:18" s="41" customFormat="1" ht="52.2" x14ac:dyDescent="0.3">
      <c r="A134" s="18" t="s">
        <v>28</v>
      </c>
      <c r="B134" s="18" t="s">
        <v>231</v>
      </c>
      <c r="C134" s="18" t="s">
        <v>231</v>
      </c>
      <c r="D134" s="19" t="s">
        <v>271</v>
      </c>
      <c r="E134" s="58">
        <f t="shared" si="20"/>
        <v>113172885</v>
      </c>
      <c r="F134" s="59">
        <f t="shared" ref="F134:L134" si="40">SUM(F135:F146)</f>
        <v>4485000</v>
      </c>
      <c r="G134" s="59">
        <f t="shared" si="40"/>
        <v>108687885</v>
      </c>
      <c r="H134" s="59">
        <f t="shared" si="40"/>
        <v>108687885</v>
      </c>
      <c r="I134" s="59">
        <f t="shared" si="40"/>
        <v>23489968.339999996</v>
      </c>
      <c r="J134" s="59">
        <f t="shared" si="40"/>
        <v>1979483.96</v>
      </c>
      <c r="K134" s="59">
        <f t="shared" si="40"/>
        <v>21510484.380000003</v>
      </c>
      <c r="L134" s="59">
        <f t="shared" si="40"/>
        <v>21510484.380000003</v>
      </c>
      <c r="M134" s="109">
        <f t="shared" si="21"/>
        <v>0.20755827104699148</v>
      </c>
      <c r="N134" s="109">
        <f t="shared" si="22"/>
        <v>0.4413565128205128</v>
      </c>
      <c r="O134" s="109">
        <f t="shared" si="23"/>
        <v>0.19791059859155419</v>
      </c>
      <c r="P134" s="109">
        <f t="shared" si="24"/>
        <v>0.19791059859155419</v>
      </c>
      <c r="Q134" s="45"/>
      <c r="R134" s="47"/>
    </row>
    <row r="135" spans="1:18" s="41" customFormat="1" ht="54" x14ac:dyDescent="0.3">
      <c r="A135" s="20" t="s">
        <v>90</v>
      </c>
      <c r="B135" s="20" t="s">
        <v>56</v>
      </c>
      <c r="C135" s="20" t="s">
        <v>2</v>
      </c>
      <c r="D135" s="21" t="s">
        <v>248</v>
      </c>
      <c r="E135" s="60">
        <f t="shared" si="20"/>
        <v>4386000</v>
      </c>
      <c r="F135" s="61">
        <v>4386000</v>
      </c>
      <c r="G135" s="61"/>
      <c r="H135" s="61"/>
      <c r="I135" s="60">
        <f t="shared" si="28"/>
        <v>1942058.96</v>
      </c>
      <c r="J135" s="62">
        <v>1942058.96</v>
      </c>
      <c r="K135" s="62">
        <v>0</v>
      </c>
      <c r="L135" s="62">
        <v>0</v>
      </c>
      <c r="M135" s="111">
        <f t="shared" si="21"/>
        <v>0.44278590059279527</v>
      </c>
      <c r="N135" s="111">
        <f t="shared" si="22"/>
        <v>0.44278590059279527</v>
      </c>
      <c r="O135" s="111" t="str">
        <f t="shared" si="23"/>
        <v/>
      </c>
      <c r="P135" s="111" t="str">
        <f t="shared" si="24"/>
        <v/>
      </c>
      <c r="R135" s="112"/>
    </row>
    <row r="136" spans="1:18" s="41" customFormat="1" ht="18" x14ac:dyDescent="0.3">
      <c r="A136" s="20" t="s">
        <v>272</v>
      </c>
      <c r="B136" s="20" t="s">
        <v>9</v>
      </c>
      <c r="C136" s="20" t="s">
        <v>5</v>
      </c>
      <c r="D136" s="21" t="s">
        <v>102</v>
      </c>
      <c r="E136" s="60">
        <f t="shared" si="20"/>
        <v>99000</v>
      </c>
      <c r="F136" s="61">
        <v>99000</v>
      </c>
      <c r="G136" s="61"/>
      <c r="H136" s="61"/>
      <c r="I136" s="60">
        <f t="shared" si="28"/>
        <v>37425</v>
      </c>
      <c r="J136" s="62">
        <v>37425</v>
      </c>
      <c r="K136" s="62"/>
      <c r="L136" s="62"/>
      <c r="M136" s="111">
        <f t="shared" si="21"/>
        <v>0.37803030303030305</v>
      </c>
      <c r="N136" s="111">
        <f t="shared" si="22"/>
        <v>0.37803030303030305</v>
      </c>
      <c r="O136" s="111" t="str">
        <f t="shared" si="23"/>
        <v/>
      </c>
      <c r="P136" s="111" t="str">
        <f t="shared" si="24"/>
        <v/>
      </c>
      <c r="R136" s="112"/>
    </row>
    <row r="137" spans="1:18" s="41" customFormat="1" ht="36" x14ac:dyDescent="0.3">
      <c r="A137" s="24">
        <v>1512010</v>
      </c>
      <c r="B137" s="24">
        <v>2010</v>
      </c>
      <c r="C137" s="25" t="s">
        <v>31</v>
      </c>
      <c r="D137" s="21" t="s">
        <v>155</v>
      </c>
      <c r="E137" s="60">
        <f t="shared" si="20"/>
        <v>1175627</v>
      </c>
      <c r="F137" s="61"/>
      <c r="G137" s="61">
        <v>1175627</v>
      </c>
      <c r="H137" s="61">
        <v>1175627</v>
      </c>
      <c r="I137" s="60">
        <f t="shared" si="28"/>
        <v>1110730.92</v>
      </c>
      <c r="J137" s="62"/>
      <c r="K137" s="62">
        <v>1110730.92</v>
      </c>
      <c r="L137" s="62">
        <v>1110730.92</v>
      </c>
      <c r="M137" s="111">
        <f t="shared" si="21"/>
        <v>0.94479874994364699</v>
      </c>
      <c r="N137" s="111" t="str">
        <f t="shared" si="22"/>
        <v/>
      </c>
      <c r="O137" s="111">
        <f t="shared" si="23"/>
        <v>0.94479874994364699</v>
      </c>
      <c r="P137" s="111">
        <f t="shared" si="24"/>
        <v>0.94479874994364699</v>
      </c>
      <c r="R137" s="112"/>
    </row>
    <row r="138" spans="1:18" s="41" customFormat="1" ht="36" x14ac:dyDescent="0.3">
      <c r="A138" s="24">
        <v>1516013</v>
      </c>
      <c r="B138" s="24">
        <v>6013</v>
      </c>
      <c r="C138" s="26" t="s">
        <v>8</v>
      </c>
      <c r="D138" s="21" t="s">
        <v>100</v>
      </c>
      <c r="E138" s="60">
        <f t="shared" si="20"/>
        <v>382750</v>
      </c>
      <c r="F138" s="61"/>
      <c r="G138" s="61">
        <f>H138</f>
        <v>382750</v>
      </c>
      <c r="H138" s="61">
        <v>382750</v>
      </c>
      <c r="I138" s="60">
        <f t="shared" si="28"/>
        <v>382749.55</v>
      </c>
      <c r="J138" s="62"/>
      <c r="K138" s="62">
        <f>L138</f>
        <v>382749.55</v>
      </c>
      <c r="L138" s="62">
        <v>382749.55</v>
      </c>
      <c r="M138" s="111">
        <f t="shared" si="21"/>
        <v>0.99999882429784448</v>
      </c>
      <c r="N138" s="111" t="str">
        <f t="shared" si="22"/>
        <v/>
      </c>
      <c r="O138" s="111">
        <f t="shared" si="23"/>
        <v>0.99999882429784448</v>
      </c>
      <c r="P138" s="111">
        <f t="shared" si="24"/>
        <v>0.99999882429784448</v>
      </c>
      <c r="R138" s="112"/>
    </row>
    <row r="139" spans="1:18" s="41" customFormat="1" ht="36" x14ac:dyDescent="0.3">
      <c r="A139" s="24">
        <v>1516015</v>
      </c>
      <c r="B139" s="20" t="s">
        <v>120</v>
      </c>
      <c r="C139" s="20" t="s">
        <v>8</v>
      </c>
      <c r="D139" s="21" t="s">
        <v>122</v>
      </c>
      <c r="E139" s="60">
        <f t="shared" si="20"/>
        <v>23415217</v>
      </c>
      <c r="F139" s="61"/>
      <c r="G139" s="61">
        <v>23415217</v>
      </c>
      <c r="H139" s="61">
        <v>23415217</v>
      </c>
      <c r="I139" s="60">
        <f t="shared" si="28"/>
        <v>3666824.02</v>
      </c>
      <c r="J139" s="62"/>
      <c r="K139" s="62">
        <v>3666824.02</v>
      </c>
      <c r="L139" s="62">
        <v>3666824.02</v>
      </c>
      <c r="M139" s="111">
        <f t="shared" si="21"/>
        <v>0.15660004432160504</v>
      </c>
      <c r="N139" s="111" t="str">
        <f t="shared" si="22"/>
        <v/>
      </c>
      <c r="O139" s="111">
        <f t="shared" si="23"/>
        <v>0.15660004432160504</v>
      </c>
      <c r="P139" s="111">
        <f t="shared" si="24"/>
        <v>0.15660004432160504</v>
      </c>
      <c r="R139" s="112"/>
    </row>
    <row r="140" spans="1:18" s="41" customFormat="1" ht="72" x14ac:dyDescent="0.3">
      <c r="A140" s="24">
        <v>1516050</v>
      </c>
      <c r="B140" s="25" t="s">
        <v>335</v>
      </c>
      <c r="C140" s="25" t="s">
        <v>8</v>
      </c>
      <c r="D140" s="21" t="s">
        <v>336</v>
      </c>
      <c r="E140" s="60">
        <f t="shared" si="20"/>
        <v>1194873</v>
      </c>
      <c r="F140" s="61"/>
      <c r="G140" s="61">
        <v>1194873</v>
      </c>
      <c r="H140" s="61">
        <v>1194873</v>
      </c>
      <c r="I140" s="60">
        <f t="shared" si="28"/>
        <v>0</v>
      </c>
      <c r="J140" s="62"/>
      <c r="K140" s="62"/>
      <c r="L140" s="62"/>
      <c r="M140" s="111">
        <f t="shared" si="21"/>
        <v>0</v>
      </c>
      <c r="N140" s="111" t="str">
        <f t="shared" si="22"/>
        <v/>
      </c>
      <c r="O140" s="111">
        <f t="shared" si="23"/>
        <v>0</v>
      </c>
      <c r="P140" s="111">
        <f t="shared" si="24"/>
        <v>0</v>
      </c>
      <c r="R140" s="112"/>
    </row>
    <row r="141" spans="1:18" s="41" customFormat="1" ht="36" x14ac:dyDescent="0.3">
      <c r="A141" s="24">
        <v>1517310</v>
      </c>
      <c r="B141" s="24">
        <v>7310</v>
      </c>
      <c r="C141" s="26" t="s">
        <v>125</v>
      </c>
      <c r="D141" s="21" t="s">
        <v>338</v>
      </c>
      <c r="E141" s="60">
        <f t="shared" si="20"/>
        <v>19000000</v>
      </c>
      <c r="F141" s="61"/>
      <c r="G141" s="61">
        <v>19000000</v>
      </c>
      <c r="H141" s="61">
        <v>19000000</v>
      </c>
      <c r="I141" s="60">
        <f t="shared" si="28"/>
        <v>3689136</v>
      </c>
      <c r="J141" s="62"/>
      <c r="K141" s="62">
        <v>3689136</v>
      </c>
      <c r="L141" s="62">
        <v>3689136</v>
      </c>
      <c r="M141" s="111">
        <f t="shared" si="21"/>
        <v>0.19416505263157896</v>
      </c>
      <c r="N141" s="111" t="str">
        <f t="shared" si="22"/>
        <v/>
      </c>
      <c r="O141" s="111">
        <f t="shared" si="23"/>
        <v>0.19416505263157896</v>
      </c>
      <c r="P141" s="111">
        <f t="shared" si="24"/>
        <v>0.19416505263157896</v>
      </c>
      <c r="R141" s="112"/>
    </row>
    <row r="142" spans="1:18" s="41" customFormat="1" ht="18" x14ac:dyDescent="0.3">
      <c r="A142" s="24">
        <v>1517321</v>
      </c>
      <c r="B142" s="24">
        <v>7321</v>
      </c>
      <c r="C142" s="26" t="s">
        <v>125</v>
      </c>
      <c r="D142" s="21" t="s">
        <v>339</v>
      </c>
      <c r="E142" s="60">
        <f t="shared" si="20"/>
        <v>202660</v>
      </c>
      <c r="F142" s="61"/>
      <c r="G142" s="61">
        <v>202660</v>
      </c>
      <c r="H142" s="61">
        <v>202660</v>
      </c>
      <c r="I142" s="60">
        <f t="shared" si="28"/>
        <v>0</v>
      </c>
      <c r="J142" s="62"/>
      <c r="K142" s="62"/>
      <c r="L142" s="62"/>
      <c r="M142" s="111">
        <f t="shared" si="21"/>
        <v>0</v>
      </c>
      <c r="N142" s="111" t="str">
        <f t="shared" si="22"/>
        <v/>
      </c>
      <c r="O142" s="111">
        <f t="shared" si="23"/>
        <v>0</v>
      </c>
      <c r="P142" s="111">
        <f t="shared" si="24"/>
        <v>0</v>
      </c>
      <c r="R142" s="112"/>
    </row>
    <row r="143" spans="1:18" s="41" customFormat="1" ht="36" x14ac:dyDescent="0.3">
      <c r="A143" s="26" t="s">
        <v>323</v>
      </c>
      <c r="B143" s="26" t="s">
        <v>324</v>
      </c>
      <c r="C143" s="26" t="s">
        <v>22</v>
      </c>
      <c r="D143" s="21" t="s">
        <v>325</v>
      </c>
      <c r="E143" s="60">
        <f t="shared" ref="E143" si="41">F143+G143</f>
        <v>26491442</v>
      </c>
      <c r="F143" s="61"/>
      <c r="G143" s="61">
        <v>26491442</v>
      </c>
      <c r="H143" s="61">
        <v>26491442</v>
      </c>
      <c r="I143" s="60">
        <f t="shared" si="28"/>
        <v>0</v>
      </c>
      <c r="J143" s="62"/>
      <c r="K143" s="62"/>
      <c r="L143" s="62"/>
      <c r="M143" s="111">
        <f t="shared" si="21"/>
        <v>0</v>
      </c>
      <c r="N143" s="111" t="str">
        <f t="shared" si="22"/>
        <v/>
      </c>
      <c r="O143" s="111">
        <f t="shared" si="23"/>
        <v>0</v>
      </c>
      <c r="P143" s="111">
        <f t="shared" si="24"/>
        <v>0</v>
      </c>
      <c r="R143" s="112"/>
    </row>
    <row r="144" spans="1:18" s="41" customFormat="1" ht="36" x14ac:dyDescent="0.3">
      <c r="A144" s="24">
        <v>1517370</v>
      </c>
      <c r="B144" s="24">
        <v>7370</v>
      </c>
      <c r="C144" s="26" t="s">
        <v>22</v>
      </c>
      <c r="D144" s="21" t="s">
        <v>124</v>
      </c>
      <c r="E144" s="60">
        <f t="shared" ref="E144:E174" si="42">F144+G144</f>
        <v>7820447</v>
      </c>
      <c r="F144" s="61"/>
      <c r="G144" s="61">
        <f>155676+7664771</f>
        <v>7820447</v>
      </c>
      <c r="H144" s="61">
        <f>155676+7664771</f>
        <v>7820447</v>
      </c>
      <c r="I144" s="60">
        <f t="shared" si="28"/>
        <v>0</v>
      </c>
      <c r="J144" s="62">
        <v>0</v>
      </c>
      <c r="K144" s="62"/>
      <c r="L144" s="62"/>
      <c r="M144" s="111">
        <f t="shared" si="21"/>
        <v>0</v>
      </c>
      <c r="N144" s="111" t="str">
        <f t="shared" si="22"/>
        <v/>
      </c>
      <c r="O144" s="111">
        <f t="shared" si="23"/>
        <v>0</v>
      </c>
      <c r="P144" s="111">
        <f t="shared" si="24"/>
        <v>0</v>
      </c>
      <c r="R144" s="112"/>
    </row>
    <row r="145" spans="1:18" s="41" customFormat="1" ht="18" x14ac:dyDescent="0.3">
      <c r="A145" s="24">
        <v>1517640</v>
      </c>
      <c r="B145" s="24">
        <v>7640</v>
      </c>
      <c r="C145" s="26" t="s">
        <v>6</v>
      </c>
      <c r="D145" s="21" t="s">
        <v>7</v>
      </c>
      <c r="E145" s="60">
        <f t="shared" si="42"/>
        <v>7720091</v>
      </c>
      <c r="F145" s="61"/>
      <c r="G145" s="61">
        <v>7720091</v>
      </c>
      <c r="H145" s="61">
        <v>7720091</v>
      </c>
      <c r="I145" s="60">
        <f t="shared" ref="I145:I146" si="43">J145+K145</f>
        <v>5577695.79</v>
      </c>
      <c r="J145" s="66"/>
      <c r="K145" s="66">
        <v>5577695.79</v>
      </c>
      <c r="L145" s="66">
        <v>5577695.79</v>
      </c>
      <c r="M145" s="111">
        <f t="shared" ref="M145:M186" si="44">IFERROR((I145/E145),"")</f>
        <v>0.72249093825448429</v>
      </c>
      <c r="N145" s="111" t="str">
        <f t="shared" ref="N145:N186" si="45">IFERROR((J145/F145),"")</f>
        <v/>
      </c>
      <c r="O145" s="111">
        <f t="shared" ref="O145:O186" si="46">IFERROR((K145/G145),"")</f>
        <v>0.72249093825448429</v>
      </c>
      <c r="P145" s="111">
        <f t="shared" ref="P145:P186" si="47">IFERROR((L145/H145),"")</f>
        <v>0.72249093825448429</v>
      </c>
      <c r="R145" s="112"/>
    </row>
    <row r="146" spans="1:18" s="41" customFormat="1" ht="54" x14ac:dyDescent="0.3">
      <c r="A146" s="25" t="s">
        <v>281</v>
      </c>
      <c r="B146" s="24">
        <v>8110</v>
      </c>
      <c r="C146" s="26" t="s">
        <v>4</v>
      </c>
      <c r="D146" s="21" t="s">
        <v>137</v>
      </c>
      <c r="E146" s="60">
        <f t="shared" si="42"/>
        <v>21284778</v>
      </c>
      <c r="F146" s="61"/>
      <c r="G146" s="61">
        <f>7105844+14178934</f>
        <v>21284778</v>
      </c>
      <c r="H146" s="61">
        <f>7105844+14178934</f>
        <v>21284778</v>
      </c>
      <c r="I146" s="60">
        <f t="shared" si="43"/>
        <v>7083348.0999999996</v>
      </c>
      <c r="J146" s="66"/>
      <c r="K146" s="66">
        <f>2269137.6+4814210.5</f>
        <v>7083348.0999999996</v>
      </c>
      <c r="L146" s="66">
        <f>2269137.6+4814210.5</f>
        <v>7083348.0999999996</v>
      </c>
      <c r="M146" s="111">
        <f t="shared" si="44"/>
        <v>0.33278938121882218</v>
      </c>
      <c r="N146" s="111" t="str">
        <f t="shared" si="45"/>
        <v/>
      </c>
      <c r="O146" s="111">
        <f t="shared" si="46"/>
        <v>0.33278938121882218</v>
      </c>
      <c r="P146" s="111">
        <f t="shared" si="47"/>
        <v>0.33278938121882218</v>
      </c>
      <c r="R146" s="112"/>
    </row>
    <row r="147" spans="1:18" s="39" customFormat="1" ht="52.2" x14ac:dyDescent="0.3">
      <c r="A147" s="18" t="s">
        <v>91</v>
      </c>
      <c r="B147" s="18" t="s">
        <v>231</v>
      </c>
      <c r="C147" s="18" t="s">
        <v>231</v>
      </c>
      <c r="D147" s="19" t="s">
        <v>273</v>
      </c>
      <c r="E147" s="58">
        <f t="shared" si="42"/>
        <v>24436100</v>
      </c>
      <c r="F147" s="59">
        <f>F148</f>
        <v>24436100</v>
      </c>
      <c r="G147" s="59">
        <f t="shared" ref="G147:H147" si="48">G148</f>
        <v>0</v>
      </c>
      <c r="H147" s="59">
        <f t="shared" si="48"/>
        <v>0</v>
      </c>
      <c r="I147" s="58">
        <f t="shared" ref="I147:I174" si="49">J147+K147</f>
        <v>9820608.2899999991</v>
      </c>
      <c r="J147" s="69">
        <f>J148</f>
        <v>9820608.2899999991</v>
      </c>
      <c r="K147" s="69">
        <f>K148</f>
        <v>0</v>
      </c>
      <c r="L147" s="69">
        <f>L148</f>
        <v>0</v>
      </c>
      <c r="M147" s="109">
        <f t="shared" si="44"/>
        <v>0.40188934772733781</v>
      </c>
      <c r="N147" s="109">
        <f t="shared" si="45"/>
        <v>0.40188934772733781</v>
      </c>
      <c r="O147" s="109" t="str">
        <f t="shared" si="46"/>
        <v/>
      </c>
      <c r="P147" s="109" t="str">
        <f t="shared" si="47"/>
        <v/>
      </c>
    </row>
    <row r="148" spans="1:18" s="39" customFormat="1" ht="52.2" x14ac:dyDescent="0.3">
      <c r="A148" s="18" t="s">
        <v>92</v>
      </c>
      <c r="B148" s="18" t="s">
        <v>231</v>
      </c>
      <c r="C148" s="18" t="s">
        <v>231</v>
      </c>
      <c r="D148" s="19" t="s">
        <v>273</v>
      </c>
      <c r="E148" s="58">
        <f t="shared" si="42"/>
        <v>24436100</v>
      </c>
      <c r="F148" s="59">
        <f t="shared" ref="F148:L148" si="50">SUM(F149:F155)</f>
        <v>24436100</v>
      </c>
      <c r="G148" s="59">
        <f t="shared" si="50"/>
        <v>0</v>
      </c>
      <c r="H148" s="59">
        <f t="shared" si="50"/>
        <v>0</v>
      </c>
      <c r="I148" s="59">
        <f t="shared" si="50"/>
        <v>9820608.2899999991</v>
      </c>
      <c r="J148" s="59">
        <f t="shared" si="50"/>
        <v>9820608.2899999991</v>
      </c>
      <c r="K148" s="59">
        <f t="shared" si="50"/>
        <v>0</v>
      </c>
      <c r="L148" s="59">
        <f t="shared" si="50"/>
        <v>0</v>
      </c>
      <c r="M148" s="109">
        <f t="shared" si="44"/>
        <v>0.40188934772733781</v>
      </c>
      <c r="N148" s="109">
        <f t="shared" si="45"/>
        <v>0.40188934772733781</v>
      </c>
      <c r="O148" s="109" t="str">
        <f t="shared" si="46"/>
        <v/>
      </c>
      <c r="P148" s="109" t="str">
        <f t="shared" si="47"/>
        <v/>
      </c>
    </row>
    <row r="149" spans="1:18" s="39" customFormat="1" ht="54" x14ac:dyDescent="0.3">
      <c r="A149" s="20" t="s">
        <v>93</v>
      </c>
      <c r="B149" s="20" t="s">
        <v>56</v>
      </c>
      <c r="C149" s="20" t="s">
        <v>2</v>
      </c>
      <c r="D149" s="21" t="s">
        <v>248</v>
      </c>
      <c r="E149" s="60">
        <f t="shared" si="42"/>
        <v>3762800</v>
      </c>
      <c r="F149" s="61">
        <v>3762800</v>
      </c>
      <c r="G149" s="61"/>
      <c r="H149" s="61"/>
      <c r="I149" s="60">
        <f t="shared" si="49"/>
        <v>1658837.98</v>
      </c>
      <c r="J149" s="66">
        <v>1658837.98</v>
      </c>
      <c r="K149" s="66"/>
      <c r="L149" s="66"/>
      <c r="M149" s="111">
        <f t="shared" si="44"/>
        <v>0.44085201977250982</v>
      </c>
      <c r="N149" s="111">
        <f t="shared" si="45"/>
        <v>0.44085201977250982</v>
      </c>
      <c r="O149" s="111" t="str">
        <f t="shared" si="46"/>
        <v/>
      </c>
      <c r="P149" s="111" t="str">
        <f t="shared" si="47"/>
        <v/>
      </c>
    </row>
    <row r="150" spans="1:18" s="39" customFormat="1" ht="18" x14ac:dyDescent="0.3">
      <c r="A150" s="20" t="s">
        <v>101</v>
      </c>
      <c r="B150" s="20" t="s">
        <v>9</v>
      </c>
      <c r="C150" s="20" t="s">
        <v>5</v>
      </c>
      <c r="D150" s="21" t="s">
        <v>102</v>
      </c>
      <c r="E150" s="60">
        <f t="shared" si="42"/>
        <v>159000</v>
      </c>
      <c r="F150" s="61">
        <v>159000</v>
      </c>
      <c r="G150" s="61"/>
      <c r="H150" s="61"/>
      <c r="I150" s="60">
        <f t="shared" si="49"/>
        <v>49900</v>
      </c>
      <c r="J150" s="66">
        <v>49900</v>
      </c>
      <c r="K150" s="66"/>
      <c r="L150" s="66"/>
      <c r="M150" s="111">
        <f t="shared" si="44"/>
        <v>0.31383647798742137</v>
      </c>
      <c r="N150" s="111">
        <f t="shared" si="45"/>
        <v>0.31383647798742137</v>
      </c>
      <c r="O150" s="111" t="str">
        <f t="shared" si="46"/>
        <v/>
      </c>
      <c r="P150" s="111" t="str">
        <f t="shared" si="47"/>
        <v/>
      </c>
    </row>
    <row r="151" spans="1:18" s="39" customFormat="1" ht="36" x14ac:dyDescent="0.3">
      <c r="A151" s="20" t="s">
        <v>185</v>
      </c>
      <c r="B151" s="20" t="s">
        <v>154</v>
      </c>
      <c r="C151" s="20" t="s">
        <v>8</v>
      </c>
      <c r="D151" s="21" t="s">
        <v>269</v>
      </c>
      <c r="E151" s="60">
        <f t="shared" si="42"/>
        <v>250000</v>
      </c>
      <c r="F151" s="61">
        <v>250000</v>
      </c>
      <c r="G151" s="61"/>
      <c r="H151" s="61"/>
      <c r="I151" s="60">
        <f t="shared" si="49"/>
        <v>88280.18</v>
      </c>
      <c r="J151" s="66">
        <v>88280.18</v>
      </c>
      <c r="K151" s="66"/>
      <c r="L151" s="66"/>
      <c r="M151" s="111">
        <f t="shared" si="44"/>
        <v>0.35312072</v>
      </c>
      <c r="N151" s="111">
        <f t="shared" si="45"/>
        <v>0.35312072</v>
      </c>
      <c r="O151" s="111" t="str">
        <f t="shared" si="46"/>
        <v/>
      </c>
      <c r="P151" s="111" t="str">
        <f t="shared" si="47"/>
        <v/>
      </c>
    </row>
    <row r="152" spans="1:18" s="39" customFormat="1" ht="18" x14ac:dyDescent="0.3">
      <c r="A152" s="20" t="s">
        <v>294</v>
      </c>
      <c r="B152" s="20" t="s">
        <v>295</v>
      </c>
      <c r="C152" s="20" t="s">
        <v>296</v>
      </c>
      <c r="D152" s="21" t="s">
        <v>297</v>
      </c>
      <c r="E152" s="60">
        <f t="shared" si="42"/>
        <v>146000</v>
      </c>
      <c r="F152" s="61">
        <v>146000</v>
      </c>
      <c r="G152" s="61"/>
      <c r="H152" s="61"/>
      <c r="I152" s="60">
        <f t="shared" si="49"/>
        <v>0</v>
      </c>
      <c r="J152" s="66">
        <v>0</v>
      </c>
      <c r="K152" s="66"/>
      <c r="L152" s="66"/>
      <c r="M152" s="111">
        <f t="shared" si="44"/>
        <v>0</v>
      </c>
      <c r="N152" s="111">
        <f t="shared" si="45"/>
        <v>0</v>
      </c>
      <c r="O152" s="111" t="str">
        <f t="shared" si="46"/>
        <v/>
      </c>
      <c r="P152" s="111" t="str">
        <f t="shared" si="47"/>
        <v/>
      </c>
    </row>
    <row r="153" spans="1:18" s="39" customFormat="1" ht="36" x14ac:dyDescent="0.3">
      <c r="A153" s="24">
        <v>3117350</v>
      </c>
      <c r="B153" s="24">
        <v>7350</v>
      </c>
      <c r="C153" s="25" t="s">
        <v>125</v>
      </c>
      <c r="D153" s="21" t="s">
        <v>311</v>
      </c>
      <c r="E153" s="60">
        <f t="shared" si="42"/>
        <v>1500000</v>
      </c>
      <c r="F153" s="61">
        <v>1500000</v>
      </c>
      <c r="G153" s="61"/>
      <c r="H153" s="61"/>
      <c r="I153" s="60">
        <f t="shared" si="49"/>
        <v>704814.2</v>
      </c>
      <c r="J153" s="66">
        <v>704814.2</v>
      </c>
      <c r="K153" s="66"/>
      <c r="L153" s="66"/>
      <c r="M153" s="111">
        <f t="shared" si="44"/>
        <v>0.46987613333333328</v>
      </c>
      <c r="N153" s="111">
        <f t="shared" si="45"/>
        <v>0.46987613333333328</v>
      </c>
      <c r="O153" s="111" t="str">
        <f t="shared" si="46"/>
        <v/>
      </c>
      <c r="P153" s="111" t="str">
        <f t="shared" si="47"/>
        <v/>
      </c>
    </row>
    <row r="154" spans="1:18" s="39" customFormat="1" ht="36" x14ac:dyDescent="0.3">
      <c r="A154" s="20" t="s">
        <v>174</v>
      </c>
      <c r="B154" s="20" t="s">
        <v>136</v>
      </c>
      <c r="C154" s="20" t="s">
        <v>22</v>
      </c>
      <c r="D154" s="21" t="s">
        <v>270</v>
      </c>
      <c r="E154" s="60">
        <f t="shared" si="42"/>
        <v>18468300</v>
      </c>
      <c r="F154" s="61">
        <f>1682300+187000+16599000</f>
        <v>18468300</v>
      </c>
      <c r="G154" s="61"/>
      <c r="H154" s="61"/>
      <c r="I154" s="60">
        <f t="shared" si="49"/>
        <v>7281957.9199999999</v>
      </c>
      <c r="J154" s="66">
        <f>638859.48+77702.39+6565396.05</f>
        <v>7281957.9199999999</v>
      </c>
      <c r="K154" s="66"/>
      <c r="L154" s="66"/>
      <c r="M154" s="111">
        <f t="shared" si="44"/>
        <v>0.39429497679808101</v>
      </c>
      <c r="N154" s="111">
        <f t="shared" si="45"/>
        <v>0.39429497679808101</v>
      </c>
      <c r="O154" s="111" t="str">
        <f t="shared" si="46"/>
        <v/>
      </c>
      <c r="P154" s="111" t="str">
        <f t="shared" si="47"/>
        <v/>
      </c>
    </row>
    <row r="155" spans="1:18" s="48" customFormat="1" ht="18" x14ac:dyDescent="0.3">
      <c r="A155" s="26" t="s">
        <v>280</v>
      </c>
      <c r="B155" s="26" t="s">
        <v>246</v>
      </c>
      <c r="C155" s="26" t="s">
        <v>160</v>
      </c>
      <c r="D155" s="27" t="s">
        <v>247</v>
      </c>
      <c r="E155" s="60">
        <f t="shared" si="42"/>
        <v>150000</v>
      </c>
      <c r="F155" s="61">
        <v>150000</v>
      </c>
      <c r="G155" s="61"/>
      <c r="H155" s="61"/>
      <c r="I155" s="60">
        <f t="shared" si="49"/>
        <v>36818.01</v>
      </c>
      <c r="J155" s="68">
        <v>36818.01</v>
      </c>
      <c r="K155" s="68"/>
      <c r="L155" s="68"/>
      <c r="M155" s="111">
        <f t="shared" si="44"/>
        <v>0.24545340000000002</v>
      </c>
      <c r="N155" s="111">
        <f t="shared" si="45"/>
        <v>0.24545340000000002</v>
      </c>
      <c r="O155" s="111" t="str">
        <f t="shared" si="46"/>
        <v/>
      </c>
      <c r="P155" s="111" t="str">
        <f t="shared" si="47"/>
        <v/>
      </c>
    </row>
    <row r="156" spans="1:18" s="48" customFormat="1" ht="52.2" x14ac:dyDescent="0.3">
      <c r="A156" s="18" t="s">
        <v>94</v>
      </c>
      <c r="B156" s="18" t="s">
        <v>231</v>
      </c>
      <c r="C156" s="18" t="s">
        <v>231</v>
      </c>
      <c r="D156" s="19" t="s">
        <v>274</v>
      </c>
      <c r="E156" s="58">
        <f t="shared" si="42"/>
        <v>54096797</v>
      </c>
      <c r="F156" s="59">
        <f>F157</f>
        <v>22696434</v>
      </c>
      <c r="G156" s="59">
        <f t="shared" ref="G156:H156" si="51">G157</f>
        <v>31400363</v>
      </c>
      <c r="H156" s="59">
        <f t="shared" si="51"/>
        <v>31400363</v>
      </c>
      <c r="I156" s="58">
        <f t="shared" si="49"/>
        <v>44003327.230000004</v>
      </c>
      <c r="J156" s="59">
        <f t="shared" ref="J156:L156" si="52">J157</f>
        <v>14864964.23</v>
      </c>
      <c r="K156" s="59">
        <f t="shared" si="52"/>
        <v>29138363</v>
      </c>
      <c r="L156" s="59">
        <f t="shared" si="52"/>
        <v>29138363</v>
      </c>
      <c r="M156" s="109">
        <f t="shared" si="44"/>
        <v>0.81341834767038068</v>
      </c>
      <c r="N156" s="109">
        <f t="shared" si="45"/>
        <v>0.65494712649573061</v>
      </c>
      <c r="O156" s="109">
        <f t="shared" si="46"/>
        <v>0.92796261622835374</v>
      </c>
      <c r="P156" s="109">
        <f t="shared" si="47"/>
        <v>0.92796261622835374</v>
      </c>
    </row>
    <row r="157" spans="1:18" s="48" customFormat="1" ht="52.2" x14ac:dyDescent="0.3">
      <c r="A157" s="18" t="s">
        <v>95</v>
      </c>
      <c r="B157" s="18" t="s">
        <v>231</v>
      </c>
      <c r="C157" s="18" t="s">
        <v>231</v>
      </c>
      <c r="D157" s="19" t="s">
        <v>274</v>
      </c>
      <c r="E157" s="58">
        <f t="shared" si="42"/>
        <v>54096797</v>
      </c>
      <c r="F157" s="59">
        <f>F158+F159+F160+F161+F168</f>
        <v>22696434</v>
      </c>
      <c r="G157" s="59">
        <f>G158+G159+G160+G161+G168</f>
        <v>31400363</v>
      </c>
      <c r="H157" s="59">
        <f>H158+H159+H160+H161+H168</f>
        <v>31400363</v>
      </c>
      <c r="I157" s="58">
        <f t="shared" si="49"/>
        <v>44003327.230000004</v>
      </c>
      <c r="J157" s="59">
        <f>J158+J159+J160+J161+J168</f>
        <v>14864964.23</v>
      </c>
      <c r="K157" s="59">
        <f>K158+K159+K160+K161+K168</f>
        <v>29138363</v>
      </c>
      <c r="L157" s="59">
        <f>L158+L159+L160+L161+L168</f>
        <v>29138363</v>
      </c>
      <c r="M157" s="109">
        <f t="shared" si="44"/>
        <v>0.81341834767038068</v>
      </c>
      <c r="N157" s="109">
        <f t="shared" si="45"/>
        <v>0.65494712649573061</v>
      </c>
      <c r="O157" s="109">
        <f t="shared" si="46"/>
        <v>0.92796261622835374</v>
      </c>
      <c r="P157" s="109">
        <f t="shared" si="47"/>
        <v>0.92796261622835374</v>
      </c>
    </row>
    <row r="158" spans="1:18" s="48" customFormat="1" ht="54" x14ac:dyDescent="0.3">
      <c r="A158" s="20" t="s">
        <v>96</v>
      </c>
      <c r="B158" s="20" t="s">
        <v>56</v>
      </c>
      <c r="C158" s="20" t="s">
        <v>2</v>
      </c>
      <c r="D158" s="21" t="s">
        <v>248</v>
      </c>
      <c r="E158" s="60">
        <f t="shared" si="42"/>
        <v>5938700</v>
      </c>
      <c r="F158" s="61">
        <v>5938700</v>
      </c>
      <c r="G158" s="61"/>
      <c r="H158" s="61"/>
      <c r="I158" s="60">
        <f t="shared" ref="I158:I159" si="53">J158+K158</f>
        <v>2794514.23</v>
      </c>
      <c r="J158" s="66">
        <v>2794514.23</v>
      </c>
      <c r="K158" s="66"/>
      <c r="L158" s="66"/>
      <c r="M158" s="111">
        <f t="shared" si="44"/>
        <v>0.47055992557293685</v>
      </c>
      <c r="N158" s="111">
        <f t="shared" si="45"/>
        <v>0.47055992557293685</v>
      </c>
      <c r="O158" s="111" t="str">
        <f t="shared" si="46"/>
        <v/>
      </c>
      <c r="P158" s="111" t="str">
        <f t="shared" si="47"/>
        <v/>
      </c>
    </row>
    <row r="159" spans="1:18" s="39" customFormat="1" ht="18" x14ac:dyDescent="0.3">
      <c r="A159" s="20" t="s">
        <v>103</v>
      </c>
      <c r="B159" s="20" t="s">
        <v>9</v>
      </c>
      <c r="C159" s="20" t="s">
        <v>5</v>
      </c>
      <c r="D159" s="21" t="s">
        <v>102</v>
      </c>
      <c r="E159" s="60">
        <f t="shared" si="42"/>
        <v>52900</v>
      </c>
      <c r="F159" s="61">
        <v>52900</v>
      </c>
      <c r="G159" s="61"/>
      <c r="H159" s="61"/>
      <c r="I159" s="60">
        <f t="shared" si="53"/>
        <v>29550</v>
      </c>
      <c r="J159" s="66">
        <v>29550</v>
      </c>
      <c r="K159" s="66"/>
      <c r="L159" s="66"/>
      <c r="M159" s="111">
        <f t="shared" si="44"/>
        <v>0.55860113421550095</v>
      </c>
      <c r="N159" s="111">
        <f t="shared" si="45"/>
        <v>0.55860113421550095</v>
      </c>
      <c r="O159" s="111" t="str">
        <f t="shared" si="46"/>
        <v/>
      </c>
      <c r="P159" s="111" t="str">
        <f t="shared" si="47"/>
        <v/>
      </c>
    </row>
    <row r="160" spans="1:18" s="39" customFormat="1" ht="18" x14ac:dyDescent="0.3">
      <c r="A160" s="20" t="s">
        <v>210</v>
      </c>
      <c r="B160" s="20" t="s">
        <v>211</v>
      </c>
      <c r="C160" s="20" t="s">
        <v>5</v>
      </c>
      <c r="D160" s="21" t="s">
        <v>275</v>
      </c>
      <c r="E160" s="60">
        <f t="shared" si="42"/>
        <v>3000000</v>
      </c>
      <c r="F160" s="61">
        <v>3000000</v>
      </c>
      <c r="G160" s="61"/>
      <c r="H160" s="61"/>
      <c r="I160" s="60">
        <f t="shared" si="49"/>
        <v>0</v>
      </c>
      <c r="J160" s="66">
        <v>0</v>
      </c>
      <c r="K160" s="66"/>
      <c r="L160" s="66"/>
      <c r="M160" s="111">
        <f t="shared" si="44"/>
        <v>0</v>
      </c>
      <c r="N160" s="111">
        <f t="shared" si="45"/>
        <v>0</v>
      </c>
      <c r="O160" s="111" t="str">
        <f t="shared" si="46"/>
        <v/>
      </c>
      <c r="P160" s="111" t="str">
        <f t="shared" si="47"/>
        <v/>
      </c>
    </row>
    <row r="161" spans="1:16" s="48" customFormat="1" ht="18" x14ac:dyDescent="0.3">
      <c r="A161" s="24">
        <v>3719770</v>
      </c>
      <c r="B161" s="30">
        <v>9770</v>
      </c>
      <c r="C161" s="26" t="s">
        <v>9</v>
      </c>
      <c r="D161" s="49" t="s">
        <v>158</v>
      </c>
      <c r="E161" s="60">
        <f t="shared" si="42"/>
        <v>6207500</v>
      </c>
      <c r="F161" s="61">
        <f>SUM(F163:F167)</f>
        <v>4407500</v>
      </c>
      <c r="G161" s="61">
        <f>SUM(G163:G167)</f>
        <v>1800000</v>
      </c>
      <c r="H161" s="61">
        <f>SUM(H163:H167)</f>
        <v>1800000</v>
      </c>
      <c r="I161" s="60">
        <f t="shared" si="49"/>
        <v>5088900</v>
      </c>
      <c r="J161" s="61">
        <f t="shared" ref="J161:L161" si="54">SUM(J163:J167)</f>
        <v>3288900</v>
      </c>
      <c r="K161" s="61">
        <f t="shared" si="54"/>
        <v>1800000</v>
      </c>
      <c r="L161" s="61">
        <f t="shared" si="54"/>
        <v>1800000</v>
      </c>
      <c r="M161" s="111">
        <f t="shared" si="44"/>
        <v>0.81979863068868308</v>
      </c>
      <c r="N161" s="111">
        <f t="shared" si="45"/>
        <v>0.7462053318207601</v>
      </c>
      <c r="O161" s="111">
        <f t="shared" si="46"/>
        <v>1</v>
      </c>
      <c r="P161" s="111">
        <f t="shared" si="47"/>
        <v>1</v>
      </c>
    </row>
    <row r="162" spans="1:16" s="48" customFormat="1" ht="18" x14ac:dyDescent="0.3">
      <c r="A162" s="20"/>
      <c r="B162" s="30"/>
      <c r="C162" s="26"/>
      <c r="D162" s="21" t="s">
        <v>326</v>
      </c>
      <c r="E162" s="60">
        <f t="shared" si="42"/>
        <v>0</v>
      </c>
      <c r="F162" s="61"/>
      <c r="G162" s="61"/>
      <c r="H162" s="61"/>
      <c r="I162" s="63"/>
      <c r="J162" s="68"/>
      <c r="K162" s="68"/>
      <c r="L162" s="68"/>
      <c r="M162" s="111" t="str">
        <f t="shared" si="44"/>
        <v/>
      </c>
      <c r="N162" s="111" t="str">
        <f t="shared" si="45"/>
        <v/>
      </c>
      <c r="O162" s="111" t="str">
        <f t="shared" si="46"/>
        <v/>
      </c>
      <c r="P162" s="111" t="str">
        <f t="shared" si="47"/>
        <v/>
      </c>
    </row>
    <row r="163" spans="1:16" s="51" customFormat="1" ht="126" x14ac:dyDescent="0.3">
      <c r="A163" s="22"/>
      <c r="B163" s="22"/>
      <c r="C163" s="31"/>
      <c r="D163" s="23" t="s">
        <v>327</v>
      </c>
      <c r="E163" s="70">
        <f t="shared" si="42"/>
        <v>1570500</v>
      </c>
      <c r="F163" s="96">
        <f>1261500+309000</f>
        <v>1570500</v>
      </c>
      <c r="G163" s="96"/>
      <c r="H163" s="71"/>
      <c r="I163" s="70">
        <f t="shared" si="49"/>
        <v>1570500</v>
      </c>
      <c r="J163" s="71">
        <v>1570500</v>
      </c>
      <c r="K163" s="71"/>
      <c r="L163" s="71"/>
      <c r="M163" s="114">
        <f t="shared" si="44"/>
        <v>1</v>
      </c>
      <c r="N163" s="114">
        <f t="shared" si="45"/>
        <v>1</v>
      </c>
      <c r="O163" s="114" t="str">
        <f t="shared" si="46"/>
        <v/>
      </c>
      <c r="P163" s="114" t="str">
        <f t="shared" si="47"/>
        <v/>
      </c>
    </row>
    <row r="164" spans="1:16" s="51" customFormat="1" ht="54" x14ac:dyDescent="0.3">
      <c r="A164" s="22"/>
      <c r="B164" s="22"/>
      <c r="C164" s="31"/>
      <c r="D164" s="23" t="s">
        <v>328</v>
      </c>
      <c r="E164" s="70">
        <f t="shared" si="42"/>
        <v>300000</v>
      </c>
      <c r="F164" s="96">
        <v>300000</v>
      </c>
      <c r="G164" s="96"/>
      <c r="H164" s="71"/>
      <c r="I164" s="70">
        <f t="shared" si="49"/>
        <v>300000</v>
      </c>
      <c r="J164" s="71">
        <v>300000</v>
      </c>
      <c r="K164" s="71"/>
      <c r="L164" s="71"/>
      <c r="M164" s="114">
        <f t="shared" si="44"/>
        <v>1</v>
      </c>
      <c r="N164" s="114">
        <f t="shared" si="45"/>
        <v>1</v>
      </c>
      <c r="O164" s="114" t="str">
        <f t="shared" si="46"/>
        <v/>
      </c>
      <c r="P164" s="114" t="str">
        <f t="shared" si="47"/>
        <v/>
      </c>
    </row>
    <row r="165" spans="1:16" s="51" customFormat="1" ht="72" x14ac:dyDescent="0.3">
      <c r="A165" s="22"/>
      <c r="B165" s="22"/>
      <c r="C165" s="31"/>
      <c r="D165" s="23" t="s">
        <v>329</v>
      </c>
      <c r="E165" s="70">
        <f t="shared" si="42"/>
        <v>2237000</v>
      </c>
      <c r="F165" s="96">
        <v>2237000</v>
      </c>
      <c r="G165" s="96"/>
      <c r="H165" s="71"/>
      <c r="I165" s="70">
        <f t="shared" si="49"/>
        <v>1118400</v>
      </c>
      <c r="J165" s="71">
        <v>1118400</v>
      </c>
      <c r="K165" s="71"/>
      <c r="L165" s="71"/>
      <c r="M165" s="114">
        <f t="shared" si="44"/>
        <v>0.49995529727313365</v>
      </c>
      <c r="N165" s="114">
        <f t="shared" si="45"/>
        <v>0.49995529727313365</v>
      </c>
      <c r="O165" s="114" t="str">
        <f t="shared" si="46"/>
        <v/>
      </c>
      <c r="P165" s="114" t="str">
        <f t="shared" si="47"/>
        <v/>
      </c>
    </row>
    <row r="166" spans="1:16" s="51" customFormat="1" ht="72" x14ac:dyDescent="0.3">
      <c r="A166" s="22"/>
      <c r="B166" s="22"/>
      <c r="C166" s="31"/>
      <c r="D166" s="23" t="s">
        <v>360</v>
      </c>
      <c r="E166" s="70">
        <f t="shared" si="42"/>
        <v>300000</v>
      </c>
      <c r="F166" s="96">
        <v>300000</v>
      </c>
      <c r="G166" s="96"/>
      <c r="H166" s="71"/>
      <c r="I166" s="70">
        <f t="shared" si="49"/>
        <v>300000</v>
      </c>
      <c r="J166" s="71">
        <v>300000</v>
      </c>
      <c r="K166" s="71"/>
      <c r="L166" s="71"/>
      <c r="M166" s="114">
        <f t="shared" si="44"/>
        <v>1</v>
      </c>
      <c r="N166" s="114">
        <f t="shared" si="45"/>
        <v>1</v>
      </c>
      <c r="O166" s="114" t="str">
        <f t="shared" si="46"/>
        <v/>
      </c>
      <c r="P166" s="114" t="str">
        <f t="shared" si="47"/>
        <v/>
      </c>
    </row>
    <row r="167" spans="1:16" s="51" customFormat="1" ht="90" x14ac:dyDescent="0.3">
      <c r="A167" s="22"/>
      <c r="B167" s="22"/>
      <c r="C167" s="31"/>
      <c r="D167" s="23" t="s">
        <v>322</v>
      </c>
      <c r="E167" s="70">
        <f t="shared" si="42"/>
        <v>1800000</v>
      </c>
      <c r="F167" s="96"/>
      <c r="G167" s="96">
        <v>1800000</v>
      </c>
      <c r="H167" s="71">
        <v>1800000</v>
      </c>
      <c r="I167" s="70">
        <f t="shared" si="49"/>
        <v>1800000</v>
      </c>
      <c r="J167" s="71"/>
      <c r="K167" s="71">
        <v>1800000</v>
      </c>
      <c r="L167" s="71">
        <v>1800000</v>
      </c>
      <c r="M167" s="114">
        <f t="shared" si="44"/>
        <v>1</v>
      </c>
      <c r="N167" s="114" t="str">
        <f t="shared" si="45"/>
        <v/>
      </c>
      <c r="O167" s="114">
        <f t="shared" si="46"/>
        <v>1</v>
      </c>
      <c r="P167" s="114">
        <f t="shared" si="47"/>
        <v>1</v>
      </c>
    </row>
    <row r="168" spans="1:16" s="52" customFormat="1" ht="54" x14ac:dyDescent="0.3">
      <c r="A168" s="24">
        <v>3719800</v>
      </c>
      <c r="B168" s="24">
        <v>9800</v>
      </c>
      <c r="C168" s="26" t="s">
        <v>9</v>
      </c>
      <c r="D168" s="21" t="s">
        <v>230</v>
      </c>
      <c r="E168" s="72">
        <f t="shared" si="42"/>
        <v>38897697</v>
      </c>
      <c r="F168" s="73">
        <f>SUM(F170:F174)</f>
        <v>9297334</v>
      </c>
      <c r="G168" s="73">
        <f t="shared" ref="G168:H168" si="55">SUM(G170:G174)</f>
        <v>29600363</v>
      </c>
      <c r="H168" s="73">
        <f t="shared" si="55"/>
        <v>29600363</v>
      </c>
      <c r="I168" s="73">
        <f>SUM(I170:I174)</f>
        <v>36090363</v>
      </c>
      <c r="J168" s="73">
        <f t="shared" ref="J168:L168" si="56">SUM(J170:J174)</f>
        <v>8752000</v>
      </c>
      <c r="K168" s="73">
        <f t="shared" si="56"/>
        <v>27338363</v>
      </c>
      <c r="L168" s="73">
        <f t="shared" si="56"/>
        <v>27338363</v>
      </c>
      <c r="M168" s="111">
        <f t="shared" si="44"/>
        <v>0.92782775802896511</v>
      </c>
      <c r="N168" s="111">
        <f t="shared" si="45"/>
        <v>0.9413451210852487</v>
      </c>
      <c r="O168" s="111">
        <f t="shared" si="46"/>
        <v>0.92358201823403319</v>
      </c>
      <c r="P168" s="111">
        <f t="shared" si="47"/>
        <v>0.92358201823403319</v>
      </c>
    </row>
    <row r="169" spans="1:16" s="51" customFormat="1" ht="18" x14ac:dyDescent="0.3">
      <c r="A169" s="32"/>
      <c r="B169" s="32"/>
      <c r="C169" s="31"/>
      <c r="D169" s="21" t="s">
        <v>157</v>
      </c>
      <c r="E169" s="70"/>
      <c r="F169" s="71"/>
      <c r="G169" s="71"/>
      <c r="H169" s="71"/>
      <c r="I169" s="70"/>
      <c r="J169" s="71"/>
      <c r="K169" s="71"/>
      <c r="L169" s="71"/>
      <c r="M169" s="114" t="str">
        <f t="shared" si="44"/>
        <v/>
      </c>
      <c r="N169" s="114" t="str">
        <f t="shared" si="45"/>
        <v/>
      </c>
      <c r="O169" s="114" t="str">
        <f t="shared" si="46"/>
        <v/>
      </c>
      <c r="P169" s="114" t="str">
        <f t="shared" si="47"/>
        <v/>
      </c>
    </row>
    <row r="170" spans="1:16" s="51" customFormat="1" ht="162" x14ac:dyDescent="0.3">
      <c r="A170" s="32"/>
      <c r="B170" s="32"/>
      <c r="C170" s="31"/>
      <c r="D170" s="23" t="s">
        <v>361</v>
      </c>
      <c r="E170" s="70">
        <f t="shared" si="42"/>
        <v>25221297</v>
      </c>
      <c r="F170" s="96">
        <f>190000+1000000+1290000+545334+1000000+2000000+295600</f>
        <v>6320934</v>
      </c>
      <c r="G170" s="96">
        <f>1300000+6800000+840000+1062000+4750000+1943963+2204400</f>
        <v>18900363</v>
      </c>
      <c r="H170" s="77">
        <f>1300000+6800000+840000+1062000+4750000+1943963+2204400</f>
        <v>18900363</v>
      </c>
      <c r="I170" s="70">
        <f t="shared" si="49"/>
        <v>22413963</v>
      </c>
      <c r="J170" s="71">
        <v>5775600</v>
      </c>
      <c r="K170" s="71">
        <v>16638363</v>
      </c>
      <c r="L170" s="71">
        <v>16638363</v>
      </c>
      <c r="M170" s="114">
        <f t="shared" si="44"/>
        <v>0.88869192571658784</v>
      </c>
      <c r="N170" s="114">
        <f t="shared" si="45"/>
        <v>0.91372572471093672</v>
      </c>
      <c r="O170" s="114">
        <f t="shared" si="46"/>
        <v>0.88031975893796321</v>
      </c>
      <c r="P170" s="114">
        <f t="shared" si="47"/>
        <v>0.88031975893796321</v>
      </c>
    </row>
    <row r="171" spans="1:16" s="51" customFormat="1" ht="90" x14ac:dyDescent="0.3">
      <c r="A171" s="32"/>
      <c r="B171" s="32"/>
      <c r="C171" s="31"/>
      <c r="D171" s="23" t="s">
        <v>322</v>
      </c>
      <c r="E171" s="70">
        <f t="shared" si="42"/>
        <v>8200000</v>
      </c>
      <c r="F171" s="96"/>
      <c r="G171" s="96">
        <f>5000000+3200000</f>
        <v>8200000</v>
      </c>
      <c r="H171" s="77">
        <f>5000000+3200000</f>
        <v>8200000</v>
      </c>
      <c r="I171" s="70">
        <f t="shared" si="49"/>
        <v>8200000</v>
      </c>
      <c r="J171" s="71"/>
      <c r="K171" s="77">
        <v>8200000</v>
      </c>
      <c r="L171" s="77">
        <v>8200000</v>
      </c>
      <c r="M171" s="114">
        <f t="shared" si="44"/>
        <v>1</v>
      </c>
      <c r="N171" s="114" t="str">
        <f t="shared" si="45"/>
        <v/>
      </c>
      <c r="O171" s="114">
        <f t="shared" si="46"/>
        <v>1</v>
      </c>
      <c r="P171" s="114">
        <f t="shared" si="47"/>
        <v>1</v>
      </c>
    </row>
    <row r="172" spans="1:16" s="51" customFormat="1" ht="54" x14ac:dyDescent="0.3">
      <c r="A172" s="32"/>
      <c r="B172" s="32"/>
      <c r="C172" s="31"/>
      <c r="D172" s="23" t="s">
        <v>330</v>
      </c>
      <c r="E172" s="70">
        <f t="shared" si="42"/>
        <v>2526400</v>
      </c>
      <c r="F172" s="96">
        <f>950000+26400</f>
        <v>976400</v>
      </c>
      <c r="G172" s="96">
        <v>1550000</v>
      </c>
      <c r="H172" s="77">
        <v>1550000</v>
      </c>
      <c r="I172" s="70">
        <f t="shared" si="49"/>
        <v>2526400</v>
      </c>
      <c r="J172" s="77">
        <v>976400</v>
      </c>
      <c r="K172" s="77">
        <v>1550000</v>
      </c>
      <c r="L172" s="71">
        <v>1550000</v>
      </c>
      <c r="M172" s="114">
        <f t="shared" si="44"/>
        <v>1</v>
      </c>
      <c r="N172" s="114">
        <f t="shared" si="45"/>
        <v>1</v>
      </c>
      <c r="O172" s="114">
        <f t="shared" si="46"/>
        <v>1</v>
      </c>
      <c r="P172" s="114">
        <f t="shared" si="47"/>
        <v>1</v>
      </c>
    </row>
    <row r="173" spans="1:16" s="51" customFormat="1" ht="72" x14ac:dyDescent="0.3">
      <c r="A173" s="32"/>
      <c r="B173" s="32"/>
      <c r="C173" s="31"/>
      <c r="D173" s="23" t="s">
        <v>331</v>
      </c>
      <c r="E173" s="70">
        <f t="shared" si="42"/>
        <v>2000000</v>
      </c>
      <c r="F173" s="96">
        <v>2000000</v>
      </c>
      <c r="G173" s="96"/>
      <c r="H173" s="77"/>
      <c r="I173" s="70">
        <f t="shared" si="49"/>
        <v>2000000</v>
      </c>
      <c r="J173" s="77">
        <v>2000000</v>
      </c>
      <c r="K173" s="108"/>
      <c r="L173" s="71"/>
      <c r="M173" s="114">
        <f t="shared" si="44"/>
        <v>1</v>
      </c>
      <c r="N173" s="114">
        <f t="shared" si="45"/>
        <v>1</v>
      </c>
      <c r="O173" s="114" t="str">
        <f t="shared" si="46"/>
        <v/>
      </c>
      <c r="P173" s="114" t="str">
        <f t="shared" si="47"/>
        <v/>
      </c>
    </row>
    <row r="174" spans="1:16" s="51" customFormat="1" ht="54" x14ac:dyDescent="0.3">
      <c r="A174" s="32"/>
      <c r="B174" s="32"/>
      <c r="C174" s="31"/>
      <c r="D174" s="23" t="s">
        <v>362</v>
      </c>
      <c r="E174" s="70">
        <f t="shared" si="42"/>
        <v>950000</v>
      </c>
      <c r="F174" s="96"/>
      <c r="G174" s="96">
        <v>950000</v>
      </c>
      <c r="H174" s="77">
        <v>950000</v>
      </c>
      <c r="I174" s="70">
        <f t="shared" si="49"/>
        <v>950000</v>
      </c>
      <c r="J174" s="77"/>
      <c r="K174" s="108">
        <v>950000</v>
      </c>
      <c r="L174" s="71">
        <v>950000</v>
      </c>
      <c r="M174" s="114">
        <f t="shared" si="44"/>
        <v>1</v>
      </c>
      <c r="N174" s="114" t="str">
        <f t="shared" si="45"/>
        <v/>
      </c>
      <c r="O174" s="114">
        <f t="shared" si="46"/>
        <v>1</v>
      </c>
      <c r="P174" s="114">
        <f t="shared" si="47"/>
        <v>1</v>
      </c>
    </row>
    <row r="175" spans="1:16" s="52" customFormat="1" ht="18" x14ac:dyDescent="0.3">
      <c r="A175" s="33" t="s">
        <v>276</v>
      </c>
      <c r="B175" s="18" t="s">
        <v>276</v>
      </c>
      <c r="C175" s="18" t="s">
        <v>276</v>
      </c>
      <c r="D175" s="18" t="s">
        <v>277</v>
      </c>
      <c r="E175" s="74">
        <f>F175+G175</f>
        <v>1147684161.4300001</v>
      </c>
      <c r="F175" s="74">
        <f t="shared" ref="F175:L175" si="57">F16+F45+F71+F93+F104+F113+F133+F147+F156+F88</f>
        <v>961251626.99000001</v>
      </c>
      <c r="G175" s="74">
        <f t="shared" si="57"/>
        <v>186432534.44</v>
      </c>
      <c r="H175" s="74">
        <f t="shared" si="57"/>
        <v>165735671</v>
      </c>
      <c r="I175" s="74">
        <f>J175+K175</f>
        <v>517832994</v>
      </c>
      <c r="J175" s="74">
        <f>J16+J45+J71+J93+J104+J113+J133+J147+J156+J88</f>
        <v>449711334.93000001</v>
      </c>
      <c r="K175" s="74">
        <f t="shared" si="57"/>
        <v>68121659.070000008</v>
      </c>
      <c r="L175" s="74">
        <f t="shared" si="57"/>
        <v>54951573.480000004</v>
      </c>
      <c r="M175" s="109">
        <f t="shared" si="44"/>
        <v>0.45119817054440009</v>
      </c>
      <c r="N175" s="109">
        <f t="shared" si="45"/>
        <v>0.46783934851501519</v>
      </c>
      <c r="O175" s="109">
        <f t="shared" si="46"/>
        <v>0.3653957678289449</v>
      </c>
      <c r="P175" s="109">
        <f t="shared" si="47"/>
        <v>0.33156153499387592</v>
      </c>
    </row>
    <row r="176" spans="1:16" s="52" customFormat="1" ht="18" x14ac:dyDescent="0.3">
      <c r="A176" s="53"/>
      <c r="B176" s="53"/>
      <c r="C176" s="54" t="s">
        <v>216</v>
      </c>
      <c r="D176" s="55" t="s">
        <v>217</v>
      </c>
      <c r="E176" s="110">
        <f>F176+G176</f>
        <v>122005303</v>
      </c>
      <c r="F176" s="73">
        <f>F18+F23+F24+F47+F48+F73+F74+F95+F96+F115+F135+F136+F149+F150+F158+F159+F106+F107+F116+F117+F90+F91</f>
        <v>121830703</v>
      </c>
      <c r="G176" s="73">
        <f>G18+G23+G24+G47+G48+G73+G74+G95+G96+G115+G135+G136+G149+G150+G158+G159+G106+G107+G116+G117+G90</f>
        <v>174600</v>
      </c>
      <c r="H176" s="73">
        <f>H18+H23+H24+H47+H48+H73+H74+H95+H96+H115+H135+H136+H149+H150+H158+H159+H106+H107+H116+H117+H90</f>
        <v>36000</v>
      </c>
      <c r="I176" s="74">
        <f t="shared" ref="I176:I185" si="58">J176+K176</f>
        <v>59081797.979999989</v>
      </c>
      <c r="J176" s="73">
        <f>J18+J23+J24+J47+J48+J73+J74+J95+J96+J115+J135+J136+J149+J150+J158+J159+J106+J107+J116+J117+J90+J91</f>
        <v>55697606.999999993</v>
      </c>
      <c r="K176" s="73">
        <f>K18+K23+K24+K47+K48+K73+K74+K95+K96+K115+K135+K136+K149+K150+K158+K159+K106+K107+K116+K117+K90</f>
        <v>3384190.98</v>
      </c>
      <c r="L176" s="73"/>
      <c r="M176" s="111">
        <f t="shared" si="44"/>
        <v>0.48425598336491971</v>
      </c>
      <c r="N176" s="111">
        <f t="shared" si="45"/>
        <v>0.45717217112339892</v>
      </c>
      <c r="O176" s="111" t="s">
        <v>367</v>
      </c>
      <c r="P176" s="111">
        <f t="shared" si="47"/>
        <v>0</v>
      </c>
    </row>
    <row r="177" spans="1:16" s="52" customFormat="1" ht="18" x14ac:dyDescent="0.3">
      <c r="A177" s="53"/>
      <c r="B177" s="53"/>
      <c r="C177" s="54" t="s">
        <v>218</v>
      </c>
      <c r="D177" s="55" t="s">
        <v>219</v>
      </c>
      <c r="E177" s="110">
        <f t="shared" ref="E177:E185" si="59">F177+G177</f>
        <v>472166051.99000001</v>
      </c>
      <c r="F177" s="73">
        <f>F49+F50+F51+F52+F53+F54+F55+F56+F57+F58+F60+F97+F59+F61+F65</f>
        <v>446287688.99000001</v>
      </c>
      <c r="G177" s="73">
        <f>G49+G50+G51+G52+G53+G54+G55+G56+G57+G58+G60+G97+G66+G65</f>
        <v>25878363</v>
      </c>
      <c r="H177" s="73">
        <f>H49+H50+H51+H52+H53+H54+H55+H56+H57+H58+H60+H97+H66+H65</f>
        <v>6820447</v>
      </c>
      <c r="I177" s="74">
        <f t="shared" si="58"/>
        <v>217689005.74000001</v>
      </c>
      <c r="J177" s="73">
        <f>J49+J50+J51+J52+J53+J54+J55+J56+J57+J58+J60+J97+J59+J61+J65</f>
        <v>208412998.73000002</v>
      </c>
      <c r="K177" s="73">
        <f>K49+K50+K51+K52+K53+K54+K55+K56+K57+K58+K60+K97</f>
        <v>9276007.0100000016</v>
      </c>
      <c r="L177" s="73">
        <f>L49+L50+L51+L52+L53+L54+L55+L56+L57+L58+L60+L97</f>
        <v>287282.61</v>
      </c>
      <c r="M177" s="111">
        <f t="shared" si="44"/>
        <v>0.46104332325995018</v>
      </c>
      <c r="N177" s="111">
        <f t="shared" si="45"/>
        <v>0.46699248908627172</v>
      </c>
      <c r="O177" s="111">
        <f t="shared" si="46"/>
        <v>0.35844643689401845</v>
      </c>
      <c r="P177" s="111">
        <f t="shared" si="47"/>
        <v>4.2120789150623117E-2</v>
      </c>
    </row>
    <row r="178" spans="1:16" s="52" customFormat="1" ht="18" x14ac:dyDescent="0.3">
      <c r="A178" s="53"/>
      <c r="B178" s="53"/>
      <c r="C178" s="54" t="s">
        <v>220</v>
      </c>
      <c r="D178" s="55" t="s">
        <v>221</v>
      </c>
      <c r="E178" s="110">
        <f t="shared" si="59"/>
        <v>44341136</v>
      </c>
      <c r="F178" s="73">
        <f t="shared" ref="F178:L178" si="60">F25+F26+F27+F28+F137</f>
        <v>39301104</v>
      </c>
      <c r="G178" s="73">
        <f t="shared" si="60"/>
        <v>5040032</v>
      </c>
      <c r="H178" s="73">
        <f t="shared" si="60"/>
        <v>5040032</v>
      </c>
      <c r="I178" s="74">
        <f t="shared" si="58"/>
        <v>21436130.209999993</v>
      </c>
      <c r="J178" s="73">
        <f t="shared" si="60"/>
        <v>17890762.039999995</v>
      </c>
      <c r="K178" s="73">
        <f t="shared" si="60"/>
        <v>3545368.17</v>
      </c>
      <c r="L178" s="73">
        <f t="shared" si="60"/>
        <v>3545368.17</v>
      </c>
      <c r="M178" s="111">
        <f t="shared" si="44"/>
        <v>0.48343664920988927</v>
      </c>
      <c r="N178" s="111">
        <f t="shared" si="45"/>
        <v>0.45522288737741301</v>
      </c>
      <c r="O178" s="111">
        <f t="shared" si="46"/>
        <v>0.70344159918032267</v>
      </c>
      <c r="P178" s="111">
        <f t="shared" si="47"/>
        <v>0.70344159918032267</v>
      </c>
    </row>
    <row r="179" spans="1:16" s="52" customFormat="1" ht="18" x14ac:dyDescent="0.3">
      <c r="A179" s="53"/>
      <c r="B179" s="53"/>
      <c r="C179" s="54" t="s">
        <v>222</v>
      </c>
      <c r="D179" s="55" t="s">
        <v>223</v>
      </c>
      <c r="E179" s="110">
        <f t="shared" si="59"/>
        <v>97710665</v>
      </c>
      <c r="F179" s="73">
        <f t="shared" ref="F179:L179" si="61">F29+F68+F75+F76+F77+F78+F79+F80+F81+F82+F83+F84+F85+F86+F87+F108+F118+F67+F98+F92</f>
        <v>97654265</v>
      </c>
      <c r="G179" s="73">
        <f t="shared" si="61"/>
        <v>56400</v>
      </c>
      <c r="H179" s="73">
        <f t="shared" si="61"/>
        <v>0</v>
      </c>
      <c r="I179" s="74">
        <f t="shared" si="58"/>
        <v>36129833.159999996</v>
      </c>
      <c r="J179" s="73">
        <f t="shared" si="61"/>
        <v>35420336.979999997</v>
      </c>
      <c r="K179" s="73">
        <f t="shared" si="61"/>
        <v>709496.17999999993</v>
      </c>
      <c r="L179" s="73">
        <f t="shared" si="61"/>
        <v>0</v>
      </c>
      <c r="M179" s="111">
        <f t="shared" si="44"/>
        <v>0.36976345581109282</v>
      </c>
      <c r="N179" s="111">
        <f t="shared" si="45"/>
        <v>0.36271162329673973</v>
      </c>
      <c r="O179" s="111" t="s">
        <v>368</v>
      </c>
      <c r="P179" s="111" t="str">
        <f t="shared" si="47"/>
        <v/>
      </c>
    </row>
    <row r="180" spans="1:16" s="52" customFormat="1" ht="18" x14ac:dyDescent="0.3">
      <c r="A180" s="53"/>
      <c r="B180" s="53"/>
      <c r="C180" s="54" t="s">
        <v>224</v>
      </c>
      <c r="D180" s="55" t="s">
        <v>225</v>
      </c>
      <c r="E180" s="110">
        <f t="shared" si="59"/>
        <v>29925900</v>
      </c>
      <c r="F180" s="73">
        <f t="shared" ref="F180:L180" si="62">F99+F100+F101+F102+F103</f>
        <v>29645900</v>
      </c>
      <c r="G180" s="73">
        <f t="shared" si="62"/>
        <v>280000</v>
      </c>
      <c r="H180" s="73">
        <f t="shared" si="62"/>
        <v>0</v>
      </c>
      <c r="I180" s="74">
        <f t="shared" si="58"/>
        <v>12763315.620000001</v>
      </c>
      <c r="J180" s="73">
        <f t="shared" si="62"/>
        <v>12705604.620000001</v>
      </c>
      <c r="K180" s="73">
        <f t="shared" si="62"/>
        <v>57711</v>
      </c>
      <c r="L180" s="73">
        <f t="shared" si="62"/>
        <v>0</v>
      </c>
      <c r="M180" s="111">
        <f t="shared" si="44"/>
        <v>0.42649730233677186</v>
      </c>
      <c r="N180" s="111">
        <f t="shared" si="45"/>
        <v>0.42857881258453956</v>
      </c>
      <c r="O180" s="111">
        <f t="shared" si="46"/>
        <v>0.20611071428571429</v>
      </c>
      <c r="P180" s="111" t="str">
        <f t="shared" si="47"/>
        <v/>
      </c>
    </row>
    <row r="181" spans="1:16" s="52" customFormat="1" ht="18" x14ac:dyDescent="0.3">
      <c r="A181" s="53"/>
      <c r="B181" s="53"/>
      <c r="C181" s="54" t="s">
        <v>226</v>
      </c>
      <c r="D181" s="55" t="s">
        <v>227</v>
      </c>
      <c r="E181" s="110">
        <f t="shared" si="59"/>
        <v>15084391</v>
      </c>
      <c r="F181" s="73">
        <f>F69+F109+F110+F112+F111</f>
        <v>15084391</v>
      </c>
      <c r="G181" s="73"/>
      <c r="H181" s="73"/>
      <c r="I181" s="74">
        <f t="shared" si="58"/>
        <v>6294743.9800000004</v>
      </c>
      <c r="J181" s="73">
        <f>J69+J109+J110+J112+J111</f>
        <v>6289703.9800000004</v>
      </c>
      <c r="K181" s="73">
        <f>K69</f>
        <v>5040</v>
      </c>
      <c r="L181" s="73"/>
      <c r="M181" s="111">
        <f t="shared" si="44"/>
        <v>0.41730183074676336</v>
      </c>
      <c r="N181" s="111">
        <f t="shared" si="45"/>
        <v>0.41696771052938103</v>
      </c>
      <c r="O181" s="111" t="str">
        <f t="shared" si="46"/>
        <v/>
      </c>
      <c r="P181" s="111" t="str">
        <f t="shared" si="47"/>
        <v/>
      </c>
    </row>
    <row r="182" spans="1:16" s="52" customFormat="1" ht="18" x14ac:dyDescent="0.3">
      <c r="A182" s="53"/>
      <c r="B182" s="53"/>
      <c r="C182" s="54" t="s">
        <v>228</v>
      </c>
      <c r="D182" s="55" t="s">
        <v>229</v>
      </c>
      <c r="E182" s="110">
        <f t="shared" si="59"/>
        <v>117661377</v>
      </c>
      <c r="F182" s="73">
        <f>F30+F119+F121+F122+F123+F138+F139+F140+F151</f>
        <v>85510269</v>
      </c>
      <c r="G182" s="73">
        <f>G30+G119+G121+G122+G123+G138+G139+G140+G151+G120</f>
        <v>32151108</v>
      </c>
      <c r="H182" s="73">
        <f>H30+H119+H121+H122+H123+H138+H139+H140+H151+H120</f>
        <v>32151108</v>
      </c>
      <c r="I182" s="74">
        <f t="shared" si="58"/>
        <v>38763699.18</v>
      </c>
      <c r="J182" s="73">
        <f t="shared" ref="J182:L182" si="63">J30+J119+J121+J122+J123+J138+J139+J140+J151</f>
        <v>34669818.369999997</v>
      </c>
      <c r="K182" s="73">
        <f>K30+K119+K121+K122+K123+K138+K139+K140+K151+K120</f>
        <v>4093880.81</v>
      </c>
      <c r="L182" s="73">
        <f t="shared" si="63"/>
        <v>4093880.81</v>
      </c>
      <c r="M182" s="111">
        <f t="shared" si="44"/>
        <v>0.32945134731850029</v>
      </c>
      <c r="N182" s="111">
        <f t="shared" si="45"/>
        <v>0.40544625546669721</v>
      </c>
      <c r="O182" s="111">
        <f t="shared" si="46"/>
        <v>0.12733249535288177</v>
      </c>
      <c r="P182" s="111">
        <f t="shared" si="47"/>
        <v>0.12733249535288177</v>
      </c>
    </row>
    <row r="183" spans="1:16" s="52" customFormat="1" ht="18" x14ac:dyDescent="0.3">
      <c r="A183" s="53"/>
      <c r="B183" s="53"/>
      <c r="C183" s="54" t="s">
        <v>298</v>
      </c>
      <c r="D183" s="55" t="s">
        <v>299</v>
      </c>
      <c r="E183" s="110">
        <f t="shared" si="59"/>
        <v>146090187.44</v>
      </c>
      <c r="F183" s="73">
        <f>F141+F142+F144+F152+F125+F37+F126+F127+F154+F153+F35+F34+F124</f>
        <v>82101600</v>
      </c>
      <c r="G183" s="73">
        <f>G141+G142+G144+G152+G125+G37+G126+G127+G154+G153+G145+G143+G36+G128+G35</f>
        <v>63988587.439999998</v>
      </c>
      <c r="H183" s="73">
        <f>H141+H142+H144+H152+H125+H37+H126+H127+H154+H153+H145+H143+H36+H35</f>
        <v>63174640</v>
      </c>
      <c r="I183" s="74">
        <f t="shared" si="58"/>
        <v>63947521.410000004</v>
      </c>
      <c r="J183" s="73">
        <f>J141+J142+J144+J152+J125+J37+J126+J127+J154+J153+J35</f>
        <v>54415767.590000004</v>
      </c>
      <c r="K183" s="73">
        <f>K141+K142+K144+K152+K125+K37+K126+K127+K154+K153+K145+K143+K35</f>
        <v>9531753.8200000003</v>
      </c>
      <c r="L183" s="73">
        <f>L141+L142+L144+L152+L125+L37+L126+L127+L154+L153+L145+L143+L35</f>
        <v>9526830.7899999991</v>
      </c>
      <c r="M183" s="111">
        <f t="shared" si="44"/>
        <v>0.43772632871912487</v>
      </c>
      <c r="N183" s="111">
        <f t="shared" si="45"/>
        <v>0.66278571416391407</v>
      </c>
      <c r="O183" s="111">
        <f t="shared" si="46"/>
        <v>0.14896021620945474</v>
      </c>
      <c r="P183" s="111">
        <f t="shared" si="47"/>
        <v>0.15080150500264028</v>
      </c>
    </row>
    <row r="184" spans="1:16" s="52" customFormat="1" ht="18" x14ac:dyDescent="0.3">
      <c r="A184" s="53"/>
      <c r="B184" s="53"/>
      <c r="C184" s="54" t="s">
        <v>301</v>
      </c>
      <c r="D184" s="55" t="s">
        <v>300</v>
      </c>
      <c r="E184" s="110">
        <f t="shared" si="59"/>
        <v>57593953</v>
      </c>
      <c r="F184" s="73">
        <f>F70+F129+F146+F39+F40+F41+F155+F130+F43+F131+F160+F42+F44+F38</f>
        <v>30130872</v>
      </c>
      <c r="G184" s="73">
        <f>G70+G129+G146+G39+G40+G41+G155+G130+G43+G131+G160+G42+G132</f>
        <v>27463081</v>
      </c>
      <c r="H184" s="73">
        <f>H70+H129+H146+H39+H40+H41+H155+H130+H43+H131+H160+H42+H132</f>
        <v>27113081</v>
      </c>
      <c r="I184" s="74">
        <f t="shared" si="58"/>
        <v>20547683.719999999</v>
      </c>
      <c r="J184" s="73">
        <f>J70+J129+J146+J39+J40+J41+J155+J130+J43+J131+J160+J42+J44+J38</f>
        <v>12167835.620000001</v>
      </c>
      <c r="K184" s="73">
        <f t="shared" ref="K184:L184" si="64">K70+K129+K146+K39+K40+K41+K155+K130+K43+K131+K160+K42</f>
        <v>8379848.0999999996</v>
      </c>
      <c r="L184" s="73">
        <f t="shared" si="64"/>
        <v>8359848.0999999996</v>
      </c>
      <c r="M184" s="111">
        <f t="shared" si="44"/>
        <v>0.35676807459283094</v>
      </c>
      <c r="N184" s="111">
        <f t="shared" si="45"/>
        <v>0.40383284028421085</v>
      </c>
      <c r="O184" s="111">
        <f t="shared" si="46"/>
        <v>0.30513139075692197</v>
      </c>
      <c r="P184" s="111">
        <f t="shared" si="47"/>
        <v>0.30833264946908834</v>
      </c>
    </row>
    <row r="185" spans="1:16" s="52" customFormat="1" ht="18" x14ac:dyDescent="0.3">
      <c r="A185" s="56"/>
      <c r="B185" s="56"/>
      <c r="C185" s="54" t="s">
        <v>302</v>
      </c>
      <c r="D185" s="20" t="s">
        <v>303</v>
      </c>
      <c r="E185" s="110">
        <f t="shared" si="59"/>
        <v>45105197</v>
      </c>
      <c r="F185" s="73">
        <f t="shared" ref="F185:J185" si="65">F161+F168</f>
        <v>13704834</v>
      </c>
      <c r="G185" s="73">
        <f t="shared" si="65"/>
        <v>31400363</v>
      </c>
      <c r="H185" s="73">
        <f>H161+H168</f>
        <v>31400363</v>
      </c>
      <c r="I185" s="74">
        <f t="shared" si="58"/>
        <v>41179263</v>
      </c>
      <c r="J185" s="73">
        <f t="shared" si="65"/>
        <v>12040900</v>
      </c>
      <c r="K185" s="73">
        <f>K161+K168+K132</f>
        <v>29138363</v>
      </c>
      <c r="L185" s="73">
        <f>L161+L168+L132</f>
        <v>29138363</v>
      </c>
      <c r="M185" s="111">
        <f t="shared" si="44"/>
        <v>0.91296049543913971</v>
      </c>
      <c r="N185" s="111">
        <f t="shared" si="45"/>
        <v>0.87858780339842135</v>
      </c>
      <c r="O185" s="111">
        <f t="shared" si="46"/>
        <v>0.92796261622835374</v>
      </c>
      <c r="P185" s="111">
        <f t="shared" si="47"/>
        <v>0.92796261622835374</v>
      </c>
    </row>
    <row r="186" spans="1:16" s="57" customFormat="1" ht="21" x14ac:dyDescent="0.4">
      <c r="A186" s="36"/>
      <c r="B186" s="36"/>
      <c r="C186" s="36"/>
      <c r="D186" s="36" t="s">
        <v>1</v>
      </c>
      <c r="E186" s="75">
        <f>F186+G186</f>
        <v>1147684161.4300001</v>
      </c>
      <c r="F186" s="75">
        <f>SUM(F176:F185)</f>
        <v>961251626.99000001</v>
      </c>
      <c r="G186" s="75">
        <f t="shared" ref="G186:L186" si="66">SUM(G176:G185)</f>
        <v>186432534.44</v>
      </c>
      <c r="H186" s="75">
        <f t="shared" si="66"/>
        <v>165735671</v>
      </c>
      <c r="I186" s="75">
        <f>SUM(I176:I185)</f>
        <v>517832994.00000012</v>
      </c>
      <c r="J186" s="75">
        <f t="shared" si="66"/>
        <v>449711334.93000007</v>
      </c>
      <c r="K186" s="75">
        <f t="shared" si="66"/>
        <v>68121659.069999993</v>
      </c>
      <c r="L186" s="75">
        <f t="shared" si="66"/>
        <v>54951573.479999997</v>
      </c>
      <c r="M186" s="109">
        <f t="shared" si="44"/>
        <v>0.4511981705444002</v>
      </c>
      <c r="N186" s="109">
        <f t="shared" si="45"/>
        <v>0.46783934851501524</v>
      </c>
      <c r="O186" s="109">
        <f t="shared" si="46"/>
        <v>0.36539576782894478</v>
      </c>
      <c r="P186" s="109">
        <f t="shared" si="47"/>
        <v>0.33156153499387586</v>
      </c>
    </row>
    <row r="187" spans="1:16" s="2" customFormat="1" ht="18" x14ac:dyDescent="0.35">
      <c r="A187" s="34"/>
      <c r="B187" s="34"/>
      <c r="C187" s="34"/>
      <c r="D187" s="16"/>
      <c r="E187" s="89"/>
      <c r="F187" s="17"/>
      <c r="G187" s="16"/>
      <c r="H187" s="16"/>
      <c r="I187" s="16"/>
      <c r="J187" s="17"/>
      <c r="K187" s="16"/>
      <c r="L187" s="16"/>
      <c r="M187" s="84"/>
      <c r="N187" s="84"/>
      <c r="O187" s="84"/>
      <c r="P187" s="84"/>
    </row>
    <row r="188" spans="1:16" s="2" customFormat="1" ht="18" x14ac:dyDescent="0.35">
      <c r="A188" s="34"/>
      <c r="B188" s="34"/>
      <c r="C188" s="34"/>
      <c r="D188" s="16"/>
      <c r="E188" s="17" t="s">
        <v>286</v>
      </c>
      <c r="F188" s="17"/>
      <c r="G188" s="17"/>
      <c r="H188" s="17"/>
      <c r="I188" s="17"/>
      <c r="J188" s="17" t="s">
        <v>287</v>
      </c>
      <c r="K188" s="17">
        <f>K175-K186</f>
        <v>0</v>
      </c>
      <c r="L188" s="17">
        <f>L175-L186</f>
        <v>0</v>
      </c>
      <c r="M188" s="85"/>
      <c r="N188" s="85"/>
      <c r="O188" s="85"/>
      <c r="P188" s="85"/>
    </row>
    <row r="189" spans="1:16" s="2" customFormat="1" ht="18" x14ac:dyDescent="0.35">
      <c r="A189" s="34"/>
      <c r="B189" s="34"/>
      <c r="C189" s="34"/>
      <c r="D189" s="16"/>
      <c r="E189" s="17">
        <f>E186-E175</f>
        <v>0</v>
      </c>
      <c r="F189" s="17">
        <f t="shared" ref="F189:P189" si="67">F186-F175</f>
        <v>0</v>
      </c>
      <c r="G189" s="17">
        <f t="shared" si="67"/>
        <v>0</v>
      </c>
      <c r="H189" s="17">
        <f t="shared" si="67"/>
        <v>0</v>
      </c>
      <c r="I189" s="17">
        <f t="shared" si="67"/>
        <v>0</v>
      </c>
      <c r="J189" s="17">
        <f t="shared" si="67"/>
        <v>0</v>
      </c>
      <c r="K189" s="17">
        <f t="shared" si="67"/>
        <v>0</v>
      </c>
      <c r="L189" s="17">
        <f t="shared" si="67"/>
        <v>0</v>
      </c>
      <c r="M189" s="17">
        <f t="shared" si="67"/>
        <v>0</v>
      </c>
      <c r="N189" s="17">
        <f t="shared" si="67"/>
        <v>0</v>
      </c>
      <c r="O189" s="17">
        <f t="shared" si="67"/>
        <v>0</v>
      </c>
      <c r="P189" s="17">
        <f t="shared" si="67"/>
        <v>0</v>
      </c>
    </row>
    <row r="190" spans="1:16" s="80" customFormat="1" x14ac:dyDescent="0.3">
      <c r="A190" s="79"/>
      <c r="B190" s="79"/>
      <c r="C190" s="79"/>
      <c r="F190" s="76"/>
      <c r="G190" s="90"/>
      <c r="H190" s="90"/>
      <c r="I190" s="76"/>
      <c r="J190" s="76"/>
      <c r="K190" s="90"/>
      <c r="L190" s="90"/>
      <c r="M190" s="86"/>
      <c r="N190" s="86"/>
      <c r="O190" s="86"/>
      <c r="P190" s="86"/>
    </row>
    <row r="191" spans="1:16" x14ac:dyDescent="0.3">
      <c r="A191" s="10"/>
      <c r="B191" s="10"/>
      <c r="C191" s="10"/>
      <c r="D191" s="9"/>
      <c r="I191" s="35"/>
      <c r="M191" s="87"/>
      <c r="N191" s="87"/>
      <c r="O191" s="87"/>
      <c r="P191" s="87"/>
    </row>
    <row r="192" spans="1:16" ht="18" x14ac:dyDescent="0.35">
      <c r="A192" s="10"/>
      <c r="B192" s="10"/>
      <c r="C192" s="10"/>
      <c r="D192" s="9"/>
      <c r="G192" s="97"/>
      <c r="K192" s="99"/>
      <c r="M192" s="87"/>
      <c r="N192" s="87"/>
      <c r="O192" s="87"/>
      <c r="P192" s="87"/>
    </row>
    <row r="193" spans="1:16" x14ac:dyDescent="0.3">
      <c r="A193" s="10"/>
      <c r="B193" s="10"/>
      <c r="C193" s="10"/>
      <c r="D193" s="9"/>
      <c r="G193" s="90"/>
      <c r="K193" s="98"/>
      <c r="M193" s="87"/>
      <c r="N193" s="87"/>
      <c r="O193" s="87"/>
      <c r="P193" s="87"/>
    </row>
    <row r="194" spans="1:16" x14ac:dyDescent="0.3">
      <c r="G194" s="98"/>
      <c r="H194" s="100">
        <f>G182-H182</f>
        <v>0</v>
      </c>
      <c r="K194" s="98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</mergeCells>
  <pageMargins left="0.39370078740157483" right="0.19685039370078741" top="0.39370078740157483" bottom="0.39370078740157483" header="0.15748031496062992" footer="0.11811023622047245"/>
  <pageSetup paperSize="9" scale="41" fitToHeight="13" orientation="landscape" r:id="rId2"/>
  <headerFooter differentFirst="1" alignWithMargins="0">
    <oddHeader>&amp;C&amp;P</oddHeader>
  </headerFooter>
  <rowBreaks count="1" manualBreakCount="1">
    <brk id="1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2024-07-18T14:02:49Z</cp:lastPrinted>
  <dcterms:created xsi:type="dcterms:W3CDTF">2012-12-15T07:44:03Z</dcterms:created>
  <dcterms:modified xsi:type="dcterms:W3CDTF">2024-08-08T12:05:08Z</dcterms:modified>
</cp:coreProperties>
</file>