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0_НАСТУПНЕ\на сайт рада\"/>
    </mc:Choice>
  </mc:AlternateContent>
  <bookViews>
    <workbookView xWindow="0" yWindow="0" windowWidth="9168" windowHeight="5112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187" i="1"/>
  <c r="G116" i="1" l="1"/>
  <c r="F116" i="1"/>
  <c r="F115" i="1"/>
  <c r="F106" i="1"/>
  <c r="O168" i="1" l="1"/>
  <c r="K168" i="1"/>
  <c r="F160" i="1"/>
  <c r="G60" i="1" l="1"/>
  <c r="H49" i="1" l="1"/>
  <c r="I144" i="1" l="1"/>
  <c r="F144" i="1"/>
  <c r="O197" i="1" l="1"/>
  <c r="K197" i="1"/>
  <c r="G23" i="1" l="1"/>
  <c r="F23" i="1" l="1"/>
  <c r="F83" i="1"/>
  <c r="F96" i="1"/>
  <c r="J143" i="1"/>
  <c r="G135" i="1"/>
  <c r="F135" i="1"/>
  <c r="L188" i="1"/>
  <c r="M188" i="1"/>
  <c r="N188" i="1"/>
  <c r="O188" i="1"/>
  <c r="K188" i="1"/>
  <c r="G188" i="1"/>
  <c r="H188" i="1"/>
  <c r="I188" i="1"/>
  <c r="G185" i="1"/>
  <c r="F185" i="1"/>
  <c r="I181" i="1"/>
  <c r="F177" i="1"/>
  <c r="G176" i="1"/>
  <c r="F176" i="1"/>
  <c r="H212" i="1"/>
  <c r="I212" i="1"/>
  <c r="M212" i="1"/>
  <c r="N212" i="1"/>
  <c r="L159" i="1"/>
  <c r="M159" i="1"/>
  <c r="N159" i="1"/>
  <c r="G159" i="1"/>
  <c r="H159" i="1"/>
  <c r="I159" i="1"/>
  <c r="J173" i="1"/>
  <c r="E173" i="1"/>
  <c r="O172" i="1"/>
  <c r="K172" i="1"/>
  <c r="O167" i="1"/>
  <c r="K167" i="1"/>
  <c r="J165" i="1"/>
  <c r="E165" i="1"/>
  <c r="P165" i="1" s="1"/>
  <c r="O164" i="1"/>
  <c r="K164" i="1"/>
  <c r="F161" i="1"/>
  <c r="G160" i="1"/>
  <c r="F159" i="1"/>
  <c r="G211" i="1"/>
  <c r="H211" i="1"/>
  <c r="L211" i="1"/>
  <c r="M211" i="1"/>
  <c r="N211" i="1"/>
  <c r="J156" i="1"/>
  <c r="E156" i="1"/>
  <c r="P156" i="1" s="1"/>
  <c r="E155" i="1"/>
  <c r="O155" i="1"/>
  <c r="K155" i="1"/>
  <c r="P173" i="1" l="1"/>
  <c r="O152" i="1"/>
  <c r="K152" i="1"/>
  <c r="F152" i="1"/>
  <c r="I150" i="1"/>
  <c r="O149" i="1"/>
  <c r="J148" i="1"/>
  <c r="E148" i="1"/>
  <c r="J147" i="1"/>
  <c r="E147" i="1"/>
  <c r="E143" i="1"/>
  <c r="P143" i="1" s="1"/>
  <c r="O139" i="1"/>
  <c r="K139" i="1"/>
  <c r="F137" i="1"/>
  <c r="O135" i="1"/>
  <c r="K135" i="1"/>
  <c r="P148" i="1" l="1"/>
  <c r="P147" i="1"/>
  <c r="F128" i="1"/>
  <c r="F127" i="1"/>
  <c r="G126" i="1"/>
  <c r="F126" i="1"/>
  <c r="N113" i="1"/>
  <c r="O113" i="1"/>
  <c r="K113" i="1"/>
  <c r="H113" i="1"/>
  <c r="I113" i="1"/>
  <c r="J123" i="1"/>
  <c r="E123" i="1"/>
  <c r="F121" i="1"/>
  <c r="G120" i="1"/>
  <c r="F120" i="1"/>
  <c r="F119" i="1"/>
  <c r="G114" i="1"/>
  <c r="F114" i="1"/>
  <c r="G110" i="1"/>
  <c r="F110" i="1"/>
  <c r="L89" i="1"/>
  <c r="M89" i="1"/>
  <c r="N89" i="1"/>
  <c r="O89" i="1"/>
  <c r="K89" i="1"/>
  <c r="H89" i="1"/>
  <c r="I89" i="1"/>
  <c r="J107" i="1"/>
  <c r="E107" i="1"/>
  <c r="P107" i="1" s="1"/>
  <c r="F97" i="1"/>
  <c r="G96" i="1"/>
  <c r="F91" i="1"/>
  <c r="G90" i="1"/>
  <c r="F90" i="1"/>
  <c r="O87" i="1"/>
  <c r="O212" i="1" s="1"/>
  <c r="K87" i="1"/>
  <c r="K212" i="1" s="1"/>
  <c r="G85" i="1"/>
  <c r="F85" i="1"/>
  <c r="N205" i="1"/>
  <c r="J71" i="1"/>
  <c r="J72" i="1"/>
  <c r="E71" i="1"/>
  <c r="E72" i="1"/>
  <c r="F67" i="1"/>
  <c r="H66" i="1"/>
  <c r="F66" i="1"/>
  <c r="H64" i="1"/>
  <c r="G64" i="1"/>
  <c r="F64" i="1"/>
  <c r="F61" i="1"/>
  <c r="H60" i="1"/>
  <c r="O60" i="1"/>
  <c r="K60" i="1"/>
  <c r="O59" i="1"/>
  <c r="K59" i="1"/>
  <c r="F60" i="1"/>
  <c r="H59" i="1"/>
  <c r="G59" i="1"/>
  <c r="G89" i="1" l="1"/>
  <c r="O205" i="1"/>
  <c r="K205" i="1"/>
  <c r="P123" i="1"/>
  <c r="P72" i="1"/>
  <c r="P71" i="1"/>
  <c r="F59" i="1" l="1"/>
  <c r="F58" i="1"/>
  <c r="L53" i="1"/>
  <c r="L212" i="1" s="1"/>
  <c r="F50" i="1"/>
  <c r="F49" i="1"/>
  <c r="O39" i="1"/>
  <c r="K39" i="1"/>
  <c r="F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F36" i="1"/>
  <c r="F34" i="1"/>
  <c r="O28" i="1"/>
  <c r="O30" i="1"/>
  <c r="K30" i="1"/>
  <c r="F30" i="1"/>
  <c r="F29" i="1"/>
  <c r="K28" i="1"/>
  <c r="F28" i="1"/>
  <c r="F27" i="1"/>
  <c r="G25" i="1"/>
  <c r="F25" i="1"/>
  <c r="G24" i="1"/>
  <c r="F24" i="1"/>
  <c r="G22" i="1"/>
  <c r="F22" i="1"/>
  <c r="G134" i="1"/>
  <c r="H134" i="1"/>
  <c r="J155" i="1"/>
  <c r="P155" i="1" s="1"/>
  <c r="P40" i="1" l="1"/>
  <c r="E39" i="1"/>
  <c r="P42" i="1"/>
  <c r="P43" i="1"/>
  <c r="P41" i="1"/>
  <c r="P45" i="1"/>
  <c r="P44" i="1"/>
  <c r="F132" i="1" l="1"/>
  <c r="F129" i="1"/>
  <c r="F48" i="1" l="1"/>
  <c r="G207" i="1" l="1"/>
  <c r="G206" i="1"/>
  <c r="G209" i="1"/>
  <c r="O198" i="1" l="1"/>
  <c r="K198" i="1"/>
  <c r="F179" i="1" l="1"/>
  <c r="O162" i="1"/>
  <c r="K162" i="1"/>
  <c r="O141" i="1"/>
  <c r="K141" i="1"/>
  <c r="F89" i="1"/>
  <c r="J86" i="1"/>
  <c r="E86" i="1"/>
  <c r="F51" i="1"/>
  <c r="F47" i="1"/>
  <c r="F211" i="1" s="1"/>
  <c r="J39" i="1"/>
  <c r="O38" i="1"/>
  <c r="K38" i="1"/>
  <c r="K211" i="1" l="1"/>
  <c r="P86" i="1"/>
  <c r="I134" i="1"/>
  <c r="P39" i="1"/>
  <c r="O170" i="1"/>
  <c r="O211" i="1" s="1"/>
  <c r="K170" i="1"/>
  <c r="L134" i="1" l="1"/>
  <c r="M134" i="1"/>
  <c r="N134" i="1"/>
  <c r="H207" i="1" l="1"/>
  <c r="I207" i="1"/>
  <c r="K207" i="1"/>
  <c r="L207" i="1"/>
  <c r="M207" i="1"/>
  <c r="N207" i="1"/>
  <c r="O207" i="1"/>
  <c r="F197" i="1" l="1"/>
  <c r="J157" i="1"/>
  <c r="E157" i="1"/>
  <c r="O144" i="1"/>
  <c r="O134" i="1" s="1"/>
  <c r="K144" i="1"/>
  <c r="K134" i="1" s="1"/>
  <c r="J103" i="1"/>
  <c r="J104" i="1"/>
  <c r="E103" i="1"/>
  <c r="E104" i="1"/>
  <c r="L56" i="1"/>
  <c r="M56" i="1"/>
  <c r="N56" i="1"/>
  <c r="F87" i="1"/>
  <c r="F212" i="1" s="1"/>
  <c r="G73" i="1"/>
  <c r="F73" i="1"/>
  <c r="E73" i="1" s="1"/>
  <c r="P73" i="1" s="1"/>
  <c r="E76" i="1"/>
  <c r="P76" i="1" s="1"/>
  <c r="E75" i="1"/>
  <c r="P75" i="1" s="1"/>
  <c r="P157" i="1" l="1"/>
  <c r="P104" i="1"/>
  <c r="P103" i="1"/>
  <c r="I66" i="1" l="1"/>
  <c r="I205" i="1" s="1"/>
  <c r="I56" i="1" l="1"/>
  <c r="O166" i="1"/>
  <c r="O159" i="1" s="1"/>
  <c r="K166" i="1"/>
  <c r="K159" i="1" s="1"/>
  <c r="J145" i="1"/>
  <c r="E145" i="1"/>
  <c r="J140" i="1"/>
  <c r="E140" i="1"/>
  <c r="G119" i="1"/>
  <c r="G118" i="1"/>
  <c r="F118" i="1"/>
  <c r="F113" i="1" s="1"/>
  <c r="G208" i="1" l="1"/>
  <c r="G113" i="1"/>
  <c r="P140" i="1"/>
  <c r="P145" i="1"/>
  <c r="G49" i="1"/>
  <c r="G212" i="1" s="1"/>
  <c r="I209" i="1" l="1"/>
  <c r="K209" i="1"/>
  <c r="L209" i="1"/>
  <c r="M209" i="1"/>
  <c r="N209" i="1"/>
  <c r="O209" i="1"/>
  <c r="K195" i="1"/>
  <c r="J194" i="1"/>
  <c r="E194" i="1"/>
  <c r="E131" i="1"/>
  <c r="P131" i="1" s="1"/>
  <c r="E80" i="1"/>
  <c r="P80" i="1" s="1"/>
  <c r="E79" i="1"/>
  <c r="P79" i="1" s="1"/>
  <c r="F77" i="1"/>
  <c r="E77" i="1" s="1"/>
  <c r="P77" i="1" s="1"/>
  <c r="P194" i="1" l="1"/>
  <c r="J54" i="1"/>
  <c r="E54" i="1"/>
  <c r="H22" i="1"/>
  <c r="P54" i="1" l="1"/>
  <c r="L195" i="1"/>
  <c r="M195" i="1"/>
  <c r="N195" i="1"/>
  <c r="G195" i="1"/>
  <c r="G213" i="1" s="1"/>
  <c r="H195" i="1"/>
  <c r="I195" i="1"/>
  <c r="O195" i="1" l="1"/>
  <c r="G67" i="1" l="1"/>
  <c r="F199" i="1" l="1"/>
  <c r="F195" i="1" s="1"/>
  <c r="E201" i="1"/>
  <c r="J201" i="1"/>
  <c r="E193" i="1"/>
  <c r="P193" i="1" s="1"/>
  <c r="F190" i="1"/>
  <c r="F188" i="1" s="1"/>
  <c r="F178" i="1"/>
  <c r="J151" i="1"/>
  <c r="E151" i="1"/>
  <c r="H85" i="1"/>
  <c r="H209" i="1" s="1"/>
  <c r="F209" i="1"/>
  <c r="J81" i="1"/>
  <c r="E81" i="1"/>
  <c r="H70" i="1"/>
  <c r="F70" i="1"/>
  <c r="F205" i="1" s="1"/>
  <c r="J69" i="1"/>
  <c r="E69" i="1"/>
  <c r="H67" i="1"/>
  <c r="H61" i="1"/>
  <c r="H57" i="1"/>
  <c r="F57" i="1"/>
  <c r="J48" i="1"/>
  <c r="E48" i="1"/>
  <c r="I38" i="1"/>
  <c r="I211" i="1" s="1"/>
  <c r="E37" i="1"/>
  <c r="F33" i="1"/>
  <c r="F32" i="1"/>
  <c r="F207" i="1" s="1"/>
  <c r="F210" i="1" l="1"/>
  <c r="H205" i="1"/>
  <c r="E38" i="1"/>
  <c r="O56" i="1"/>
  <c r="K56" i="1"/>
  <c r="H56" i="1"/>
  <c r="P201" i="1"/>
  <c r="P151" i="1"/>
  <c r="P69" i="1"/>
  <c r="P81" i="1"/>
  <c r="P48" i="1"/>
  <c r="J169" i="1" l="1"/>
  <c r="E169" i="1"/>
  <c r="J82" i="1"/>
  <c r="E82" i="1"/>
  <c r="P82" i="1" l="1"/>
  <c r="P169" i="1"/>
  <c r="E144" i="1" l="1"/>
  <c r="J192" i="1"/>
  <c r="E192" i="1"/>
  <c r="P192" i="1" s="1"/>
  <c r="J191" i="1"/>
  <c r="E191" i="1"/>
  <c r="J190" i="1"/>
  <c r="E190" i="1"/>
  <c r="P190" i="1" l="1"/>
  <c r="P191" i="1"/>
  <c r="F134" i="1" l="1"/>
  <c r="F125" i="1"/>
  <c r="F56" i="1"/>
  <c r="L184" i="1" l="1"/>
  <c r="M184" i="1"/>
  <c r="N184" i="1"/>
  <c r="G184" i="1"/>
  <c r="H184" i="1"/>
  <c r="I184" i="1"/>
  <c r="J200" i="1"/>
  <c r="E200" i="1"/>
  <c r="P200" i="1" l="1"/>
  <c r="J199" i="1"/>
  <c r="E199" i="1"/>
  <c r="E198" i="1"/>
  <c r="J198" i="1"/>
  <c r="O184" i="1"/>
  <c r="K184" i="1"/>
  <c r="F184" i="1"/>
  <c r="J139" i="1"/>
  <c r="F206" i="1"/>
  <c r="H206" i="1"/>
  <c r="I206" i="1"/>
  <c r="K206" i="1"/>
  <c r="L206" i="1"/>
  <c r="M206" i="1"/>
  <c r="N206" i="1"/>
  <c r="O206" i="1"/>
  <c r="L158" i="1"/>
  <c r="M158" i="1"/>
  <c r="N158" i="1"/>
  <c r="O158" i="1"/>
  <c r="K158" i="1"/>
  <c r="E172" i="1"/>
  <c r="J172" i="1"/>
  <c r="E162" i="1"/>
  <c r="E163" i="1"/>
  <c r="E164" i="1"/>
  <c r="E166" i="1"/>
  <c r="E167" i="1"/>
  <c r="E168" i="1"/>
  <c r="E170" i="1"/>
  <c r="E171" i="1"/>
  <c r="J162" i="1"/>
  <c r="J163" i="1"/>
  <c r="J164" i="1"/>
  <c r="J166" i="1"/>
  <c r="J167" i="1"/>
  <c r="J168" i="1"/>
  <c r="J170" i="1"/>
  <c r="J171" i="1"/>
  <c r="J149" i="1"/>
  <c r="E149" i="1"/>
  <c r="E139" i="1"/>
  <c r="E87" i="1"/>
  <c r="J87" i="1"/>
  <c r="P167" i="1" l="1"/>
  <c r="P198" i="1"/>
  <c r="P168" i="1"/>
  <c r="P171" i="1"/>
  <c r="P164" i="1"/>
  <c r="P199" i="1"/>
  <c r="P172" i="1"/>
  <c r="P149" i="1"/>
  <c r="P170" i="1"/>
  <c r="P163" i="1"/>
  <c r="P162" i="1"/>
  <c r="P139" i="1"/>
  <c r="P166" i="1"/>
  <c r="P87" i="1"/>
  <c r="G61" i="1"/>
  <c r="G205" i="1" s="1"/>
  <c r="E46" i="1"/>
  <c r="J38" i="1"/>
  <c r="J46" i="1"/>
  <c r="G56" i="1" l="1"/>
  <c r="P46" i="1"/>
  <c r="P38" i="1"/>
  <c r="J197" i="1"/>
  <c r="E197" i="1"/>
  <c r="P197" i="1" l="1"/>
  <c r="E153" i="1"/>
  <c r="P153" i="1" s="1"/>
  <c r="F213" i="1" l="1"/>
  <c r="H213" i="1"/>
  <c r="I213" i="1"/>
  <c r="K213" i="1"/>
  <c r="L213" i="1"/>
  <c r="M213" i="1"/>
  <c r="N213" i="1"/>
  <c r="O213" i="1"/>
  <c r="E195" i="1"/>
  <c r="E188" i="1"/>
  <c r="E186" i="1"/>
  <c r="E185" i="1"/>
  <c r="J195" i="1"/>
  <c r="O183" i="1"/>
  <c r="K183" i="1"/>
  <c r="F175" i="1"/>
  <c r="F133" i="1"/>
  <c r="L125" i="1"/>
  <c r="M125" i="1"/>
  <c r="N125" i="1"/>
  <c r="O125" i="1"/>
  <c r="K125" i="1"/>
  <c r="G125" i="1"/>
  <c r="H125" i="1"/>
  <c r="I125" i="1"/>
  <c r="F124" i="1"/>
  <c r="F112" i="1"/>
  <c r="F109" i="1"/>
  <c r="F108" i="1" s="1"/>
  <c r="L109" i="1"/>
  <c r="M109" i="1"/>
  <c r="N109" i="1"/>
  <c r="O109" i="1"/>
  <c r="K109" i="1"/>
  <c r="G109" i="1"/>
  <c r="G108" i="1" s="1"/>
  <c r="H109" i="1"/>
  <c r="I109" i="1"/>
  <c r="E56" i="1"/>
  <c r="J52" i="1"/>
  <c r="E52" i="1"/>
  <c r="H208" i="1"/>
  <c r="I208" i="1"/>
  <c r="K208" i="1"/>
  <c r="N208" i="1"/>
  <c r="O208" i="1"/>
  <c r="E184" i="1" l="1"/>
  <c r="E183" i="1" s="1"/>
  <c r="P195" i="1"/>
  <c r="E213" i="1"/>
  <c r="P52" i="1"/>
  <c r="F208" i="1" l="1"/>
  <c r="M116" i="1" l="1"/>
  <c r="L116" i="1"/>
  <c r="L205" i="1" l="1"/>
  <c r="M205" i="1"/>
  <c r="L33" i="1"/>
  <c r="L210" i="1" s="1"/>
  <c r="M33" i="1"/>
  <c r="M210" i="1" s="1"/>
  <c r="N33" i="1"/>
  <c r="N210" i="1" s="1"/>
  <c r="O33" i="1"/>
  <c r="O210" i="1" s="1"/>
  <c r="K33" i="1"/>
  <c r="K210" i="1" s="1"/>
  <c r="G33" i="1"/>
  <c r="G210" i="1" s="1"/>
  <c r="H33" i="1"/>
  <c r="H210" i="1" s="1"/>
  <c r="I33" i="1"/>
  <c r="I210" i="1" s="1"/>
  <c r="J34" i="1"/>
  <c r="J35" i="1"/>
  <c r="J36" i="1"/>
  <c r="E35" i="1"/>
  <c r="E36" i="1"/>
  <c r="E34" i="1"/>
  <c r="E33" i="1" l="1"/>
  <c r="P34" i="1"/>
  <c r="P35" i="1"/>
  <c r="P36" i="1"/>
  <c r="L21" i="1"/>
  <c r="M21" i="1"/>
  <c r="N21" i="1"/>
  <c r="O21" i="1"/>
  <c r="K21" i="1"/>
  <c r="K204" i="1" s="1"/>
  <c r="J23" i="1"/>
  <c r="J24" i="1"/>
  <c r="J25" i="1"/>
  <c r="J22" i="1"/>
  <c r="E23" i="1"/>
  <c r="E24" i="1"/>
  <c r="E25" i="1"/>
  <c r="E22" i="1"/>
  <c r="F21" i="1"/>
  <c r="H21" i="1"/>
  <c r="I21" i="1"/>
  <c r="G21" i="1"/>
  <c r="O20" i="1" l="1"/>
  <c r="O204" i="1"/>
  <c r="L20" i="1"/>
  <c r="L204" i="1"/>
  <c r="I20" i="1"/>
  <c r="I204" i="1"/>
  <c r="N20" i="1"/>
  <c r="N204" i="1"/>
  <c r="G20" i="1"/>
  <c r="G204" i="1"/>
  <c r="G214" i="1" s="1"/>
  <c r="H20" i="1"/>
  <c r="H204" i="1"/>
  <c r="F20" i="1"/>
  <c r="F204" i="1"/>
  <c r="M20" i="1"/>
  <c r="M204" i="1"/>
  <c r="K20" i="1"/>
  <c r="K214" i="1"/>
  <c r="P22" i="1"/>
  <c r="O214" i="1"/>
  <c r="N214" i="1"/>
  <c r="I214" i="1"/>
  <c r="H214" i="1"/>
  <c r="P25" i="1"/>
  <c r="P24" i="1"/>
  <c r="P23" i="1"/>
  <c r="O108" i="1"/>
  <c r="K108" i="1"/>
  <c r="L108" i="1"/>
  <c r="M108" i="1"/>
  <c r="N108" i="1"/>
  <c r="M88" i="1"/>
  <c r="N88" i="1"/>
  <c r="O88" i="1"/>
  <c r="K88" i="1"/>
  <c r="L88" i="1"/>
  <c r="M55" i="1"/>
  <c r="N55" i="1"/>
  <c r="L55" i="1"/>
  <c r="O55" i="1"/>
  <c r="K55" i="1"/>
  <c r="G183" i="1"/>
  <c r="H183" i="1"/>
  <c r="I183" i="1"/>
  <c r="F183" i="1"/>
  <c r="G175" i="1"/>
  <c r="G174" i="1" s="1"/>
  <c r="H175" i="1"/>
  <c r="H174" i="1" s="1"/>
  <c r="I175" i="1"/>
  <c r="I174" i="1" s="1"/>
  <c r="F174" i="1"/>
  <c r="G158" i="1"/>
  <c r="H158" i="1"/>
  <c r="I158" i="1"/>
  <c r="F158" i="1"/>
  <c r="G133" i="1"/>
  <c r="H133" i="1"/>
  <c r="I133" i="1"/>
  <c r="G124" i="1"/>
  <c r="H124" i="1"/>
  <c r="I124" i="1"/>
  <c r="G112" i="1"/>
  <c r="H112" i="1"/>
  <c r="I112" i="1"/>
  <c r="F214" i="1" l="1"/>
  <c r="M120" i="1" l="1"/>
  <c r="M113" i="1" s="1"/>
  <c r="L118" i="1"/>
  <c r="L113" i="1" s="1"/>
  <c r="K112" i="1"/>
  <c r="N112" i="1"/>
  <c r="O112" i="1"/>
  <c r="L133" i="1"/>
  <c r="M133" i="1"/>
  <c r="N133" i="1"/>
  <c r="O133" i="1"/>
  <c r="K133" i="1"/>
  <c r="J154" i="1"/>
  <c r="E154" i="1"/>
  <c r="J53" i="1"/>
  <c r="E53" i="1"/>
  <c r="L208" i="1" l="1"/>
  <c r="L214" i="1" s="1"/>
  <c r="L112" i="1"/>
  <c r="M208" i="1"/>
  <c r="M214" i="1" s="1"/>
  <c r="M112" i="1"/>
  <c r="P154" i="1"/>
  <c r="P53" i="1"/>
  <c r="J109" i="1" l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2" i="1"/>
  <c r="J133" i="1"/>
  <c r="J135" i="1"/>
  <c r="J136" i="1"/>
  <c r="J137" i="1"/>
  <c r="J138" i="1"/>
  <c r="J141" i="1"/>
  <c r="J142" i="1"/>
  <c r="J144" i="1"/>
  <c r="J146" i="1"/>
  <c r="J150" i="1"/>
  <c r="J152" i="1"/>
  <c r="J158" i="1"/>
  <c r="J159" i="1"/>
  <c r="J160" i="1"/>
  <c r="J161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91" i="1"/>
  <c r="J92" i="1"/>
  <c r="J93" i="1"/>
  <c r="J94" i="1"/>
  <c r="J95" i="1"/>
  <c r="J96" i="1"/>
  <c r="J97" i="1"/>
  <c r="J98" i="1"/>
  <c r="J99" i="1"/>
  <c r="J100" i="1"/>
  <c r="J101" i="1"/>
  <c r="J102" i="1"/>
  <c r="J105" i="1"/>
  <c r="J106" i="1"/>
  <c r="J90" i="1"/>
  <c r="G88" i="1"/>
  <c r="I88" i="1"/>
  <c r="F88" i="1"/>
  <c r="H88" i="1"/>
  <c r="J58" i="1"/>
  <c r="J59" i="1"/>
  <c r="J60" i="1"/>
  <c r="J61" i="1"/>
  <c r="J62" i="1"/>
  <c r="J63" i="1"/>
  <c r="J64" i="1"/>
  <c r="J65" i="1"/>
  <c r="J66" i="1"/>
  <c r="J67" i="1"/>
  <c r="J68" i="1"/>
  <c r="J70" i="1"/>
  <c r="J83" i="1"/>
  <c r="J84" i="1"/>
  <c r="J85" i="1"/>
  <c r="J57" i="1"/>
  <c r="G55" i="1"/>
  <c r="H55" i="1"/>
  <c r="I55" i="1"/>
  <c r="J26" i="1"/>
  <c r="J27" i="1"/>
  <c r="J28" i="1"/>
  <c r="J29" i="1"/>
  <c r="J30" i="1"/>
  <c r="J31" i="1"/>
  <c r="J32" i="1"/>
  <c r="J33" i="1"/>
  <c r="J47" i="1"/>
  <c r="J49" i="1"/>
  <c r="J50" i="1"/>
  <c r="J51" i="1"/>
  <c r="J21" i="1"/>
  <c r="J20" i="1"/>
  <c r="L19" i="1"/>
  <c r="M19" i="1"/>
  <c r="M202" i="1" s="1"/>
  <c r="N19" i="1"/>
  <c r="N202" i="1" s="1"/>
  <c r="O19" i="1"/>
  <c r="K19" i="1"/>
  <c r="K202" i="1" s="1"/>
  <c r="G19" i="1"/>
  <c r="H19" i="1"/>
  <c r="I19" i="1"/>
  <c r="F19" i="1"/>
  <c r="E177" i="1"/>
  <c r="E178" i="1"/>
  <c r="E179" i="1"/>
  <c r="E180" i="1"/>
  <c r="E181" i="1"/>
  <c r="E182" i="1"/>
  <c r="E161" i="1"/>
  <c r="E136" i="1"/>
  <c r="E137" i="1"/>
  <c r="E138" i="1"/>
  <c r="E141" i="1"/>
  <c r="E142" i="1"/>
  <c r="E146" i="1"/>
  <c r="E150" i="1"/>
  <c r="E152" i="1"/>
  <c r="E127" i="1"/>
  <c r="E128" i="1"/>
  <c r="E129" i="1"/>
  <c r="E130" i="1"/>
  <c r="E132" i="1"/>
  <c r="E115" i="1"/>
  <c r="E116" i="1"/>
  <c r="E117" i="1"/>
  <c r="E118" i="1"/>
  <c r="E119" i="1"/>
  <c r="E120" i="1"/>
  <c r="E121" i="1"/>
  <c r="E122" i="1"/>
  <c r="E111" i="1"/>
  <c r="E91" i="1"/>
  <c r="E92" i="1"/>
  <c r="E93" i="1"/>
  <c r="E94" i="1"/>
  <c r="E95" i="1"/>
  <c r="E96" i="1"/>
  <c r="E97" i="1"/>
  <c r="E98" i="1"/>
  <c r="E99" i="1"/>
  <c r="E100" i="1"/>
  <c r="E101" i="1"/>
  <c r="E102" i="1"/>
  <c r="E105" i="1"/>
  <c r="E106" i="1"/>
  <c r="E58" i="1"/>
  <c r="E59" i="1"/>
  <c r="E60" i="1"/>
  <c r="E61" i="1"/>
  <c r="E62" i="1"/>
  <c r="E63" i="1"/>
  <c r="E64" i="1"/>
  <c r="E65" i="1"/>
  <c r="E66" i="1"/>
  <c r="E67" i="1"/>
  <c r="E68" i="1"/>
  <c r="E70" i="1"/>
  <c r="E83" i="1"/>
  <c r="E84" i="1"/>
  <c r="E85" i="1"/>
  <c r="E176" i="1"/>
  <c r="E175" i="1"/>
  <c r="E174" i="1"/>
  <c r="E160" i="1"/>
  <c r="E159" i="1"/>
  <c r="E158" i="1"/>
  <c r="E135" i="1"/>
  <c r="E134" i="1"/>
  <c r="E133" i="1"/>
  <c r="E126" i="1"/>
  <c r="E125" i="1"/>
  <c r="E124" i="1"/>
  <c r="E114" i="1"/>
  <c r="E113" i="1"/>
  <c r="E112" i="1"/>
  <c r="E110" i="1"/>
  <c r="E109" i="1"/>
  <c r="E108" i="1"/>
  <c r="E90" i="1"/>
  <c r="E89" i="1"/>
  <c r="E57" i="1"/>
  <c r="E26" i="1"/>
  <c r="E27" i="1"/>
  <c r="E28" i="1"/>
  <c r="E29" i="1"/>
  <c r="E30" i="1"/>
  <c r="E31" i="1"/>
  <c r="E32" i="1"/>
  <c r="E47" i="1"/>
  <c r="E211" i="1" s="1"/>
  <c r="E49" i="1"/>
  <c r="E50" i="1"/>
  <c r="E51" i="1"/>
  <c r="E21" i="1"/>
  <c r="E20" i="1"/>
  <c r="E210" i="1" l="1"/>
  <c r="J212" i="1"/>
  <c r="J210" i="1"/>
  <c r="E212" i="1"/>
  <c r="J211" i="1"/>
  <c r="E204" i="1"/>
  <c r="J204" i="1"/>
  <c r="E205" i="1"/>
  <c r="J205" i="1"/>
  <c r="J134" i="1"/>
  <c r="P134" i="1" s="1"/>
  <c r="J207" i="1"/>
  <c r="E207" i="1"/>
  <c r="P33" i="1"/>
  <c r="J209" i="1"/>
  <c r="E88" i="1"/>
  <c r="E209" i="1"/>
  <c r="E206" i="1"/>
  <c r="J206" i="1"/>
  <c r="J213" i="1"/>
  <c r="P213" i="1" s="1"/>
  <c r="G202" i="1"/>
  <c r="E208" i="1"/>
  <c r="J208" i="1"/>
  <c r="I202" i="1"/>
  <c r="F55" i="1"/>
  <c r="E55" i="1" s="1"/>
  <c r="H202" i="1"/>
  <c r="J108" i="1"/>
  <c r="P108" i="1" s="1"/>
  <c r="J55" i="1"/>
  <c r="O202" i="1"/>
  <c r="P20" i="1"/>
  <c r="J88" i="1"/>
  <c r="J89" i="1"/>
  <c r="P89" i="1" s="1"/>
  <c r="J56" i="1"/>
  <c r="P56" i="1" s="1"/>
  <c r="J19" i="1"/>
  <c r="L202" i="1"/>
  <c r="E1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61" i="1"/>
  <c r="P160" i="1"/>
  <c r="P159" i="1"/>
  <c r="P158" i="1"/>
  <c r="P152" i="1"/>
  <c r="P150" i="1"/>
  <c r="P146" i="1"/>
  <c r="P144" i="1"/>
  <c r="P142" i="1"/>
  <c r="P141" i="1"/>
  <c r="P138" i="1"/>
  <c r="P137" i="1"/>
  <c r="P136" i="1"/>
  <c r="P135" i="1"/>
  <c r="P133" i="1"/>
  <c r="P132" i="1"/>
  <c r="P130" i="1"/>
  <c r="P129" i="1"/>
  <c r="P128" i="1"/>
  <c r="P127" i="1"/>
  <c r="P126" i="1"/>
  <c r="P125" i="1"/>
  <c r="P124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6" i="1"/>
  <c r="P105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5" i="1"/>
  <c r="P84" i="1"/>
  <c r="P83" i="1"/>
  <c r="P70" i="1"/>
  <c r="P68" i="1"/>
  <c r="P67" i="1"/>
  <c r="P66" i="1"/>
  <c r="P65" i="1"/>
  <c r="P64" i="1"/>
  <c r="P63" i="1"/>
  <c r="P62" i="1"/>
  <c r="P61" i="1"/>
  <c r="P60" i="1"/>
  <c r="P59" i="1"/>
  <c r="P58" i="1"/>
  <c r="P57" i="1"/>
  <c r="P51" i="1"/>
  <c r="P50" i="1"/>
  <c r="P49" i="1"/>
  <c r="P47" i="1"/>
  <c r="P32" i="1"/>
  <c r="P31" i="1"/>
  <c r="P30" i="1"/>
  <c r="P29" i="1"/>
  <c r="P28" i="1"/>
  <c r="P27" i="1"/>
  <c r="P26" i="1"/>
  <c r="P21" i="1"/>
  <c r="P88" i="1" l="1"/>
  <c r="P209" i="1"/>
  <c r="P55" i="1"/>
  <c r="P210" i="1"/>
  <c r="P205" i="1"/>
  <c r="P212" i="1"/>
  <c r="P204" i="1"/>
  <c r="P211" i="1"/>
  <c r="J214" i="1"/>
  <c r="P208" i="1"/>
  <c r="P207" i="1"/>
  <c r="E214" i="1"/>
  <c r="P206" i="1"/>
  <c r="F202" i="1"/>
  <c r="P19" i="1"/>
  <c r="J202" i="1"/>
  <c r="E202" i="1" l="1"/>
  <c r="P214" i="1"/>
  <c r="P202" i="1" l="1"/>
</calcChain>
</file>

<file path=xl/sharedStrings.xml><?xml version="1.0" encoding="utf-8"?>
<sst xmlns="http://schemas.openxmlformats.org/spreadsheetml/2006/main" count="644" uniqueCount="411">
  <si>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</si>
  <si>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</si>
  <si>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</si>
  <si>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</si>
  <si>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</si>
  <si>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</si>
  <si>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</si>
  <si>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</si>
  <si>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</si>
  <si>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</si>
  <si>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</si>
  <si>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</si>
  <si>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</si>
  <si>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</si>
  <si>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</si>
  <si>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</si>
  <si>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</si>
  <si>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</si>
  <si>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</si>
  <si>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</si>
  <si>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</si>
  <si>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</si>
  <si>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</si>
  <si>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</si>
  <si>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</si>
  <si>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</si>
  <si>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</si>
  <si>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</si>
  <si>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</si>
  <si>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</si>
  <si>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</si>
  <si>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</si>
  <si>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</si>
  <si>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</si>
  <si>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</si>
  <si>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</si>
  <si>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</si>
  <si>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</si>
  <si>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</si>
  <si>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</si>
  <si>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</si>
  <si>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</si>
  <si>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</si>
  <si>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</si>
  <si>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</si>
  <si>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</si>
  <si>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</si>
  <si>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</si>
  <si>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</si>
  <si>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</si>
  <si>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</si>
  <si>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</si>
  <si>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</si>
  <si>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</si>
  <si>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</si>
  <si>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</si>
  <si>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</si>
  <si>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</si>
  <si>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</si>
  <si>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</si>
  <si>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</si>
  <si>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</si>
  <si>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</si>
  <si>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</si>
  <si>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</si>
  <si>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</si>
  <si>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</si>
  <si>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</si>
  <si>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</si>
  <si>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</si>
  <si>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</si>
  <si>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</si>
  <si>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</si>
  <si>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</si>
  <si>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</si>
  <si>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</si>
  <si>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</si>
  <si>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</si>
  <si>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</si>
  <si>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</si>
  <si>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</si>
  <si>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</si>
  <si>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</si>
  <si>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</si>
  <si>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</si>
  <si>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</si>
  <si>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</si>
  <si>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</si>
  <si>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</si>
  <si>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</si>
  <si>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</si>
  <si>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</si>
  <si>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</si>
  <si>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</si>
  <si>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</si>
  <si>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</si>
  <si>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</si>
  <si>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</si>
  <si>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</si>
  <si>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</si>
  <si>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</si>
  <si>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</si>
  <si>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</si>
  <si>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</si>
  <si>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</si>
  <si>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</si>
  <si>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</si>
  <si>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</si>
  <si>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</si>
  <si>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</si>
  <si>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</si>
  <si>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</si>
  <si>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</si>
  <si>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</si>
  <si>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</si>
  <si>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</si>
  <si>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</si>
  <si>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</si>
  <si>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</si>
  <si>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</si>
  <si>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</si>
  <si>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</si>
  <si>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</si>
  <si>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</si>
  <si>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</si>
  <si>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</si>
  <si>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</si>
  <si>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</si>
  <si>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</si>
  <si>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</si>
  <si>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</si>
  <si>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</si>
  <si>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</si>
  <si>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</si>
  <si>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</si>
  <si>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</si>
  <si>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</si>
  <si>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</si>
  <si>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</si>
  <si>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</si>
  <si>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</si>
  <si>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</si>
  <si>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</si>
  <si>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</si>
  <si>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</si>
  <si>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</si>
  <si>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</si>
  <si>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</si>
  <si>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</si>
  <si>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</si>
  <si>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</si>
  <si>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</si>
  <si>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</si>
  <si>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</si>
  <si>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</si>
  <si>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</si>
  <si>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</si>
  <si>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</si>
  <si>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</si>
  <si>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</si>
  <si>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</si>
  <si>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</si>
  <si>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</si>
  <si>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</si>
  <si>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</si>
  <si>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</si>
  <si>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</si>
  <si>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</si>
  <si>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</si>
  <si>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</si>
  <si>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</si>
  <si>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</si>
  <si>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</si>
  <si>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</si>
  <si>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</si>
  <si>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</si>
  <si>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</si>
  <si>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</si>
  <si>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</si>
  <si>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</si>
  <si>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</si>
  <si>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</si>
  <si>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</si>
  <si>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</si>
  <si>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</si>
  <si>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</si>
  <si>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</si>
  <si>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</si>
  <si>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</si>
  <si>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</si>
  <si>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</si>
  <si>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</si>
  <si>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</si>
  <si>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</si>
  <si>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</si>
  <si>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</si>
  <si>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</si>
  <si>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</si>
  <si>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</si>
  <si>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</si>
  <si>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</si>
  <si>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</si>
  <si>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</si>
  <si>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</si>
  <si>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</si>
  <si>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</si>
  <si>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</si>
  <si>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</si>
  <si>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</si>
  <si>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</si>
  <si>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</si>
  <si>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</si>
  <si>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</si>
  <si>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</si>
  <si>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</si>
  <si>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</si>
  <si>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</si>
  <si>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</si>
  <si>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</si>
  <si>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</si>
  <si>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</si>
  <si>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</si>
  <si>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</si>
  <si>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</si>
  <si>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</si>
  <si>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</si>
  <si>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</si>
  <si>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</si>
  <si>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</si>
  <si>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</si>
  <si>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</si>
  <si>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</si>
  <si>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</si>
  <si>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</si>
  <si>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</si>
  <si>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</si>
  <si>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</si>
  <si>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</si>
  <si>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</si>
  <si>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</si>
  <si>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</si>
  <si>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</si>
  <si>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</si>
  <si>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</si>
  <si>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</si>
  <si>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</si>
  <si>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</si>
  <si>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</si>
  <si>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</si>
  <si>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</si>
  <si>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</si>
  <si>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</si>
  <si>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</si>
  <si>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</si>
  <si>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</si>
  <si>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</si>
  <si>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</si>
  <si>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</si>
  <si>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</si>
  <si>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</si>
  <si>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</si>
  <si>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</si>
  <si>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</si>
  <si>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</si>
  <si>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</si>
  <si>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</si>
  <si>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</si>
  <si>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</si>
  <si>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</si>
  <si>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</si>
  <si>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</si>
  <si>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</si>
  <si>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</si>
  <si>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</si>
  <si>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</si>
  <si>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</si>
  <si>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</si>
  <si>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</si>
  <si>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</si>
  <si>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</si>
  <si>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</si>
  <si>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</si>
  <si>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</si>
  <si>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</si>
  <si>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</si>
  <si>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</si>
  <si>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</si>
  <si>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</si>
  <si>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</si>
  <si>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</si>
  <si>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</si>
  <si>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</si>
  <si>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</si>
  <si>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</si>
  <si>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</si>
  <si>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</si>
  <si>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</si>
  <si>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</si>
  <si>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</si>
  <si>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</si>
  <si>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</si>
  <si>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</si>
  <si>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</si>
  <si>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</si>
  <si>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</si>
  <si>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</si>
  <si>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</si>
  <si>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</si>
  <si>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</si>
  <si>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</si>
  <si>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</si>
  <si>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</si>
  <si>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</si>
  <si>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</si>
  <si>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</si>
  <si>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</si>
  <si>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</si>
  <si>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</si>
  <si>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</si>
  <si>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</si>
  <si>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</si>
  <si>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</si>
  <si>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</si>
  <si>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</si>
  <si>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</si>
  <si>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</si>
  <si>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</si>
  <si>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</si>
  <si>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</si>
  <si>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</si>
  <si>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</si>
  <si>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</si>
  <si>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</si>
  <si>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</si>
  <si>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</si>
  <si>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</si>
  <si>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</si>
  <si>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</si>
  <si>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</si>
  <si>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</si>
  <si>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</si>
  <si>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</si>
  <si>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</si>
  <si>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</si>
  <si>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</si>
  <si>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</si>
  <si>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</si>
  <si>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</si>
  <si>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</si>
  <si>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</si>
  <si>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</si>
  <si>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</si>
  <si>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</si>
  <si>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</si>
  <si>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</si>
  <si>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</si>
  <si>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</si>
  <si>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</si>
  <si>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</si>
  <si>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</si>
  <si>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</si>
  <si>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</si>
  <si>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</si>
  <si>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</si>
  <si>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</si>
  <si>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</si>
  <si>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</si>
  <si>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</si>
  <si>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</si>
  <si>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</si>
  <si>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</si>
  <si>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</si>
  <si>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</si>
  <si>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</si>
  <si>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</si>
  <si>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</si>
  <si>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</si>
  <si>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</si>
  <si>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</si>
  <si>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</si>
  <si>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</si>
  <si>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</si>
  <si>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</si>
  <si>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</si>
  <si>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</si>
  <si>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</si>
  <si>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</si>
  <si>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</si>
  <si>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</si>
  <si>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</si>
  <si>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</si>
  <si>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 xml:space="preserve"> 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</si>
  <si>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</si>
  <si>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</si>
  <si>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</si>
  <si>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</si>
  <si>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</si>
  <si>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</si>
  <si>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</si>
  <si>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</si>
  <si>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</si>
  <si>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</si>
  <si>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</si>
  <si>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</si>
  <si>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</si>
  <si>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</si>
  <si>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</si>
  <si>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</si>
  <si>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</si>
  <si>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</si>
  <si>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від         09.2024 №         - 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</si>
</sst>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3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8"/>
  <sheetViews>
    <sheetView tabSelected="1" view="pageBreakPreview" topLeftCell="A202" zoomScale="70" zoomScaleNormal="70" zoomScaleSheetLayoutView="70" workbookViewId="0">
      <selection activeCell="A218" sqref="A218:XFD229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376</v>
      </c>
    </row>
    <row r="2" spans="1:16">
      <c r="M2" s="17" t="s">
        <v>298</v>
      </c>
    </row>
    <row r="3" spans="1:16">
      <c r="M3" s="17" t="s">
        <v>297</v>
      </c>
    </row>
    <row r="4" spans="1:16">
      <c r="M4" s="17" t="s">
        <v>410</v>
      </c>
    </row>
    <row r="6" spans="1:16" ht="20.399999999999999" customHeight="1">
      <c r="M6" s="17" t="s">
        <v>322</v>
      </c>
    </row>
    <row r="7" spans="1:16" ht="20.399999999999999" customHeight="1">
      <c r="M7" s="17" t="s">
        <v>298</v>
      </c>
    </row>
    <row r="8" spans="1:16" ht="20.399999999999999" customHeight="1">
      <c r="M8" s="17" t="s">
        <v>297</v>
      </c>
    </row>
    <row r="9" spans="1:16" ht="20.399999999999999" customHeight="1">
      <c r="M9" s="17" t="s">
        <v>300</v>
      </c>
    </row>
    <row r="10" spans="1:16">
      <c r="A10" s="40" t="s">
        <v>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>
      <c r="A11" s="40" t="s">
        <v>299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2" t="s">
        <v>4</v>
      </c>
      <c r="B14" s="42" t="s">
        <v>5</v>
      </c>
      <c r="C14" s="42" t="s">
        <v>6</v>
      </c>
      <c r="D14" s="39" t="s">
        <v>7</v>
      </c>
      <c r="E14" s="39" t="s">
        <v>8</v>
      </c>
      <c r="F14" s="39"/>
      <c r="G14" s="39"/>
      <c r="H14" s="39"/>
      <c r="I14" s="39"/>
      <c r="J14" s="39" t="s">
        <v>14</v>
      </c>
      <c r="K14" s="39"/>
      <c r="L14" s="39"/>
      <c r="M14" s="39"/>
      <c r="N14" s="39"/>
      <c r="O14" s="39"/>
      <c r="P14" s="39" t="s">
        <v>16</v>
      </c>
    </row>
    <row r="15" spans="1:16" ht="26.4" customHeight="1">
      <c r="A15" s="42"/>
      <c r="B15" s="42"/>
      <c r="C15" s="42"/>
      <c r="D15" s="39"/>
      <c r="E15" s="39" t="s">
        <v>9</v>
      </c>
      <c r="F15" s="39" t="s">
        <v>10</v>
      </c>
      <c r="G15" s="39" t="s">
        <v>11</v>
      </c>
      <c r="H15" s="39"/>
      <c r="I15" s="39" t="s">
        <v>13</v>
      </c>
      <c r="J15" s="39" t="s">
        <v>9</v>
      </c>
      <c r="K15" s="39" t="s">
        <v>15</v>
      </c>
      <c r="L15" s="39" t="s">
        <v>10</v>
      </c>
      <c r="M15" s="39" t="s">
        <v>11</v>
      </c>
      <c r="N15" s="39"/>
      <c r="O15" s="39" t="s">
        <v>13</v>
      </c>
      <c r="P15" s="39"/>
    </row>
    <row r="16" spans="1:16" ht="30.6" customHeight="1">
      <c r="A16" s="42"/>
      <c r="B16" s="42"/>
      <c r="C16" s="42"/>
      <c r="D16" s="39"/>
      <c r="E16" s="39"/>
      <c r="F16" s="39"/>
      <c r="G16" s="39" t="s">
        <v>320</v>
      </c>
      <c r="H16" s="39" t="s">
        <v>12</v>
      </c>
      <c r="I16" s="39"/>
      <c r="J16" s="39"/>
      <c r="K16" s="39"/>
      <c r="L16" s="39"/>
      <c r="M16" s="39" t="s">
        <v>320</v>
      </c>
      <c r="N16" s="39" t="s">
        <v>12</v>
      </c>
      <c r="O16" s="39"/>
      <c r="P16" s="39"/>
    </row>
    <row r="17" spans="1:16" ht="31.2" customHeight="1">
      <c r="A17" s="42"/>
      <c r="B17" s="42"/>
      <c r="C17" s="42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168811873</v>
      </c>
      <c r="F19" s="4">
        <f>F20</f>
        <v>168811873</v>
      </c>
      <c r="G19" s="4">
        <f>G20</f>
        <v>87048300</v>
      </c>
      <c r="H19" s="4">
        <f>H20</f>
        <v>5066803</v>
      </c>
      <c r="I19" s="4">
        <f>I20</f>
        <v>0</v>
      </c>
      <c r="J19" s="4">
        <f>L19+O19</f>
        <v>13373045</v>
      </c>
      <c r="K19" s="4">
        <f>K20</f>
        <v>13124545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13124545</v>
      </c>
      <c r="P19" s="4">
        <f t="shared" ref="P19:P84" si="0">E19 + J19</f>
        <v>182184918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168811873</v>
      </c>
      <c r="F20" s="4">
        <f>F21++F26+F27+F28+F29+F30+F31+F32+F33+F37+F38+F39+F46+F47+F48+F49+F50+F51+F52+F53+F54</f>
        <v>168811873</v>
      </c>
      <c r="G20" s="4">
        <f>G21++G26+G27+G28+G29+G30+G31+G32+G33+G37+G38+G39+G46+G47+G48+G49+G50+G51+G52+G53+G54</f>
        <v>87048300</v>
      </c>
      <c r="H20" s="4">
        <f>H21++H26+H27+H28+H29+H30+H31+H32+H33+H37+H38+H39+H46+H47+H48+H49+H50+H51+H52+H53+H54</f>
        <v>5066803</v>
      </c>
      <c r="I20" s="4">
        <f>I21++I26+I27+I28+I29+I30+I31+I32+I33+I37+I38+I39+I46+I47+I48+I49+I50+I51+I52+I53+I54</f>
        <v>0</v>
      </c>
      <c r="J20" s="4">
        <f>L20+O20</f>
        <v>13373045</v>
      </c>
      <c r="K20" s="4">
        <f>K21++K26+K27+K28+K29+K30+K31+K32+K33+K37+K38+K39+K46+K47+K48+K49+K50+K51+K52+K53+K54</f>
        <v>13124545</v>
      </c>
      <c r="L20" s="4">
        <f>L21++L26+L27+L28+L29+L30+L31+L32+L33+L37+L38+L39+L46+L47+L48+L49+L50+L51+L52+L53+L54</f>
        <v>248500</v>
      </c>
      <c r="M20" s="4">
        <f>M21++M26+M27+M28+M29+M30+M31+M32+M33+M37+M38+M39+M46+M47+M48+M49+M50+M51+M52+M53+M54</f>
        <v>0</v>
      </c>
      <c r="N20" s="4">
        <f>N21++N26+N27+N28+N29+N30+N31+N32+N33+N37+N38+N39+N46+N47+N48+N49+N50+N51+N52+N53+N54</f>
        <v>0</v>
      </c>
      <c r="O20" s="4">
        <f>O21++O26+O27+O28+O29+O30+O31+O32+O33+O37+O38+O39+O46+O47+O48+O49+O50+O51+O52+O53+O54</f>
        <v>13124545</v>
      </c>
      <c r="P20" s="4">
        <f>E20 + J20</f>
        <v>182184918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78205683</v>
      </c>
      <c r="F21" s="6">
        <f>F22+F23+F24+F25</f>
        <v>78205683</v>
      </c>
      <c r="G21" s="6">
        <f>G22+G23+G24+G25</f>
        <v>68075200</v>
      </c>
      <c r="H21" s="6">
        <f t="shared" ref="H21:I21" si="1">H22+H23+H24+H25</f>
        <v>4886300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79444283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69927273</v>
      </c>
      <c r="F22" s="8">
        <f>66352700-109000-99200-100000+490000-12000+34773+3370000</f>
        <v>69927273</v>
      </c>
      <c r="G22" s="8">
        <f>57122400+490000+3370000</f>
        <v>60982400</v>
      </c>
      <c r="H22" s="8">
        <f>4610900-100000</f>
        <v>4510900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70065871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3413500</v>
      </c>
      <c r="F23" s="8">
        <f>3206600+44000+20000+142900</f>
        <v>3413500</v>
      </c>
      <c r="G23" s="8">
        <f>2744700+100000</f>
        <v>2844700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4513501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2681700</v>
      </c>
      <c r="F25" s="8">
        <f>2515800+65000+100900</f>
        <v>2681700</v>
      </c>
      <c r="G25" s="8">
        <f>2134100+65000+150000</f>
        <v>2349100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2681701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4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4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2304430</v>
      </c>
      <c r="F27" s="6">
        <f>3265000-33000-557830+100000-99000-99000-271740</f>
        <v>2304430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2304430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23239401</v>
      </c>
      <c r="F28" s="6">
        <f>18586800+794600-1000000+868684-66000+582720+2168480+600000-49100+753217</f>
        <v>23239401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28103150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9086045</v>
      </c>
      <c r="F29" s="6">
        <f>8941500+198635-54090</f>
        <v>9086045</v>
      </c>
      <c r="G29" s="6">
        <v>0</v>
      </c>
      <c r="H29" s="6">
        <v>0</v>
      </c>
      <c r="I29" s="6">
        <v>0</v>
      </c>
      <c r="J29" s="6">
        <f t="shared" si="6"/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f t="shared" si="0"/>
        <v>9086045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10665710</v>
      </c>
      <c r="F30" s="6">
        <f>8225200+99000+603000+36000+2802000-2099490+1000000</f>
        <v>10665710</v>
      </c>
      <c r="G30" s="6">
        <v>0</v>
      </c>
      <c r="H30" s="6">
        <v>0</v>
      </c>
      <c r="I30" s="6">
        <v>0</v>
      </c>
      <c r="J30" s="6">
        <f t="shared" si="6"/>
        <v>2432400</v>
      </c>
      <c r="K30" s="6">
        <f>1000000-36000+1468400</f>
        <v>2432400</v>
      </c>
      <c r="L30" s="6">
        <v>0</v>
      </c>
      <c r="M30" s="6">
        <v>0</v>
      </c>
      <c r="N30" s="6">
        <v>0</v>
      </c>
      <c r="O30" s="6">
        <f>1000000-36000+1468400</f>
        <v>2432400</v>
      </c>
      <c r="P30" s="6">
        <f t="shared" si="0"/>
        <v>13098110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1629600</v>
      </c>
      <c r="F31" s="6">
        <v>1629600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1629600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4999900</v>
      </c>
      <c r="F32" s="6">
        <f>4000000+900000+99900</f>
        <v>4999900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4999900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10860200</v>
      </c>
      <c r="F33" s="6">
        <f>F34+F35+F36</f>
        <v>10860200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10860200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7362300</v>
      </c>
      <c r="F34" s="8">
        <f>4176500-44000-78200+3000000+308000</f>
        <v>7362300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7362300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2680200</v>
      </c>
      <c r="F36" s="8">
        <f>3025000-344800</f>
        <v>2680200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2680200</v>
      </c>
    </row>
    <row r="37" spans="1:16">
      <c r="A37" s="9" t="s">
        <v>355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326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385</v>
      </c>
      <c r="B39" s="33">
        <v>7520</v>
      </c>
      <c r="C39" s="9" t="s">
        <v>387</v>
      </c>
      <c r="D39" s="5" t="s">
        <v>386</v>
      </c>
      <c r="E39" s="6">
        <f t="shared" si="9"/>
        <v>896400</v>
      </c>
      <c r="F39" s="6">
        <f>598400+298000</f>
        <v>896400</v>
      </c>
      <c r="G39" s="6"/>
      <c r="H39" s="6"/>
      <c r="I39" s="6"/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1780197</v>
      </c>
    </row>
    <row r="40" spans="1:16" s="21" customFormat="1" ht="62.4" hidden="1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 hidden="1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 hidden="1">
      <c r="A42" s="36"/>
      <c r="B42" s="7"/>
      <c r="C42" s="36"/>
      <c r="D42" s="1" t="s">
        <v>392</v>
      </c>
      <c r="E42" s="8">
        <f t="shared" si="9"/>
        <v>190000</v>
      </c>
      <c r="F42" s="8">
        <v>190000</v>
      </c>
      <c r="G42" s="8"/>
      <c r="H42" s="8"/>
      <c r="I42" s="8"/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880000</v>
      </c>
    </row>
    <row r="43" spans="1:16" s="21" customFormat="1" ht="62.4" hidden="1">
      <c r="A43" s="36"/>
      <c r="B43" s="7"/>
      <c r="C43" s="36"/>
      <c r="D43" s="1" t="s">
        <v>393</v>
      </c>
      <c r="E43" s="8">
        <f t="shared" si="9"/>
        <v>577000</v>
      </c>
      <c r="F43" s="8">
        <v>577000</v>
      </c>
      <c r="G43" s="8"/>
      <c r="H43" s="8"/>
      <c r="I43" s="8"/>
      <c r="J43" s="8">
        <f t="shared" si="6"/>
        <v>0</v>
      </c>
      <c r="K43" s="8"/>
      <c r="L43" s="8"/>
      <c r="M43" s="8"/>
      <c r="N43" s="8"/>
      <c r="O43" s="8"/>
      <c r="P43" s="8">
        <f t="shared" si="0"/>
        <v>577000</v>
      </c>
    </row>
    <row r="44" spans="1:16" s="21" customFormat="1" ht="62.4" hidden="1">
      <c r="A44" s="36"/>
      <c r="B44" s="7"/>
      <c r="C44" s="36"/>
      <c r="D44" s="1" t="s">
        <v>394</v>
      </c>
      <c r="E44" s="8">
        <f t="shared" si="9"/>
        <v>108000</v>
      </c>
      <c r="F44" s="8">
        <v>108000</v>
      </c>
      <c r="G44" s="8"/>
      <c r="H44" s="8"/>
      <c r="I44" s="8"/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 hidden="1">
      <c r="A45" s="36"/>
      <c r="B45" s="7"/>
      <c r="C45" s="36"/>
      <c r="D45" s="1" t="s">
        <v>395</v>
      </c>
      <c r="E45" s="8">
        <f t="shared" si="9"/>
        <v>21400</v>
      </c>
      <c r="F45" s="8">
        <v>21400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96997</v>
      </c>
    </row>
    <row r="46" spans="1:16">
      <c r="A46" s="9" t="s">
        <v>327</v>
      </c>
      <c r="B46" s="33">
        <v>7640</v>
      </c>
      <c r="C46" s="9" t="s">
        <v>329</v>
      </c>
      <c r="D46" s="5" t="s">
        <v>328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356</v>
      </c>
      <c r="B48" s="33">
        <v>8110</v>
      </c>
      <c r="C48" s="9" t="s">
        <v>248</v>
      </c>
      <c r="D48" s="5" t="s">
        <v>249</v>
      </c>
      <c r="E48" s="6">
        <f t="shared" si="5"/>
        <v>91000</v>
      </c>
      <c r="F48" s="6">
        <f>42000+49000</f>
        <v>91000</v>
      </c>
      <c r="G48" s="6"/>
      <c r="H48" s="6"/>
      <c r="I48" s="6"/>
      <c r="J48" s="6">
        <f t="shared" si="6"/>
        <v>0</v>
      </c>
      <c r="K48" s="6"/>
      <c r="L48" s="6"/>
      <c r="M48" s="6"/>
      <c r="N48" s="6"/>
      <c r="O48" s="6"/>
      <c r="P48" s="6">
        <f t="shared" si="0"/>
        <v>91000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21106474</v>
      </c>
      <c r="F49" s="6">
        <f>19446000+1542000-444800+1481200-700000-37299-180627</f>
        <v>21106474</v>
      </c>
      <c r="G49" s="6">
        <f>16649900+1542000+1481200-700000</f>
        <v>18973100</v>
      </c>
      <c r="H49" s="6">
        <f>327000-146497</f>
        <v>180503</v>
      </c>
      <c r="I49" s="6">
        <v>0</v>
      </c>
      <c r="J49" s="6">
        <f t="shared" si="6"/>
        <v>37299</v>
      </c>
      <c r="K49" s="6">
        <v>37299</v>
      </c>
      <c r="L49" s="6">
        <v>0</v>
      </c>
      <c r="M49" s="6">
        <v>0</v>
      </c>
      <c r="N49" s="6">
        <v>0</v>
      </c>
      <c r="O49" s="6">
        <v>37299</v>
      </c>
      <c r="P49" s="6">
        <f t="shared" si="0"/>
        <v>21143773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835530</v>
      </c>
      <c r="F50" s="6">
        <f>637000+33000+116030+49500</f>
        <v>835530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835530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2486500</v>
      </c>
      <c r="F51" s="6">
        <f>1975000+4800+126000+380700</f>
        <v>2486500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2677300</v>
      </c>
    </row>
    <row r="52" spans="1:16" ht="31.2">
      <c r="A52" s="9" t="s">
        <v>321</v>
      </c>
      <c r="B52" s="33">
        <v>8240</v>
      </c>
      <c r="C52" s="9" t="s">
        <v>63</v>
      </c>
      <c r="D52" s="5" t="s">
        <v>272</v>
      </c>
      <c r="E52" s="6">
        <f t="shared" si="5"/>
        <v>1640000</v>
      </c>
      <c r="F52" s="6">
        <f>640000+1000000</f>
        <v>1640000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2916500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31.2">
      <c r="A54" s="9" t="s">
        <v>365</v>
      </c>
      <c r="B54" s="33">
        <v>8775</v>
      </c>
      <c r="C54" s="9" t="s">
        <v>31</v>
      </c>
      <c r="D54" s="5" t="s">
        <v>366</v>
      </c>
      <c r="E54" s="6">
        <f t="shared" si="5"/>
        <v>590000</v>
      </c>
      <c r="F54" s="6">
        <v>590000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590000</v>
      </c>
    </row>
    <row r="55" spans="1:16" ht="46.8">
      <c r="A55" s="2" t="s">
        <v>71</v>
      </c>
      <c r="B55" s="2" t="s">
        <v>18</v>
      </c>
      <c r="C55" s="2" t="s">
        <v>18</v>
      </c>
      <c r="D55" s="3" t="s">
        <v>72</v>
      </c>
      <c r="E55" s="4">
        <f>F55+I55</f>
        <v>422579029.63</v>
      </c>
      <c r="F55" s="4">
        <f>F56</f>
        <v>422513029.63</v>
      </c>
      <c r="G55" s="4">
        <f>G56</f>
        <v>340086079.99000001</v>
      </c>
      <c r="H55" s="4">
        <f>H56</f>
        <v>33689901</v>
      </c>
      <c r="I55" s="4">
        <f>I56</f>
        <v>66000</v>
      </c>
      <c r="J55" s="4">
        <f>L55+O55</f>
        <v>44484900.359999999</v>
      </c>
      <c r="K55" s="4">
        <f>K56</f>
        <v>26451984.359999999</v>
      </c>
      <c r="L55" s="4">
        <f t="shared" ref="L55:O55" si="10">L56</f>
        <v>16500000</v>
      </c>
      <c r="M55" s="4">
        <f t="shared" si="10"/>
        <v>0</v>
      </c>
      <c r="N55" s="4">
        <f t="shared" si="10"/>
        <v>0</v>
      </c>
      <c r="O55" s="4">
        <f t="shared" si="10"/>
        <v>27984900.359999999</v>
      </c>
      <c r="P55" s="4">
        <f t="shared" si="0"/>
        <v>467063929.99000001</v>
      </c>
    </row>
    <row r="56" spans="1:16" ht="46.8">
      <c r="A56" s="2" t="s">
        <v>73</v>
      </c>
      <c r="B56" s="2" t="s">
        <v>18</v>
      </c>
      <c r="C56" s="2" t="s">
        <v>18</v>
      </c>
      <c r="D56" s="3" t="s">
        <v>72</v>
      </c>
      <c r="E56" s="4">
        <f>F56+I56</f>
        <v>422579029.63</v>
      </c>
      <c r="F56" s="4">
        <f>SUM(F57:F87)-F79-F80-F75-F76</f>
        <v>422513029.63</v>
      </c>
      <c r="G56" s="4">
        <f t="shared" ref="G56:K56" si="11">SUM(G57:G87)-G79-G80-G75-G76</f>
        <v>340086079.99000001</v>
      </c>
      <c r="H56" s="4">
        <f t="shared" si="11"/>
        <v>33689901</v>
      </c>
      <c r="I56" s="4">
        <f t="shared" si="11"/>
        <v>66000</v>
      </c>
      <c r="J56" s="4">
        <f>L56+O56</f>
        <v>44484900.359999999</v>
      </c>
      <c r="K56" s="4">
        <f t="shared" si="11"/>
        <v>26451984.359999999</v>
      </c>
      <c r="L56" s="4">
        <f t="shared" ref="L56" si="12">SUM(L57:L87)-L79-L80-L75-L76</f>
        <v>16500000</v>
      </c>
      <c r="M56" s="4">
        <f t="shared" ref="M56" si="13">SUM(M57:M87)-M79-M80-M75-M76</f>
        <v>0</v>
      </c>
      <c r="N56" s="4">
        <f t="shared" ref="N56" si="14">SUM(N57:N87)-N79-N80-N75-N76</f>
        <v>0</v>
      </c>
      <c r="O56" s="4">
        <f t="shared" ref="O56" si="15">SUM(O57:O87)-O79-O80-O75-O76</f>
        <v>27984900.359999999</v>
      </c>
      <c r="P56" s="4">
        <f t="shared" si="0"/>
        <v>467063929.99000001</v>
      </c>
    </row>
    <row r="57" spans="1:16" ht="46.8">
      <c r="A57" s="33" t="s">
        <v>74</v>
      </c>
      <c r="B57" s="33" t="s">
        <v>75</v>
      </c>
      <c r="C57" s="33" t="s">
        <v>23</v>
      </c>
      <c r="D57" s="5" t="s">
        <v>76</v>
      </c>
      <c r="E57" s="6">
        <f>F57+I57</f>
        <v>5115833</v>
      </c>
      <c r="F57" s="6">
        <f>5123700-7867</f>
        <v>5115833</v>
      </c>
      <c r="G57" s="6">
        <v>4656300</v>
      </c>
      <c r="H57" s="6">
        <f>400800-640</f>
        <v>400160</v>
      </c>
      <c r="I57" s="6">
        <v>0</v>
      </c>
      <c r="J57" s="6">
        <f>L57+O57</f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f t="shared" si="0"/>
        <v>5115833</v>
      </c>
    </row>
    <row r="58" spans="1:16" ht="31.2">
      <c r="A58" s="33" t="s">
        <v>77</v>
      </c>
      <c r="B58" s="33" t="s">
        <v>30</v>
      </c>
      <c r="C58" s="33" t="s">
        <v>31</v>
      </c>
      <c r="D58" s="5" t="s">
        <v>32</v>
      </c>
      <c r="E58" s="6">
        <f t="shared" ref="E58:E87" si="16">F58+I58</f>
        <v>54890</v>
      </c>
      <c r="F58" s="6">
        <f>99000-44110</f>
        <v>54890</v>
      </c>
      <c r="G58" s="6">
        <v>0</v>
      </c>
      <c r="H58" s="6">
        <v>0</v>
      </c>
      <c r="I58" s="6">
        <v>0</v>
      </c>
      <c r="J58" s="6">
        <f t="shared" ref="J58:J87" si="17"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54890</v>
      </c>
    </row>
    <row r="59" spans="1:16">
      <c r="A59" s="33" t="s">
        <v>78</v>
      </c>
      <c r="B59" s="33" t="s">
        <v>79</v>
      </c>
      <c r="C59" s="33" t="s">
        <v>80</v>
      </c>
      <c r="D59" s="5" t="s">
        <v>81</v>
      </c>
      <c r="E59" s="6">
        <f t="shared" si="16"/>
        <v>87713508</v>
      </c>
      <c r="F59" s="6">
        <f>108737600-5482940-1541905-371581-1938765-5061596+497415-4000000-3124720</f>
        <v>87713508</v>
      </c>
      <c r="G59" s="6">
        <f>85693100-5482940-656964-5061596-4000000-1200000</f>
        <v>69291600</v>
      </c>
      <c r="H59" s="6">
        <f>12904300-668900-371581-450700</f>
        <v>11413119</v>
      </c>
      <c r="I59" s="6">
        <v>0</v>
      </c>
      <c r="J59" s="6">
        <f t="shared" si="17"/>
        <v>22108713</v>
      </c>
      <c r="K59" s="6">
        <f>3621430+287283+2100000</f>
        <v>6008713</v>
      </c>
      <c r="L59" s="6">
        <v>16100000</v>
      </c>
      <c r="M59" s="6">
        <v>0</v>
      </c>
      <c r="N59" s="6">
        <v>0</v>
      </c>
      <c r="O59" s="6">
        <f>3621430+287283+2100000</f>
        <v>6008713</v>
      </c>
      <c r="P59" s="6">
        <f t="shared" si="0"/>
        <v>109822221</v>
      </c>
    </row>
    <row r="60" spans="1:16" ht="46.8">
      <c r="A60" s="33" t="s">
        <v>82</v>
      </c>
      <c r="B60" s="33" t="s">
        <v>83</v>
      </c>
      <c r="C60" s="33" t="s">
        <v>84</v>
      </c>
      <c r="D60" s="5" t="s">
        <v>85</v>
      </c>
      <c r="E60" s="6">
        <f t="shared" si="16"/>
        <v>83085508</v>
      </c>
      <c r="F60" s="6">
        <f>78349600+15100000-1214067+658273+168737-800000+239800-6273931+431000-3573904</f>
        <v>83085508</v>
      </c>
      <c r="G60" s="6">
        <f>40380000+15100000-6273931-5512084-400000</f>
        <v>43293985</v>
      </c>
      <c r="H60" s="6">
        <f>16403600-644047-540000</f>
        <v>15219553</v>
      </c>
      <c r="I60" s="6">
        <v>0</v>
      </c>
      <c r="J60" s="6">
        <f t="shared" si="17"/>
        <v>4101770</v>
      </c>
      <c r="K60" s="6">
        <f>2254770+1720000-70000</f>
        <v>3904770</v>
      </c>
      <c r="L60" s="6">
        <v>197000</v>
      </c>
      <c r="M60" s="6">
        <v>0</v>
      </c>
      <c r="N60" s="6">
        <v>0</v>
      </c>
      <c r="O60" s="6">
        <f>2254770+1720000-70000</f>
        <v>3904770</v>
      </c>
      <c r="P60" s="6">
        <f t="shared" si="0"/>
        <v>87187278</v>
      </c>
    </row>
    <row r="61" spans="1:16" ht="93.6">
      <c r="A61" s="33" t="s">
        <v>86</v>
      </c>
      <c r="B61" s="33" t="s">
        <v>87</v>
      </c>
      <c r="C61" s="33" t="s">
        <v>88</v>
      </c>
      <c r="D61" s="5" t="s">
        <v>89</v>
      </c>
      <c r="E61" s="6">
        <f t="shared" si="16"/>
        <v>14984050</v>
      </c>
      <c r="F61" s="6">
        <f>14164200+900000-138150+45000+13000</f>
        <v>14984050</v>
      </c>
      <c r="G61" s="6">
        <f>10028000+900000</f>
        <v>10928000</v>
      </c>
      <c r="H61" s="6">
        <f>1929700-9700</f>
        <v>1920000</v>
      </c>
      <c r="I61" s="6">
        <v>0</v>
      </c>
      <c r="J61" s="6">
        <f t="shared" si="17"/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f t="shared" si="0"/>
        <v>14984050</v>
      </c>
    </row>
    <row r="62" spans="1:16" ht="46.8">
      <c r="A62" s="33" t="s">
        <v>90</v>
      </c>
      <c r="B62" s="33" t="s">
        <v>91</v>
      </c>
      <c r="C62" s="33" t="s">
        <v>84</v>
      </c>
      <c r="D62" s="5" t="s">
        <v>92</v>
      </c>
      <c r="E62" s="6">
        <f t="shared" si="16"/>
        <v>146822800</v>
      </c>
      <c r="F62" s="6">
        <v>146822800</v>
      </c>
      <c r="G62" s="6">
        <v>146592900</v>
      </c>
      <c r="H62" s="6">
        <v>0</v>
      </c>
      <c r="I62" s="6">
        <v>0</v>
      </c>
      <c r="J62" s="6">
        <f t="shared" si="17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146822800</v>
      </c>
    </row>
    <row r="63" spans="1:16" ht="93.6">
      <c r="A63" s="33" t="s">
        <v>93</v>
      </c>
      <c r="B63" s="33" t="s">
        <v>94</v>
      </c>
      <c r="C63" s="33" t="s">
        <v>88</v>
      </c>
      <c r="D63" s="5" t="s">
        <v>95</v>
      </c>
      <c r="E63" s="6">
        <f t="shared" si="16"/>
        <v>12600000</v>
      </c>
      <c r="F63" s="6">
        <v>12600000</v>
      </c>
      <c r="G63" s="6">
        <v>12600000</v>
      </c>
      <c r="H63" s="6">
        <v>0</v>
      </c>
      <c r="I63" s="6">
        <v>0</v>
      </c>
      <c r="J63" s="6">
        <f t="shared" si="17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12600000</v>
      </c>
    </row>
    <row r="64" spans="1:16" ht="46.8">
      <c r="A64" s="33" t="s">
        <v>96</v>
      </c>
      <c r="B64" s="33" t="s">
        <v>97</v>
      </c>
      <c r="C64" s="33" t="s">
        <v>98</v>
      </c>
      <c r="D64" s="5" t="s">
        <v>99</v>
      </c>
      <c r="E64" s="6">
        <f t="shared" si="16"/>
        <v>21635302</v>
      </c>
      <c r="F64" s="6">
        <f>22900800-193260-251988-820250</f>
        <v>21635302</v>
      </c>
      <c r="G64" s="6">
        <f>19000000-1000000</f>
        <v>18000000</v>
      </c>
      <c r="H64" s="6">
        <f>1388800-26570+150700</f>
        <v>1512930</v>
      </c>
      <c r="I64" s="6">
        <v>0</v>
      </c>
      <c r="J64" s="6">
        <f t="shared" si="17"/>
        <v>200000</v>
      </c>
      <c r="K64" s="6">
        <v>0</v>
      </c>
      <c r="L64" s="6">
        <v>200000</v>
      </c>
      <c r="M64" s="6">
        <v>0</v>
      </c>
      <c r="N64" s="6">
        <v>0</v>
      </c>
      <c r="O64" s="6">
        <v>0</v>
      </c>
      <c r="P64" s="6">
        <f t="shared" si="0"/>
        <v>21835302</v>
      </c>
    </row>
    <row r="65" spans="1:18" ht="46.8">
      <c r="A65" s="33" t="s">
        <v>100</v>
      </c>
      <c r="B65" s="33" t="s">
        <v>101</v>
      </c>
      <c r="C65" s="33" t="s">
        <v>102</v>
      </c>
      <c r="D65" s="5" t="s">
        <v>103</v>
      </c>
      <c r="E65" s="6">
        <f t="shared" si="16"/>
        <v>30000</v>
      </c>
      <c r="F65" s="6">
        <v>30000</v>
      </c>
      <c r="G65" s="6">
        <v>0</v>
      </c>
      <c r="H65" s="6">
        <v>0</v>
      </c>
      <c r="I65" s="6">
        <v>0</v>
      </c>
      <c r="J65" s="6">
        <f t="shared" si="17"/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f t="shared" si="0"/>
        <v>30000</v>
      </c>
    </row>
    <row r="66" spans="1:18" ht="31.2">
      <c r="A66" s="33" t="s">
        <v>104</v>
      </c>
      <c r="B66" s="33" t="s">
        <v>105</v>
      </c>
      <c r="C66" s="33" t="s">
        <v>106</v>
      </c>
      <c r="D66" s="5" t="s">
        <v>107</v>
      </c>
      <c r="E66" s="6">
        <f t="shared" si="16"/>
        <v>22322853</v>
      </c>
      <c r="F66" s="6">
        <f>20474900-20000+1103382-658273+202844-46000+60000+1140000</f>
        <v>22256853</v>
      </c>
      <c r="G66" s="6">
        <v>17600000</v>
      </c>
      <c r="H66" s="6">
        <f>2136900+259789-160000</f>
        <v>2236689</v>
      </c>
      <c r="I66" s="6">
        <f>20000+46000</f>
        <v>66000</v>
      </c>
      <c r="J66" s="6">
        <f t="shared" si="17"/>
        <v>1203000</v>
      </c>
      <c r="K66" s="6">
        <v>1200000</v>
      </c>
      <c r="L66" s="6">
        <v>3000</v>
      </c>
      <c r="M66" s="6">
        <v>0</v>
      </c>
      <c r="N66" s="6">
        <v>0</v>
      </c>
      <c r="O66" s="6">
        <v>1200000</v>
      </c>
      <c r="P66" s="6">
        <f t="shared" si="0"/>
        <v>23525853</v>
      </c>
    </row>
    <row r="67" spans="1:18" ht="46.8">
      <c r="A67" s="33" t="s">
        <v>108</v>
      </c>
      <c r="B67" s="33" t="s">
        <v>109</v>
      </c>
      <c r="C67" s="33" t="s">
        <v>106</v>
      </c>
      <c r="D67" s="5" t="s">
        <v>110</v>
      </c>
      <c r="E67" s="6">
        <f t="shared" si="16"/>
        <v>622520</v>
      </c>
      <c r="F67" s="6">
        <f>726800-200000-10280+6000+100000</f>
        <v>622520</v>
      </c>
      <c r="G67" s="6">
        <f>393800-200000+18300</f>
        <v>212100</v>
      </c>
      <c r="H67" s="6">
        <f>179000-18630</f>
        <v>160370</v>
      </c>
      <c r="I67" s="6">
        <v>0</v>
      </c>
      <c r="J67" s="6">
        <f t="shared" si="17"/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f t="shared" si="0"/>
        <v>622520</v>
      </c>
    </row>
    <row r="68" spans="1:18" ht="46.8">
      <c r="A68" s="33" t="s">
        <v>111</v>
      </c>
      <c r="B68" s="33" t="s">
        <v>112</v>
      </c>
      <c r="C68" s="33" t="s">
        <v>106</v>
      </c>
      <c r="D68" s="5" t="s">
        <v>113</v>
      </c>
      <c r="E68" s="6">
        <f t="shared" si="16"/>
        <v>2775740</v>
      </c>
      <c r="F68" s="6">
        <v>2775740</v>
      </c>
      <c r="G68" s="6">
        <v>2775740</v>
      </c>
      <c r="H68" s="6">
        <v>0</v>
      </c>
      <c r="I68" s="6">
        <v>0</v>
      </c>
      <c r="J68" s="6">
        <f t="shared" si="17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2775740</v>
      </c>
    </row>
    <row r="69" spans="1:18" ht="124.8">
      <c r="A69" s="9" t="s">
        <v>357</v>
      </c>
      <c r="B69" s="33">
        <v>1154</v>
      </c>
      <c r="C69" s="9" t="s">
        <v>106</v>
      </c>
      <c r="D69" s="5" t="s">
        <v>358</v>
      </c>
      <c r="E69" s="6">
        <f t="shared" si="16"/>
        <v>245454.99</v>
      </c>
      <c r="F69" s="6">
        <v>245454.99</v>
      </c>
      <c r="G69" s="6">
        <v>245454.99</v>
      </c>
      <c r="H69" s="6"/>
      <c r="I69" s="6"/>
      <c r="J69" s="6">
        <f t="shared" si="17"/>
        <v>0</v>
      </c>
      <c r="K69" s="6"/>
      <c r="L69" s="6"/>
      <c r="M69" s="6"/>
      <c r="N69" s="6"/>
      <c r="O69" s="6"/>
      <c r="P69" s="6">
        <f t="shared" si="0"/>
        <v>245454.99</v>
      </c>
    </row>
    <row r="70" spans="1:18" ht="46.8">
      <c r="A70" s="33" t="s">
        <v>114</v>
      </c>
      <c r="B70" s="33" t="s">
        <v>115</v>
      </c>
      <c r="C70" s="33" t="s">
        <v>106</v>
      </c>
      <c r="D70" s="5" t="s">
        <v>116</v>
      </c>
      <c r="E70" s="6">
        <f t="shared" si="16"/>
        <v>4467418</v>
      </c>
      <c r="F70" s="6">
        <f>4471900-4482</f>
        <v>4467418</v>
      </c>
      <c r="G70" s="6">
        <v>4150000</v>
      </c>
      <c r="H70" s="6">
        <f>56900-300</f>
        <v>56600</v>
      </c>
      <c r="I70" s="6">
        <v>0</v>
      </c>
      <c r="J70" s="6">
        <f t="shared" si="17"/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f t="shared" si="0"/>
        <v>4467418</v>
      </c>
    </row>
    <row r="71" spans="1:18" ht="109.2">
      <c r="A71" s="9" t="s">
        <v>396</v>
      </c>
      <c r="B71" s="9" t="s">
        <v>398</v>
      </c>
      <c r="C71" s="9" t="s">
        <v>106</v>
      </c>
      <c r="D71" s="5" t="s">
        <v>400</v>
      </c>
      <c r="E71" s="6">
        <f t="shared" si="16"/>
        <v>0</v>
      </c>
      <c r="F71" s="6"/>
      <c r="G71" s="6"/>
      <c r="H71" s="6"/>
      <c r="I71" s="6"/>
      <c r="J71" s="6">
        <f t="shared" si="17"/>
        <v>1012084</v>
      </c>
      <c r="K71" s="6">
        <v>1012084</v>
      </c>
      <c r="L71" s="6"/>
      <c r="M71" s="6"/>
      <c r="N71" s="6"/>
      <c r="O71" s="6">
        <v>1012084</v>
      </c>
      <c r="P71" s="6">
        <f t="shared" si="0"/>
        <v>1012084</v>
      </c>
    </row>
    <row r="72" spans="1:18" ht="93.6">
      <c r="A72" s="9" t="s">
        <v>397</v>
      </c>
      <c r="B72" s="9" t="s">
        <v>399</v>
      </c>
      <c r="C72" s="9" t="s">
        <v>106</v>
      </c>
      <c r="D72" s="5" t="s">
        <v>401</v>
      </c>
      <c r="E72" s="6">
        <f t="shared" si="16"/>
        <v>0</v>
      </c>
      <c r="F72" s="6"/>
      <c r="G72" s="6"/>
      <c r="H72" s="6"/>
      <c r="I72" s="6"/>
      <c r="J72" s="6">
        <f t="shared" si="17"/>
        <v>2361528</v>
      </c>
      <c r="K72" s="6">
        <v>2361528</v>
      </c>
      <c r="L72" s="6"/>
      <c r="M72" s="6"/>
      <c r="N72" s="6"/>
      <c r="O72" s="6">
        <v>2361528</v>
      </c>
      <c r="P72" s="6">
        <f t="shared" si="0"/>
        <v>2361528</v>
      </c>
    </row>
    <row r="73" spans="1:18" ht="78">
      <c r="A73" s="9" t="s">
        <v>377</v>
      </c>
      <c r="B73" s="33">
        <v>1200</v>
      </c>
      <c r="C73" s="33" t="s">
        <v>106</v>
      </c>
      <c r="D73" s="5" t="s">
        <v>378</v>
      </c>
      <c r="E73" s="6">
        <f t="shared" si="16"/>
        <v>292110</v>
      </c>
      <c r="F73" s="6">
        <f>F75+F76</f>
        <v>292110</v>
      </c>
      <c r="G73" s="6">
        <f>G75+G76</f>
        <v>0</v>
      </c>
      <c r="H73" s="6"/>
      <c r="I73" s="6"/>
      <c r="J73" s="6"/>
      <c r="K73" s="6"/>
      <c r="L73" s="6"/>
      <c r="M73" s="6"/>
      <c r="N73" s="6"/>
      <c r="O73" s="6"/>
      <c r="P73" s="6">
        <f t="shared" si="0"/>
        <v>292110</v>
      </c>
    </row>
    <row r="74" spans="1:18" s="25" customFormat="1">
      <c r="A74" s="22"/>
      <c r="B74" s="22"/>
      <c r="C74" s="22"/>
      <c r="D74" s="23" t="s">
        <v>370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24"/>
      <c r="R74" s="24"/>
    </row>
    <row r="75" spans="1:18" s="29" customFormat="1" ht="78">
      <c r="A75" s="26"/>
      <c r="B75" s="26"/>
      <c r="C75" s="26"/>
      <c r="D75" s="27" t="s">
        <v>371</v>
      </c>
      <c r="E75" s="31">
        <f t="shared" ref="E75:E76" si="18">F75+I75</f>
        <v>179439</v>
      </c>
      <c r="F75" s="31">
        <v>179439</v>
      </c>
      <c r="G75" s="31"/>
      <c r="H75" s="31"/>
      <c r="I75" s="31"/>
      <c r="J75" s="31"/>
      <c r="K75" s="31"/>
      <c r="L75" s="31"/>
      <c r="M75" s="31"/>
      <c r="N75" s="31"/>
      <c r="O75" s="31"/>
      <c r="P75" s="31">
        <f t="shared" ref="P75:P76" si="19">E75+J75</f>
        <v>179439</v>
      </c>
      <c r="Q75" s="28"/>
      <c r="R75" s="28"/>
    </row>
    <row r="76" spans="1:18" s="29" customFormat="1" ht="78">
      <c r="A76" s="26"/>
      <c r="B76" s="26"/>
      <c r="C76" s="26"/>
      <c r="D76" s="27" t="s">
        <v>372</v>
      </c>
      <c r="E76" s="31">
        <f t="shared" si="18"/>
        <v>112671</v>
      </c>
      <c r="F76" s="31">
        <v>112671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si="19"/>
        <v>112671</v>
      </c>
      <c r="Q76" s="28"/>
      <c r="R76" s="28"/>
    </row>
    <row r="77" spans="1:18" s="25" customFormat="1" ht="93.6">
      <c r="A77" s="22" t="s">
        <v>367</v>
      </c>
      <c r="B77" s="22" t="s">
        <v>368</v>
      </c>
      <c r="C77" s="22" t="s">
        <v>106</v>
      </c>
      <c r="D77" s="23" t="s">
        <v>369</v>
      </c>
      <c r="E77" s="30">
        <f>F77+I77</f>
        <v>97284</v>
      </c>
      <c r="F77" s="30">
        <f>F79+F80</f>
        <v>97284</v>
      </c>
      <c r="G77" s="30"/>
      <c r="H77" s="30"/>
      <c r="I77" s="30"/>
      <c r="J77" s="30"/>
      <c r="K77" s="30"/>
      <c r="L77" s="30"/>
      <c r="M77" s="30"/>
      <c r="N77" s="30"/>
      <c r="O77" s="30"/>
      <c r="P77" s="30">
        <f t="shared" ref="P77:P80" si="20">E77+J77</f>
        <v>97284</v>
      </c>
      <c r="Q77" s="24"/>
      <c r="R77" s="24"/>
    </row>
    <row r="78" spans="1:18" s="25" customFormat="1">
      <c r="A78" s="22"/>
      <c r="B78" s="22"/>
      <c r="C78" s="22"/>
      <c r="D78" s="23" t="s">
        <v>370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24"/>
      <c r="R78" s="24"/>
    </row>
    <row r="79" spans="1:18" s="29" customFormat="1" ht="78">
      <c r="A79" s="26"/>
      <c r="B79" s="26"/>
      <c r="C79" s="26"/>
      <c r="D79" s="27" t="s">
        <v>371</v>
      </c>
      <c r="E79" s="31">
        <f t="shared" ref="E79:E80" si="21">F79+I79</f>
        <v>60434</v>
      </c>
      <c r="F79" s="31">
        <v>60434</v>
      </c>
      <c r="G79" s="31"/>
      <c r="H79" s="31"/>
      <c r="I79" s="31"/>
      <c r="J79" s="31"/>
      <c r="K79" s="31"/>
      <c r="L79" s="31"/>
      <c r="M79" s="31"/>
      <c r="N79" s="31"/>
      <c r="O79" s="31"/>
      <c r="P79" s="31">
        <f t="shared" si="20"/>
        <v>60434</v>
      </c>
      <c r="Q79" s="28"/>
      <c r="R79" s="28"/>
    </row>
    <row r="80" spans="1:18" s="29" customFormat="1" ht="78">
      <c r="A80" s="26"/>
      <c r="B80" s="26"/>
      <c r="C80" s="26"/>
      <c r="D80" s="27" t="s">
        <v>372</v>
      </c>
      <c r="E80" s="31">
        <f t="shared" si="21"/>
        <v>36850</v>
      </c>
      <c r="F80" s="31">
        <v>36850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0"/>
        <v>36850</v>
      </c>
      <c r="Q80" s="28"/>
      <c r="R80" s="28"/>
    </row>
    <row r="81" spans="1:16" ht="140.4">
      <c r="A81" s="9" t="s">
        <v>359</v>
      </c>
      <c r="B81" s="33">
        <v>1291</v>
      </c>
      <c r="C81" s="22" t="s">
        <v>106</v>
      </c>
      <c r="D81" s="5" t="s">
        <v>360</v>
      </c>
      <c r="E81" s="32">
        <f t="shared" si="16"/>
        <v>0</v>
      </c>
      <c r="F81" s="32"/>
      <c r="G81" s="32"/>
      <c r="H81" s="32"/>
      <c r="I81" s="32"/>
      <c r="J81" s="32">
        <f t="shared" si="17"/>
        <v>656964</v>
      </c>
      <c r="K81" s="32">
        <v>656964</v>
      </c>
      <c r="L81" s="32"/>
      <c r="M81" s="32"/>
      <c r="N81" s="32"/>
      <c r="O81" s="32">
        <v>656964</v>
      </c>
      <c r="P81" s="32">
        <f t="shared" si="0"/>
        <v>656964</v>
      </c>
    </row>
    <row r="82" spans="1:16" ht="124.8">
      <c r="A82" s="22" t="s">
        <v>350</v>
      </c>
      <c r="B82" s="22" t="s">
        <v>351</v>
      </c>
      <c r="C82" s="22" t="s">
        <v>106</v>
      </c>
      <c r="D82" s="23" t="s">
        <v>352</v>
      </c>
      <c r="E82" s="32">
        <f t="shared" si="16"/>
        <v>0</v>
      </c>
      <c r="F82" s="32"/>
      <c r="G82" s="32"/>
      <c r="H82" s="32"/>
      <c r="I82" s="32"/>
      <c r="J82" s="32">
        <f t="shared" si="17"/>
        <v>1532916</v>
      </c>
      <c r="K82" s="32"/>
      <c r="L82" s="32"/>
      <c r="M82" s="32"/>
      <c r="N82" s="32"/>
      <c r="O82" s="30">
        <v>1532916</v>
      </c>
      <c r="P82" s="32">
        <f t="shared" si="0"/>
        <v>1532916</v>
      </c>
    </row>
    <row r="83" spans="1:16" ht="93.6">
      <c r="A83" s="33" t="s">
        <v>117</v>
      </c>
      <c r="B83" s="33" t="s">
        <v>118</v>
      </c>
      <c r="C83" s="33" t="s">
        <v>119</v>
      </c>
      <c r="D83" s="5" t="s">
        <v>120</v>
      </c>
      <c r="E83" s="6">
        <f t="shared" si="16"/>
        <v>3901780</v>
      </c>
      <c r="F83" s="6">
        <f>3348600-9100+800000-237720</f>
        <v>3901780</v>
      </c>
      <c r="G83" s="6">
        <v>0</v>
      </c>
      <c r="H83" s="6">
        <v>0</v>
      </c>
      <c r="I83" s="6">
        <v>0</v>
      </c>
      <c r="J83" s="6">
        <f t="shared" si="17"/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f t="shared" si="0"/>
        <v>3901780</v>
      </c>
    </row>
    <row r="84" spans="1:16" ht="31.2">
      <c r="A84" s="33" t="s">
        <v>121</v>
      </c>
      <c r="B84" s="33" t="s">
        <v>50</v>
      </c>
      <c r="C84" s="33" t="s">
        <v>51</v>
      </c>
      <c r="D84" s="5" t="s">
        <v>52</v>
      </c>
      <c r="E84" s="6">
        <f t="shared" si="16"/>
        <v>3100000</v>
      </c>
      <c r="F84" s="6">
        <v>3100000</v>
      </c>
      <c r="G84" s="6">
        <v>0</v>
      </c>
      <c r="H84" s="6">
        <v>0</v>
      </c>
      <c r="I84" s="6">
        <v>0</v>
      </c>
      <c r="J84" s="6">
        <f t="shared" si="17"/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f t="shared" si="0"/>
        <v>3100000</v>
      </c>
    </row>
    <row r="85" spans="1:16" ht="46.8">
      <c r="A85" s="33" t="s">
        <v>122</v>
      </c>
      <c r="B85" s="33" t="s">
        <v>123</v>
      </c>
      <c r="C85" s="33" t="s">
        <v>124</v>
      </c>
      <c r="D85" s="5" t="s">
        <v>125</v>
      </c>
      <c r="E85" s="6">
        <f t="shared" si="16"/>
        <v>11785747</v>
      </c>
      <c r="F85" s="6">
        <f>11976800-53053+10000-148000</f>
        <v>11785747</v>
      </c>
      <c r="G85" s="6">
        <f>10100000-360000</f>
        <v>9740000</v>
      </c>
      <c r="H85" s="6">
        <f>771800-1320</f>
        <v>770480</v>
      </c>
      <c r="I85" s="6">
        <v>0</v>
      </c>
      <c r="J85" s="6">
        <f t="shared" si="17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ref="P85:P120" si="22">E85 + J85</f>
        <v>11785747</v>
      </c>
    </row>
    <row r="86" spans="1:16" ht="31.2">
      <c r="A86" s="9" t="s">
        <v>388</v>
      </c>
      <c r="B86" s="33">
        <v>7520</v>
      </c>
      <c r="C86" s="9" t="s">
        <v>387</v>
      </c>
      <c r="D86" s="5" t="s">
        <v>386</v>
      </c>
      <c r="E86" s="6">
        <f t="shared" si="16"/>
        <v>295000</v>
      </c>
      <c r="F86" s="6">
        <v>295000</v>
      </c>
      <c r="G86" s="6"/>
      <c r="H86" s="6"/>
      <c r="I86" s="6"/>
      <c r="J86" s="6">
        <f t="shared" si="17"/>
        <v>205000</v>
      </c>
      <c r="K86" s="6">
        <v>205000</v>
      </c>
      <c r="L86" s="6"/>
      <c r="M86" s="6"/>
      <c r="N86" s="6"/>
      <c r="O86" s="6">
        <v>205000</v>
      </c>
      <c r="P86" s="6">
        <f t="shared" si="22"/>
        <v>500000</v>
      </c>
    </row>
    <row r="87" spans="1:16" ht="46.8">
      <c r="A87" s="9" t="s">
        <v>330</v>
      </c>
      <c r="B87" s="33">
        <v>8110</v>
      </c>
      <c r="C87" s="9" t="s">
        <v>248</v>
      </c>
      <c r="D87" s="5" t="s">
        <v>249</v>
      </c>
      <c r="E87" s="6">
        <f t="shared" si="16"/>
        <v>631231.64</v>
      </c>
      <c r="F87" s="6">
        <f>100000+531231.64</f>
        <v>631231.64</v>
      </c>
      <c r="G87" s="6"/>
      <c r="H87" s="6"/>
      <c r="I87" s="6"/>
      <c r="J87" s="6">
        <f t="shared" si="17"/>
        <v>11102925.359999999</v>
      </c>
      <c r="K87" s="6">
        <f>3000000+689876+1958149.36+7000000-1545100</f>
        <v>11102925.359999999</v>
      </c>
      <c r="L87" s="6"/>
      <c r="M87" s="6"/>
      <c r="N87" s="6"/>
      <c r="O87" s="6">
        <f>3000000+689876+1958149.36+7000000-1545100</f>
        <v>11102925.359999999</v>
      </c>
      <c r="P87" s="6">
        <f t="shared" si="22"/>
        <v>11734157</v>
      </c>
    </row>
    <row r="88" spans="1:16" ht="46.8">
      <c r="A88" s="2" t="s">
        <v>126</v>
      </c>
      <c r="B88" s="2" t="s">
        <v>18</v>
      </c>
      <c r="C88" s="2" t="s">
        <v>18</v>
      </c>
      <c r="D88" s="3" t="s">
        <v>127</v>
      </c>
      <c r="E88" s="4">
        <f>F88+I88</f>
        <v>101250368.06</v>
      </c>
      <c r="F88" s="4">
        <f>F89</f>
        <v>101250368.06</v>
      </c>
      <c r="G88" s="4">
        <f>G89</f>
        <v>41011993.060000002</v>
      </c>
      <c r="H88" s="4">
        <f>H89</f>
        <v>1363500</v>
      </c>
      <c r="I88" s="4">
        <f>I89</f>
        <v>0</v>
      </c>
      <c r="J88" s="4">
        <f>L88+O88</f>
        <v>6660247</v>
      </c>
      <c r="K88" s="4">
        <f>K89</f>
        <v>6603847</v>
      </c>
      <c r="L88" s="4">
        <f t="shared" ref="L88:O88" si="23">L89</f>
        <v>0</v>
      </c>
      <c r="M88" s="4">
        <f t="shared" si="23"/>
        <v>0</v>
      </c>
      <c r="N88" s="4">
        <f t="shared" si="23"/>
        <v>0</v>
      </c>
      <c r="O88" s="4">
        <f t="shared" si="23"/>
        <v>6660247</v>
      </c>
      <c r="P88" s="4">
        <f t="shared" si="22"/>
        <v>107910615.06</v>
      </c>
    </row>
    <row r="89" spans="1:16" ht="46.8">
      <c r="A89" s="2" t="s">
        <v>128</v>
      </c>
      <c r="B89" s="2" t="s">
        <v>18</v>
      </c>
      <c r="C89" s="2" t="s">
        <v>18</v>
      </c>
      <c r="D89" s="3" t="s">
        <v>127</v>
      </c>
      <c r="E89" s="4">
        <f>F89+I89</f>
        <v>101250368.06</v>
      </c>
      <c r="F89" s="4">
        <f>SUM(F90:F107)</f>
        <v>101250368.06</v>
      </c>
      <c r="G89" s="4">
        <f t="shared" ref="G89:K89" si="24">SUM(G90:G107)</f>
        <v>41011993.060000002</v>
      </c>
      <c r="H89" s="4">
        <f t="shared" si="24"/>
        <v>1363500</v>
      </c>
      <c r="I89" s="4">
        <f t="shared" si="24"/>
        <v>0</v>
      </c>
      <c r="J89" s="4">
        <f>L89+O89</f>
        <v>6660247</v>
      </c>
      <c r="K89" s="4">
        <f t="shared" si="24"/>
        <v>6603847</v>
      </c>
      <c r="L89" s="4">
        <f t="shared" ref="L89" si="25">SUM(L90:L107)</f>
        <v>0</v>
      </c>
      <c r="M89" s="4">
        <f t="shared" ref="M89" si="26">SUM(M90:M107)</f>
        <v>0</v>
      </c>
      <c r="N89" s="4">
        <f t="shared" ref="N89" si="27">SUM(N90:N107)</f>
        <v>0</v>
      </c>
      <c r="O89" s="4">
        <f t="shared" ref="O89" si="28">SUM(O90:O107)</f>
        <v>6660247</v>
      </c>
      <c r="P89" s="4">
        <f t="shared" si="22"/>
        <v>107910615.06</v>
      </c>
    </row>
    <row r="90" spans="1:16" ht="46.8">
      <c r="A90" s="33" t="s">
        <v>129</v>
      </c>
      <c r="B90" s="33" t="s">
        <v>75</v>
      </c>
      <c r="C90" s="33" t="s">
        <v>23</v>
      </c>
      <c r="D90" s="5" t="s">
        <v>76</v>
      </c>
      <c r="E90" s="6">
        <f>F90+I90</f>
        <v>17622300</v>
      </c>
      <c r="F90" s="6">
        <f>15522300+600000+1500000</f>
        <v>17622300</v>
      </c>
      <c r="G90" s="6">
        <f>14208400+600000+1500000</f>
        <v>16308400</v>
      </c>
      <c r="H90" s="6">
        <v>770900</v>
      </c>
      <c r="I90" s="6">
        <v>0</v>
      </c>
      <c r="J90" s="6">
        <f>L90+O90</f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f t="shared" si="22"/>
        <v>17622300</v>
      </c>
    </row>
    <row r="91" spans="1:16" ht="31.2">
      <c r="A91" s="33" t="s">
        <v>130</v>
      </c>
      <c r="B91" s="33" t="s">
        <v>30</v>
      </c>
      <c r="C91" s="33" t="s">
        <v>31</v>
      </c>
      <c r="D91" s="5" t="s">
        <v>32</v>
      </c>
      <c r="E91" s="6">
        <f t="shared" ref="E91:E107" si="29">F91+I91</f>
        <v>194110</v>
      </c>
      <c r="F91" s="6">
        <f>149000+99200-54090</f>
        <v>194110</v>
      </c>
      <c r="G91" s="6">
        <v>0</v>
      </c>
      <c r="H91" s="6">
        <v>0</v>
      </c>
      <c r="I91" s="6">
        <v>0</v>
      </c>
      <c r="J91" s="6">
        <f t="shared" ref="J91:J183" si="30">L91+O91</f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f t="shared" si="22"/>
        <v>194110</v>
      </c>
    </row>
    <row r="92" spans="1:16" ht="46.8">
      <c r="A92" s="33" t="s">
        <v>131</v>
      </c>
      <c r="B92" s="33" t="s">
        <v>132</v>
      </c>
      <c r="C92" s="33" t="s">
        <v>133</v>
      </c>
      <c r="D92" s="5" t="s">
        <v>134</v>
      </c>
      <c r="E92" s="6">
        <f t="shared" si="29"/>
        <v>2311000</v>
      </c>
      <c r="F92" s="6">
        <v>2311000</v>
      </c>
      <c r="G92" s="6">
        <v>0</v>
      </c>
      <c r="H92" s="6">
        <v>0</v>
      </c>
      <c r="I92" s="6">
        <v>0</v>
      </c>
      <c r="J92" s="6">
        <f t="shared" si="30"/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2"/>
        <v>2311000</v>
      </c>
    </row>
    <row r="93" spans="1:16" ht="31.2">
      <c r="A93" s="33" t="s">
        <v>135</v>
      </c>
      <c r="B93" s="33" t="s">
        <v>136</v>
      </c>
      <c r="C93" s="33" t="s">
        <v>97</v>
      </c>
      <c r="D93" s="5" t="s">
        <v>137</v>
      </c>
      <c r="E93" s="6">
        <f t="shared" si="29"/>
        <v>11500</v>
      </c>
      <c r="F93" s="6">
        <v>11500</v>
      </c>
      <c r="G93" s="6">
        <v>0</v>
      </c>
      <c r="H93" s="6">
        <v>0</v>
      </c>
      <c r="I93" s="6">
        <v>0</v>
      </c>
      <c r="J93" s="6">
        <f t="shared" si="30"/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2"/>
        <v>11500</v>
      </c>
    </row>
    <row r="94" spans="1:16" ht="46.8">
      <c r="A94" s="33" t="s">
        <v>138</v>
      </c>
      <c r="B94" s="33" t="s">
        <v>139</v>
      </c>
      <c r="C94" s="33" t="s">
        <v>97</v>
      </c>
      <c r="D94" s="5" t="s">
        <v>140</v>
      </c>
      <c r="E94" s="6">
        <f t="shared" si="29"/>
        <v>306529</v>
      </c>
      <c r="F94" s="6">
        <v>306529</v>
      </c>
      <c r="G94" s="6">
        <v>0</v>
      </c>
      <c r="H94" s="6">
        <v>0</v>
      </c>
      <c r="I94" s="6">
        <v>0</v>
      </c>
      <c r="J94" s="6">
        <f t="shared" si="30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2"/>
        <v>306529</v>
      </c>
    </row>
    <row r="95" spans="1:16" ht="46.8">
      <c r="A95" s="33" t="s">
        <v>141</v>
      </c>
      <c r="B95" s="33" t="s">
        <v>142</v>
      </c>
      <c r="C95" s="33" t="s">
        <v>133</v>
      </c>
      <c r="D95" s="5" t="s">
        <v>143</v>
      </c>
      <c r="E95" s="6">
        <f t="shared" si="29"/>
        <v>182216</v>
      </c>
      <c r="F95" s="6">
        <v>182216</v>
      </c>
      <c r="G95" s="6">
        <v>0</v>
      </c>
      <c r="H95" s="6">
        <v>0</v>
      </c>
      <c r="I95" s="6">
        <v>0</v>
      </c>
      <c r="J95" s="6">
        <f t="shared" si="30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2"/>
        <v>182216</v>
      </c>
    </row>
    <row r="96" spans="1:16" ht="78">
      <c r="A96" s="33" t="s">
        <v>144</v>
      </c>
      <c r="B96" s="33" t="s">
        <v>145</v>
      </c>
      <c r="C96" s="33" t="s">
        <v>146</v>
      </c>
      <c r="D96" s="5" t="s">
        <v>147</v>
      </c>
      <c r="E96" s="6">
        <f t="shared" si="29"/>
        <v>18696353.059999999</v>
      </c>
      <c r="F96" s="6">
        <f>19637500-1007040+65893.06</f>
        <v>18696353.059999999</v>
      </c>
      <c r="G96" s="6">
        <f>18509200-1000000+65893.06</f>
        <v>17575093.059999999</v>
      </c>
      <c r="H96" s="6">
        <v>345300</v>
      </c>
      <c r="I96" s="6">
        <v>0</v>
      </c>
      <c r="J96" s="6">
        <f t="shared" si="30"/>
        <v>56400</v>
      </c>
      <c r="K96" s="6">
        <v>0</v>
      </c>
      <c r="L96" s="6">
        <v>0</v>
      </c>
      <c r="M96" s="6">
        <v>0</v>
      </c>
      <c r="N96" s="6">
        <v>0</v>
      </c>
      <c r="O96" s="6">
        <v>56400</v>
      </c>
      <c r="P96" s="6">
        <f t="shared" si="22"/>
        <v>18752753.059999999</v>
      </c>
    </row>
    <row r="97" spans="1:16" ht="31.2">
      <c r="A97" s="33" t="s">
        <v>148</v>
      </c>
      <c r="B97" s="33" t="s">
        <v>149</v>
      </c>
      <c r="C97" s="33" t="s">
        <v>119</v>
      </c>
      <c r="D97" s="5" t="s">
        <v>150</v>
      </c>
      <c r="E97" s="6">
        <f t="shared" si="29"/>
        <v>8373800</v>
      </c>
      <c r="F97" s="6">
        <f>8328600+45200</f>
        <v>8373800</v>
      </c>
      <c r="G97" s="6">
        <v>7128500</v>
      </c>
      <c r="H97" s="6">
        <v>247300</v>
      </c>
      <c r="I97" s="6">
        <v>0</v>
      </c>
      <c r="J97" s="6">
        <f t="shared" si="30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2"/>
        <v>8373800</v>
      </c>
    </row>
    <row r="98" spans="1:16" ht="31.2">
      <c r="A98" s="33" t="s">
        <v>151</v>
      </c>
      <c r="B98" s="33" t="s">
        <v>152</v>
      </c>
      <c r="C98" s="33" t="s">
        <v>119</v>
      </c>
      <c r="D98" s="5" t="s">
        <v>153</v>
      </c>
      <c r="E98" s="6">
        <f t="shared" si="29"/>
        <v>700000</v>
      </c>
      <c r="F98" s="6">
        <v>700000</v>
      </c>
      <c r="G98" s="6">
        <v>0</v>
      </c>
      <c r="H98" s="6">
        <v>0</v>
      </c>
      <c r="I98" s="6">
        <v>0</v>
      </c>
      <c r="J98" s="6">
        <f t="shared" si="30"/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f t="shared" si="22"/>
        <v>700000</v>
      </c>
    </row>
    <row r="99" spans="1:16" ht="109.2">
      <c r="A99" s="33" t="s">
        <v>154</v>
      </c>
      <c r="B99" s="33" t="s">
        <v>155</v>
      </c>
      <c r="C99" s="33" t="s">
        <v>79</v>
      </c>
      <c r="D99" s="5" t="s">
        <v>156</v>
      </c>
      <c r="E99" s="6">
        <f t="shared" si="29"/>
        <v>3300000</v>
      </c>
      <c r="F99" s="6">
        <v>3300000</v>
      </c>
      <c r="G99" s="6">
        <v>0</v>
      </c>
      <c r="H99" s="6">
        <v>0</v>
      </c>
      <c r="I99" s="6">
        <v>0</v>
      </c>
      <c r="J99" s="6">
        <f t="shared" si="30"/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f t="shared" si="22"/>
        <v>3300000</v>
      </c>
    </row>
    <row r="100" spans="1:16" ht="78">
      <c r="A100" s="33" t="s">
        <v>157</v>
      </c>
      <c r="B100" s="33" t="s">
        <v>158</v>
      </c>
      <c r="C100" s="33" t="s">
        <v>79</v>
      </c>
      <c r="D100" s="5" t="s">
        <v>159</v>
      </c>
      <c r="E100" s="6">
        <f t="shared" si="29"/>
        <v>28720</v>
      </c>
      <c r="F100" s="6">
        <v>28720</v>
      </c>
      <c r="G100" s="6">
        <v>0</v>
      </c>
      <c r="H100" s="6">
        <v>0</v>
      </c>
      <c r="I100" s="6">
        <v>0</v>
      </c>
      <c r="J100" s="6">
        <f t="shared" si="30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2"/>
        <v>28720</v>
      </c>
    </row>
    <row r="101" spans="1:16" ht="93.6">
      <c r="A101" s="33" t="s">
        <v>160</v>
      </c>
      <c r="B101" s="33" t="s">
        <v>161</v>
      </c>
      <c r="C101" s="33" t="s">
        <v>162</v>
      </c>
      <c r="D101" s="5" t="s">
        <v>163</v>
      </c>
      <c r="E101" s="6">
        <f t="shared" si="29"/>
        <v>1500000</v>
      </c>
      <c r="F101" s="6">
        <v>1500000</v>
      </c>
      <c r="G101" s="6">
        <v>0</v>
      </c>
      <c r="H101" s="6">
        <v>0</v>
      </c>
      <c r="I101" s="6">
        <v>0</v>
      </c>
      <c r="J101" s="6">
        <f t="shared" si="30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2"/>
        <v>1500000</v>
      </c>
    </row>
    <row r="102" spans="1:16" ht="62.4">
      <c r="A102" s="33" t="s">
        <v>164</v>
      </c>
      <c r="B102" s="33" t="s">
        <v>165</v>
      </c>
      <c r="C102" s="33" t="s">
        <v>133</v>
      </c>
      <c r="D102" s="5" t="s">
        <v>166</v>
      </c>
      <c r="E102" s="6">
        <f t="shared" si="29"/>
        <v>71000</v>
      </c>
      <c r="F102" s="6">
        <v>71000</v>
      </c>
      <c r="G102" s="6">
        <v>0</v>
      </c>
      <c r="H102" s="6">
        <v>0</v>
      </c>
      <c r="I102" s="6">
        <v>0</v>
      </c>
      <c r="J102" s="6">
        <f t="shared" si="30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2"/>
        <v>71000</v>
      </c>
    </row>
    <row r="103" spans="1:16" ht="409.6">
      <c r="A103" s="9" t="s">
        <v>379</v>
      </c>
      <c r="B103" s="33">
        <v>3221</v>
      </c>
      <c r="C103" s="33">
        <v>1060</v>
      </c>
      <c r="D103" s="37" t="s">
        <v>381</v>
      </c>
      <c r="E103" s="6">
        <f t="shared" si="29"/>
        <v>0</v>
      </c>
      <c r="F103" s="6"/>
      <c r="G103" s="6"/>
      <c r="H103" s="6"/>
      <c r="I103" s="6"/>
      <c r="J103" s="6">
        <f t="shared" si="30"/>
        <v>1859158</v>
      </c>
      <c r="K103" s="6">
        <v>1859158</v>
      </c>
      <c r="L103" s="6"/>
      <c r="M103" s="6"/>
      <c r="N103" s="6"/>
      <c r="O103" s="6">
        <v>1859158</v>
      </c>
      <c r="P103" s="6">
        <f t="shared" si="22"/>
        <v>1859158</v>
      </c>
    </row>
    <row r="104" spans="1:16" ht="280.8">
      <c r="A104" s="9" t="s">
        <v>380</v>
      </c>
      <c r="B104" s="33">
        <v>3223</v>
      </c>
      <c r="C104" s="33">
        <v>1060</v>
      </c>
      <c r="D104" s="37" t="s">
        <v>382</v>
      </c>
      <c r="E104" s="6">
        <f t="shared" si="29"/>
        <v>0</v>
      </c>
      <c r="F104" s="6"/>
      <c r="G104" s="6"/>
      <c r="H104" s="6"/>
      <c r="I104" s="6"/>
      <c r="J104" s="6">
        <f t="shared" si="30"/>
        <v>4744689</v>
      </c>
      <c r="K104" s="6">
        <v>4744689</v>
      </c>
      <c r="L104" s="6"/>
      <c r="M104" s="6"/>
      <c r="N104" s="6"/>
      <c r="O104" s="6">
        <v>4744689</v>
      </c>
      <c r="P104" s="6">
        <f t="shared" si="22"/>
        <v>4744689</v>
      </c>
    </row>
    <row r="105" spans="1:16" ht="62.4">
      <c r="A105" s="33" t="s">
        <v>167</v>
      </c>
      <c r="B105" s="33" t="s">
        <v>168</v>
      </c>
      <c r="C105" s="33" t="s">
        <v>97</v>
      </c>
      <c r="D105" s="5" t="s">
        <v>169</v>
      </c>
      <c r="E105" s="6">
        <f t="shared" si="29"/>
        <v>688600</v>
      </c>
      <c r="F105" s="6">
        <v>688600</v>
      </c>
      <c r="G105" s="6">
        <v>0</v>
      </c>
      <c r="H105" s="6">
        <v>0</v>
      </c>
      <c r="I105" s="6">
        <v>0</v>
      </c>
      <c r="J105" s="6">
        <f t="shared" si="30"/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f t="shared" si="22"/>
        <v>688600</v>
      </c>
    </row>
    <row r="106" spans="1:16" ht="31.2">
      <c r="A106" s="33" t="s">
        <v>170</v>
      </c>
      <c r="B106" s="33" t="s">
        <v>50</v>
      </c>
      <c r="C106" s="33" t="s">
        <v>51</v>
      </c>
      <c r="D106" s="5" t="s">
        <v>52</v>
      </c>
      <c r="E106" s="6">
        <f t="shared" si="29"/>
        <v>47184800</v>
      </c>
      <c r="F106" s="6">
        <f>12346800+338100+1000000+33000000+99900+300000+100000</f>
        <v>47184800</v>
      </c>
      <c r="G106" s="6">
        <v>0</v>
      </c>
      <c r="H106" s="6">
        <v>0</v>
      </c>
      <c r="I106" s="6">
        <v>0</v>
      </c>
      <c r="J106" s="6">
        <f t="shared" si="30"/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f t="shared" si="22"/>
        <v>47184800</v>
      </c>
    </row>
    <row r="107" spans="1:16" ht="31.2">
      <c r="A107" s="9" t="s">
        <v>402</v>
      </c>
      <c r="B107" s="9">
        <v>7520</v>
      </c>
      <c r="C107" s="9" t="s">
        <v>387</v>
      </c>
      <c r="D107" s="5" t="s">
        <v>386</v>
      </c>
      <c r="E107" s="6">
        <f t="shared" si="29"/>
        <v>79440</v>
      </c>
      <c r="F107" s="6">
        <v>79440</v>
      </c>
      <c r="G107" s="6"/>
      <c r="H107" s="6"/>
      <c r="I107" s="6"/>
      <c r="J107" s="6">
        <f t="shared" si="30"/>
        <v>0</v>
      </c>
      <c r="K107" s="6"/>
      <c r="L107" s="6"/>
      <c r="M107" s="6"/>
      <c r="N107" s="6"/>
      <c r="O107" s="6"/>
      <c r="P107" s="6">
        <f t="shared" si="22"/>
        <v>79440</v>
      </c>
    </row>
    <row r="108" spans="1:16" ht="46.8">
      <c r="A108" s="2" t="s">
        <v>171</v>
      </c>
      <c r="B108" s="2" t="s">
        <v>18</v>
      </c>
      <c r="C108" s="2" t="s">
        <v>18</v>
      </c>
      <c r="D108" s="3" t="s">
        <v>172</v>
      </c>
      <c r="E108" s="4">
        <f t="shared" ref="E108:E114" si="31">F108+I108</f>
        <v>2821500</v>
      </c>
      <c r="F108" s="4">
        <f>F109</f>
        <v>2821500</v>
      </c>
      <c r="G108" s="4">
        <f>G109</f>
        <v>2505000</v>
      </c>
      <c r="H108" s="4">
        <v>0</v>
      </c>
      <c r="I108" s="4">
        <v>0</v>
      </c>
      <c r="J108" s="4">
        <f t="shared" si="30"/>
        <v>0</v>
      </c>
      <c r="K108" s="4">
        <f>K109</f>
        <v>0</v>
      </c>
      <c r="L108" s="4">
        <f t="shared" ref="L108:O108" si="32">L109</f>
        <v>0</v>
      </c>
      <c r="M108" s="4">
        <f t="shared" si="32"/>
        <v>0</v>
      </c>
      <c r="N108" s="4">
        <f t="shared" si="32"/>
        <v>0</v>
      </c>
      <c r="O108" s="4">
        <f t="shared" si="32"/>
        <v>0</v>
      </c>
      <c r="P108" s="4">
        <f t="shared" si="22"/>
        <v>2821500</v>
      </c>
    </row>
    <row r="109" spans="1:16" ht="46.8">
      <c r="A109" s="2" t="s">
        <v>173</v>
      </c>
      <c r="B109" s="2" t="s">
        <v>18</v>
      </c>
      <c r="C109" s="2" t="s">
        <v>18</v>
      </c>
      <c r="D109" s="3" t="s">
        <v>172</v>
      </c>
      <c r="E109" s="4">
        <f t="shared" si="31"/>
        <v>2821500</v>
      </c>
      <c r="F109" s="4">
        <f>SUM(F110:F111)</f>
        <v>2821500</v>
      </c>
      <c r="G109" s="4">
        <f>SUM(G110:G111)</f>
        <v>2505000</v>
      </c>
      <c r="H109" s="4">
        <f>SUM(H110:H111)</f>
        <v>0</v>
      </c>
      <c r="I109" s="4">
        <f>SUM(I110:I111)</f>
        <v>0</v>
      </c>
      <c r="J109" s="4">
        <f t="shared" si="30"/>
        <v>0</v>
      </c>
      <c r="K109" s="4">
        <f>SUM(K110:K111)</f>
        <v>0</v>
      </c>
      <c r="L109" s="4">
        <f>SUM(L110:L111)</f>
        <v>0</v>
      </c>
      <c r="M109" s="4">
        <f>SUM(M110:M111)</f>
        <v>0</v>
      </c>
      <c r="N109" s="4">
        <f>SUM(N110:N111)</f>
        <v>0</v>
      </c>
      <c r="O109" s="4">
        <f>SUM(O110:O111)</f>
        <v>0</v>
      </c>
      <c r="P109" s="4">
        <f t="shared" si="22"/>
        <v>2821500</v>
      </c>
    </row>
    <row r="110" spans="1:16" ht="46.8">
      <c r="A110" s="33" t="s">
        <v>174</v>
      </c>
      <c r="B110" s="33" t="s">
        <v>75</v>
      </c>
      <c r="C110" s="33" t="s">
        <v>23</v>
      </c>
      <c r="D110" s="5" t="s">
        <v>76</v>
      </c>
      <c r="E110" s="6">
        <f t="shared" si="31"/>
        <v>2616500</v>
      </c>
      <c r="F110" s="6">
        <f>2226500+150000+240000</f>
        <v>2616500</v>
      </c>
      <c r="G110" s="6">
        <f>2115000+150000+240000</f>
        <v>2505000</v>
      </c>
      <c r="H110" s="6">
        <v>0</v>
      </c>
      <c r="I110" s="6">
        <v>0</v>
      </c>
      <c r="J110" s="6">
        <f t="shared" si="30"/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f t="shared" si="22"/>
        <v>2616500</v>
      </c>
    </row>
    <row r="111" spans="1:16" ht="31.2">
      <c r="A111" s="33" t="s">
        <v>175</v>
      </c>
      <c r="B111" s="33" t="s">
        <v>176</v>
      </c>
      <c r="C111" s="33" t="s">
        <v>119</v>
      </c>
      <c r="D111" s="5" t="s">
        <v>177</v>
      </c>
      <c r="E111" s="6">
        <f t="shared" si="31"/>
        <v>205000</v>
      </c>
      <c r="F111" s="6">
        <v>205000</v>
      </c>
      <c r="G111" s="6">
        <v>0</v>
      </c>
      <c r="H111" s="6">
        <v>0</v>
      </c>
      <c r="I111" s="6">
        <v>0</v>
      </c>
      <c r="J111" s="6">
        <f t="shared" si="30"/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f t="shared" si="22"/>
        <v>205000</v>
      </c>
    </row>
    <row r="112" spans="1:16" ht="46.8">
      <c r="A112" s="2" t="s">
        <v>178</v>
      </c>
      <c r="B112" s="2" t="s">
        <v>18</v>
      </c>
      <c r="C112" s="2" t="s">
        <v>18</v>
      </c>
      <c r="D112" s="3" t="s">
        <v>179</v>
      </c>
      <c r="E112" s="4">
        <f t="shared" si="31"/>
        <v>56472110</v>
      </c>
      <c r="F112" s="4">
        <f>F113</f>
        <v>56472110</v>
      </c>
      <c r="G112" s="4">
        <f t="shared" ref="G112:I112" si="33">G113</f>
        <v>50074600</v>
      </c>
      <c r="H112" s="4">
        <f t="shared" si="33"/>
        <v>3196000</v>
      </c>
      <c r="I112" s="4">
        <f t="shared" si="33"/>
        <v>0</v>
      </c>
      <c r="J112" s="4">
        <f t="shared" si="30"/>
        <v>1495000</v>
      </c>
      <c r="K112" s="4">
        <f>K113</f>
        <v>190000</v>
      </c>
      <c r="L112" s="4">
        <f t="shared" ref="L112:O112" si="34">L113</f>
        <v>1105000</v>
      </c>
      <c r="M112" s="4">
        <f t="shared" si="34"/>
        <v>525100</v>
      </c>
      <c r="N112" s="4">
        <f t="shared" si="34"/>
        <v>0</v>
      </c>
      <c r="O112" s="4">
        <f t="shared" si="34"/>
        <v>390000</v>
      </c>
      <c r="P112" s="4">
        <f t="shared" si="22"/>
        <v>57967110</v>
      </c>
    </row>
    <row r="113" spans="1:16" ht="46.8">
      <c r="A113" s="2" t="s">
        <v>180</v>
      </c>
      <c r="B113" s="2" t="s">
        <v>18</v>
      </c>
      <c r="C113" s="2" t="s">
        <v>18</v>
      </c>
      <c r="D113" s="3" t="s">
        <v>179</v>
      </c>
      <c r="E113" s="4">
        <f t="shared" si="31"/>
        <v>56472110</v>
      </c>
      <c r="F113" s="4">
        <f>SUM(F114:F123)</f>
        <v>56472110</v>
      </c>
      <c r="G113" s="4">
        <f t="shared" ref="G113:K113" si="35">SUM(G114:G123)</f>
        <v>50074600</v>
      </c>
      <c r="H113" s="4">
        <f t="shared" si="35"/>
        <v>3196000</v>
      </c>
      <c r="I113" s="4">
        <f t="shared" si="35"/>
        <v>0</v>
      </c>
      <c r="J113" s="4">
        <f t="shared" si="30"/>
        <v>1495000</v>
      </c>
      <c r="K113" s="4">
        <f t="shared" si="35"/>
        <v>190000</v>
      </c>
      <c r="L113" s="4">
        <f t="shared" ref="L113" si="36">SUM(L114:L123)</f>
        <v>1105000</v>
      </c>
      <c r="M113" s="4">
        <f t="shared" ref="M113" si="37">SUM(M114:M123)</f>
        <v>525100</v>
      </c>
      <c r="N113" s="4">
        <f t="shared" ref="N113" si="38">SUM(N114:N123)</f>
        <v>0</v>
      </c>
      <c r="O113" s="4">
        <f t="shared" ref="O113" si="39">SUM(O114:O123)</f>
        <v>390000</v>
      </c>
      <c r="P113" s="4">
        <f t="shared" si="22"/>
        <v>57967110</v>
      </c>
    </row>
    <row r="114" spans="1:16" ht="46.8">
      <c r="A114" s="33" t="s">
        <v>181</v>
      </c>
      <c r="B114" s="33" t="s">
        <v>75</v>
      </c>
      <c r="C114" s="33" t="s">
        <v>23</v>
      </c>
      <c r="D114" s="5" t="s">
        <v>76</v>
      </c>
      <c r="E114" s="6">
        <f t="shared" si="31"/>
        <v>1047100</v>
      </c>
      <c r="F114" s="6">
        <f>912100+95000+40000</f>
        <v>1047100</v>
      </c>
      <c r="G114" s="6">
        <f>884400+95000+40000</f>
        <v>1019400</v>
      </c>
      <c r="H114" s="6">
        <v>0</v>
      </c>
      <c r="I114" s="6">
        <v>0</v>
      </c>
      <c r="J114" s="6">
        <f t="shared" si="30"/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f t="shared" si="22"/>
        <v>1047100</v>
      </c>
    </row>
    <row r="115" spans="1:16" ht="31.2">
      <c r="A115" s="33" t="s">
        <v>182</v>
      </c>
      <c r="B115" s="33" t="s">
        <v>30</v>
      </c>
      <c r="C115" s="33" t="s">
        <v>31</v>
      </c>
      <c r="D115" s="5" t="s">
        <v>32</v>
      </c>
      <c r="E115" s="6">
        <f t="shared" ref="E115:E123" si="40">F115+I115</f>
        <v>94810</v>
      </c>
      <c r="F115" s="6">
        <f>99000-4190</f>
        <v>94810</v>
      </c>
      <c r="G115" s="6">
        <v>0</v>
      </c>
      <c r="H115" s="6">
        <v>0</v>
      </c>
      <c r="I115" s="6">
        <v>0</v>
      </c>
      <c r="J115" s="6">
        <f t="shared" si="30"/>
        <v>0</v>
      </c>
      <c r="K115" s="6">
        <v>0</v>
      </c>
      <c r="L115" s="6"/>
      <c r="M115" s="6"/>
      <c r="N115" s="6"/>
      <c r="O115" s="6"/>
      <c r="P115" s="6">
        <f t="shared" si="22"/>
        <v>94810</v>
      </c>
    </row>
    <row r="116" spans="1:16" ht="31.2">
      <c r="A116" s="33" t="s">
        <v>183</v>
      </c>
      <c r="B116" s="33" t="s">
        <v>184</v>
      </c>
      <c r="C116" s="33" t="s">
        <v>98</v>
      </c>
      <c r="D116" s="5" t="s">
        <v>185</v>
      </c>
      <c r="E116" s="6">
        <f t="shared" si="40"/>
        <v>25524300</v>
      </c>
      <c r="F116" s="6">
        <f>25824300-200000-100000</f>
        <v>25524300</v>
      </c>
      <c r="G116" s="6">
        <f>25065000-200000-100000</f>
        <v>24765000</v>
      </c>
      <c r="H116" s="6">
        <v>636100</v>
      </c>
      <c r="I116" s="6">
        <v>0</v>
      </c>
      <c r="J116" s="6">
        <f t="shared" si="30"/>
        <v>1025000</v>
      </c>
      <c r="K116" s="6">
        <v>0</v>
      </c>
      <c r="L116" s="6">
        <f>1024000-200000+1000</f>
        <v>825000</v>
      </c>
      <c r="M116" s="6">
        <f>405800+89300</f>
        <v>495100</v>
      </c>
      <c r="N116" s="6">
        <v>0</v>
      </c>
      <c r="O116" s="6">
        <v>200000</v>
      </c>
      <c r="P116" s="6">
        <f t="shared" si="22"/>
        <v>26549300</v>
      </c>
    </row>
    <row r="117" spans="1:16" ht="93.6">
      <c r="A117" s="33" t="s">
        <v>186</v>
      </c>
      <c r="B117" s="33" t="s">
        <v>118</v>
      </c>
      <c r="C117" s="33" t="s">
        <v>119</v>
      </c>
      <c r="D117" s="5" t="s">
        <v>120</v>
      </c>
      <c r="E117" s="6">
        <f t="shared" si="40"/>
        <v>150000</v>
      </c>
      <c r="F117" s="6">
        <v>150000</v>
      </c>
      <c r="G117" s="6">
        <v>0</v>
      </c>
      <c r="H117" s="6">
        <v>0</v>
      </c>
      <c r="I117" s="6">
        <v>0</v>
      </c>
      <c r="J117" s="6">
        <f t="shared" si="30"/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f t="shared" si="22"/>
        <v>150000</v>
      </c>
    </row>
    <row r="118" spans="1:16">
      <c r="A118" s="33" t="s">
        <v>187</v>
      </c>
      <c r="B118" s="33" t="s">
        <v>188</v>
      </c>
      <c r="C118" s="33" t="s">
        <v>189</v>
      </c>
      <c r="D118" s="5" t="s">
        <v>190</v>
      </c>
      <c r="E118" s="6">
        <f t="shared" si="40"/>
        <v>9580300</v>
      </c>
      <c r="F118" s="6">
        <f>9730300-150000</f>
        <v>9580300</v>
      </c>
      <c r="G118" s="6">
        <f>8119400-150000</f>
        <v>7969400</v>
      </c>
      <c r="H118" s="6">
        <v>1029700</v>
      </c>
      <c r="I118" s="6">
        <v>0</v>
      </c>
      <c r="J118" s="6">
        <f t="shared" si="30"/>
        <v>80000</v>
      </c>
      <c r="K118" s="6">
        <v>0</v>
      </c>
      <c r="L118" s="6">
        <f>80000</f>
        <v>80000</v>
      </c>
      <c r="M118" s="6">
        <v>0</v>
      </c>
      <c r="N118" s="6">
        <v>0</v>
      </c>
      <c r="O118" s="6">
        <v>0</v>
      </c>
      <c r="P118" s="6">
        <f t="shared" si="22"/>
        <v>9660300</v>
      </c>
    </row>
    <row r="119" spans="1:16" ht="31.2">
      <c r="A119" s="33" t="s">
        <v>191</v>
      </c>
      <c r="B119" s="33" t="s">
        <v>192</v>
      </c>
      <c r="C119" s="33" t="s">
        <v>189</v>
      </c>
      <c r="D119" s="5" t="s">
        <v>193</v>
      </c>
      <c r="E119" s="6">
        <f t="shared" si="40"/>
        <v>4142600</v>
      </c>
      <c r="F119" s="6">
        <f>3612600+200000-50000+200000+180000</f>
        <v>4142600</v>
      </c>
      <c r="G119" s="6">
        <f>2754000-50000</f>
        <v>2704000</v>
      </c>
      <c r="H119" s="6">
        <v>436000</v>
      </c>
      <c r="I119" s="6">
        <v>0</v>
      </c>
      <c r="J119" s="6">
        <f t="shared" si="30"/>
        <v>230000</v>
      </c>
      <c r="K119" s="6">
        <v>190000</v>
      </c>
      <c r="L119" s="6">
        <v>40000</v>
      </c>
      <c r="M119" s="6">
        <v>0</v>
      </c>
      <c r="N119" s="6">
        <v>0</v>
      </c>
      <c r="O119" s="6">
        <v>190000</v>
      </c>
      <c r="P119" s="6">
        <f t="shared" si="22"/>
        <v>4372600</v>
      </c>
    </row>
    <row r="120" spans="1:16" ht="46.8">
      <c r="A120" s="33" t="s">
        <v>194</v>
      </c>
      <c r="B120" s="33" t="s">
        <v>195</v>
      </c>
      <c r="C120" s="33" t="s">
        <v>196</v>
      </c>
      <c r="D120" s="5" t="s">
        <v>197</v>
      </c>
      <c r="E120" s="6">
        <f t="shared" si="40"/>
        <v>12733200</v>
      </c>
      <c r="F120" s="6">
        <f>12911200-178000</f>
        <v>12733200</v>
      </c>
      <c r="G120" s="6">
        <f>11348400-170000</f>
        <v>11178400</v>
      </c>
      <c r="H120" s="6">
        <v>1030900</v>
      </c>
      <c r="I120" s="6">
        <v>0</v>
      </c>
      <c r="J120" s="6">
        <f t="shared" si="30"/>
        <v>160000</v>
      </c>
      <c r="K120" s="6">
        <v>0</v>
      </c>
      <c r="L120" s="6">
        <v>160000</v>
      </c>
      <c r="M120" s="6">
        <f>30000</f>
        <v>30000</v>
      </c>
      <c r="N120" s="6">
        <v>0</v>
      </c>
      <c r="O120" s="6">
        <v>0</v>
      </c>
      <c r="P120" s="6">
        <f t="shared" si="22"/>
        <v>12893200</v>
      </c>
    </row>
    <row r="121" spans="1:16" ht="31.2">
      <c r="A121" s="33" t="s">
        <v>198</v>
      </c>
      <c r="B121" s="33" t="s">
        <v>199</v>
      </c>
      <c r="C121" s="33" t="s">
        <v>200</v>
      </c>
      <c r="D121" s="5" t="s">
        <v>201</v>
      </c>
      <c r="E121" s="6">
        <f t="shared" si="40"/>
        <v>2585800</v>
      </c>
      <c r="F121" s="6">
        <f>2591800-6000</f>
        <v>2585800</v>
      </c>
      <c r="G121" s="6">
        <v>2438400</v>
      </c>
      <c r="H121" s="6">
        <v>63300</v>
      </c>
      <c r="I121" s="6">
        <v>0</v>
      </c>
      <c r="J121" s="6">
        <f t="shared" si="30"/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f t="shared" ref="P121:P179" si="41">E121 + J121</f>
        <v>2585800</v>
      </c>
    </row>
    <row r="122" spans="1:16" ht="31.2">
      <c r="A122" s="33" t="s">
        <v>202</v>
      </c>
      <c r="B122" s="33" t="s">
        <v>203</v>
      </c>
      <c r="C122" s="33" t="s">
        <v>200</v>
      </c>
      <c r="D122" s="5" t="s">
        <v>204</v>
      </c>
      <c r="E122" s="6">
        <f t="shared" si="40"/>
        <v>600000</v>
      </c>
      <c r="F122" s="6">
        <v>600000</v>
      </c>
      <c r="G122" s="6">
        <v>0</v>
      </c>
      <c r="H122" s="6">
        <v>0</v>
      </c>
      <c r="I122" s="6">
        <v>0</v>
      </c>
      <c r="J122" s="6">
        <f t="shared" si="30"/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f t="shared" si="41"/>
        <v>600000</v>
      </c>
    </row>
    <row r="123" spans="1:16" ht="31.2">
      <c r="A123" s="33">
        <v>1017520</v>
      </c>
      <c r="B123" s="33">
        <v>7520</v>
      </c>
      <c r="C123" s="9" t="s">
        <v>387</v>
      </c>
      <c r="D123" s="5" t="s">
        <v>386</v>
      </c>
      <c r="E123" s="6">
        <f t="shared" si="40"/>
        <v>14000</v>
      </c>
      <c r="F123" s="6">
        <v>14000</v>
      </c>
      <c r="G123" s="6"/>
      <c r="H123" s="6"/>
      <c r="I123" s="6"/>
      <c r="J123" s="6">
        <f t="shared" si="30"/>
        <v>0</v>
      </c>
      <c r="K123" s="6"/>
      <c r="L123" s="6"/>
      <c r="M123" s="6"/>
      <c r="N123" s="6"/>
      <c r="O123" s="6"/>
      <c r="P123" s="6">
        <f t="shared" si="41"/>
        <v>14000</v>
      </c>
    </row>
    <row r="124" spans="1:16" ht="46.8">
      <c r="A124" s="2" t="s">
        <v>205</v>
      </c>
      <c r="B124" s="2" t="s">
        <v>18</v>
      </c>
      <c r="C124" s="2" t="s">
        <v>18</v>
      </c>
      <c r="D124" s="3" t="s">
        <v>206</v>
      </c>
      <c r="E124" s="4">
        <f t="shared" ref="E124:E135" si="42">F124+I124</f>
        <v>7357674</v>
      </c>
      <c r="F124" s="4">
        <f>F125</f>
        <v>7357674</v>
      </c>
      <c r="G124" s="4">
        <f t="shared" ref="G124:I124" si="43">G125</f>
        <v>2726100</v>
      </c>
      <c r="H124" s="4">
        <f t="shared" si="43"/>
        <v>58000</v>
      </c>
      <c r="I124" s="4">
        <f t="shared" si="43"/>
        <v>0</v>
      </c>
      <c r="J124" s="4">
        <f t="shared" si="30"/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f t="shared" si="41"/>
        <v>7357674</v>
      </c>
    </row>
    <row r="125" spans="1:16" ht="46.8">
      <c r="A125" s="2" t="s">
        <v>207</v>
      </c>
      <c r="B125" s="2" t="s">
        <v>18</v>
      </c>
      <c r="C125" s="2" t="s">
        <v>18</v>
      </c>
      <c r="D125" s="3" t="s">
        <v>206</v>
      </c>
      <c r="E125" s="4">
        <f t="shared" si="42"/>
        <v>7357674</v>
      </c>
      <c r="F125" s="4">
        <f>SUM(F126:F132)</f>
        <v>7357674</v>
      </c>
      <c r="G125" s="4">
        <f t="shared" ref="G125:K125" si="44">SUM(G126:G132)</f>
        <v>2726100</v>
      </c>
      <c r="H125" s="4">
        <f t="shared" si="44"/>
        <v>58000</v>
      </c>
      <c r="I125" s="4">
        <f t="shared" si="44"/>
        <v>0</v>
      </c>
      <c r="J125" s="4">
        <f t="shared" si="30"/>
        <v>0</v>
      </c>
      <c r="K125" s="4">
        <f t="shared" si="44"/>
        <v>0</v>
      </c>
      <c r="L125" s="4">
        <f t="shared" ref="L125" si="45">SUM(L126:L132)</f>
        <v>0</v>
      </c>
      <c r="M125" s="4">
        <f t="shared" ref="M125" si="46">SUM(M126:M132)</f>
        <v>0</v>
      </c>
      <c r="N125" s="4">
        <f t="shared" ref="N125" si="47">SUM(N126:N132)</f>
        <v>0</v>
      </c>
      <c r="O125" s="4">
        <f t="shared" ref="O125" si="48">SUM(O126:O132)</f>
        <v>0</v>
      </c>
      <c r="P125" s="4">
        <f t="shared" si="41"/>
        <v>7357674</v>
      </c>
    </row>
    <row r="126" spans="1:16" ht="46.8">
      <c r="A126" s="33" t="s">
        <v>208</v>
      </c>
      <c r="B126" s="33" t="s">
        <v>75</v>
      </c>
      <c r="C126" s="33" t="s">
        <v>23</v>
      </c>
      <c r="D126" s="5" t="s">
        <v>76</v>
      </c>
      <c r="E126" s="6">
        <f t="shared" si="42"/>
        <v>2202100</v>
      </c>
      <c r="F126" s="6">
        <f>2042100+30000+130000</f>
        <v>2202100</v>
      </c>
      <c r="G126" s="6">
        <f>1932200+30000+130000</f>
        <v>2092200</v>
      </c>
      <c r="H126" s="6">
        <v>0</v>
      </c>
      <c r="I126" s="6">
        <v>0</v>
      </c>
      <c r="J126" s="6">
        <f t="shared" si="30"/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f t="shared" si="41"/>
        <v>2202100</v>
      </c>
    </row>
    <row r="127" spans="1:16" ht="31.2">
      <c r="A127" s="33" t="s">
        <v>209</v>
      </c>
      <c r="B127" s="33" t="s">
        <v>30</v>
      </c>
      <c r="C127" s="33" t="s">
        <v>31</v>
      </c>
      <c r="D127" s="5" t="s">
        <v>32</v>
      </c>
      <c r="E127" s="6">
        <f t="shared" si="42"/>
        <v>64630</v>
      </c>
      <c r="F127" s="6">
        <f>99000-34370</f>
        <v>64630</v>
      </c>
      <c r="G127" s="6">
        <v>0</v>
      </c>
      <c r="H127" s="6">
        <v>0</v>
      </c>
      <c r="I127" s="6">
        <v>0</v>
      </c>
      <c r="J127" s="6">
        <f t="shared" si="30"/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f t="shared" si="41"/>
        <v>64630</v>
      </c>
    </row>
    <row r="128" spans="1:16" ht="31.2">
      <c r="A128" s="33" t="s">
        <v>210</v>
      </c>
      <c r="B128" s="33" t="s">
        <v>211</v>
      </c>
      <c r="C128" s="33" t="s">
        <v>119</v>
      </c>
      <c r="D128" s="5" t="s">
        <v>212</v>
      </c>
      <c r="E128" s="6">
        <f t="shared" si="42"/>
        <v>1930300</v>
      </c>
      <c r="F128" s="6">
        <f>1880400+99000-49100</f>
        <v>1930300</v>
      </c>
      <c r="G128" s="6">
        <v>633900</v>
      </c>
      <c r="H128" s="6">
        <v>58000</v>
      </c>
      <c r="I128" s="6">
        <v>0</v>
      </c>
      <c r="J128" s="6">
        <f t="shared" si="30"/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f t="shared" si="41"/>
        <v>1930300</v>
      </c>
    </row>
    <row r="129" spans="1:18" ht="46.8">
      <c r="A129" s="33" t="s">
        <v>213</v>
      </c>
      <c r="B129" s="33" t="s">
        <v>214</v>
      </c>
      <c r="C129" s="33" t="s">
        <v>124</v>
      </c>
      <c r="D129" s="5" t="s">
        <v>215</v>
      </c>
      <c r="E129" s="6">
        <f t="shared" si="42"/>
        <v>895000</v>
      </c>
      <c r="F129" s="6">
        <f>950000-55000</f>
        <v>895000</v>
      </c>
      <c r="G129" s="6">
        <v>0</v>
      </c>
      <c r="H129" s="6">
        <v>0</v>
      </c>
      <c r="I129" s="6">
        <v>0</v>
      </c>
      <c r="J129" s="6">
        <f t="shared" si="30"/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f t="shared" si="41"/>
        <v>895000</v>
      </c>
    </row>
    <row r="130" spans="1:18" ht="46.8">
      <c r="A130" s="33" t="s">
        <v>216</v>
      </c>
      <c r="B130" s="33" t="s">
        <v>217</v>
      </c>
      <c r="C130" s="33" t="s">
        <v>124</v>
      </c>
      <c r="D130" s="5" t="s">
        <v>218</v>
      </c>
      <c r="E130" s="6">
        <f t="shared" si="42"/>
        <v>320000</v>
      </c>
      <c r="F130" s="6">
        <v>320000</v>
      </c>
      <c r="G130" s="6">
        <v>0</v>
      </c>
      <c r="H130" s="6">
        <v>0</v>
      </c>
      <c r="I130" s="6">
        <v>0</v>
      </c>
      <c r="J130" s="6">
        <f t="shared" si="30"/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f t="shared" si="41"/>
        <v>320000</v>
      </c>
    </row>
    <row r="131" spans="1:18" s="25" customFormat="1" ht="46.8">
      <c r="A131" s="22" t="s">
        <v>373</v>
      </c>
      <c r="B131" s="22" t="s">
        <v>374</v>
      </c>
      <c r="C131" s="22" t="s">
        <v>124</v>
      </c>
      <c r="D131" s="23" t="s">
        <v>375</v>
      </c>
      <c r="E131" s="30">
        <f>F131+I131</f>
        <v>103944</v>
      </c>
      <c r="F131" s="30">
        <v>103944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>
        <f t="shared" ref="P131" si="49">E131+J131</f>
        <v>103944</v>
      </c>
      <c r="Q131" s="24"/>
      <c r="R131" s="24"/>
    </row>
    <row r="132" spans="1:18" ht="78">
      <c r="A132" s="33" t="s">
        <v>219</v>
      </c>
      <c r="B132" s="33" t="s">
        <v>220</v>
      </c>
      <c r="C132" s="33" t="s">
        <v>124</v>
      </c>
      <c r="D132" s="5" t="s">
        <v>221</v>
      </c>
      <c r="E132" s="6">
        <f t="shared" si="42"/>
        <v>1841700</v>
      </c>
      <c r="F132" s="6">
        <f>1786700+55000</f>
        <v>1841700</v>
      </c>
      <c r="G132" s="6">
        <v>0</v>
      </c>
      <c r="H132" s="6">
        <v>0</v>
      </c>
      <c r="I132" s="6">
        <v>0</v>
      </c>
      <c r="J132" s="6">
        <f t="shared" si="30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1"/>
        <v>1841700</v>
      </c>
    </row>
    <row r="133" spans="1:18" ht="62.4">
      <c r="A133" s="2" t="s">
        <v>222</v>
      </c>
      <c r="B133" s="2" t="s">
        <v>18</v>
      </c>
      <c r="C133" s="2" t="s">
        <v>18</v>
      </c>
      <c r="D133" s="3" t="s">
        <v>223</v>
      </c>
      <c r="E133" s="4">
        <f t="shared" si="42"/>
        <v>156542850</v>
      </c>
      <c r="F133" s="4">
        <f>F134</f>
        <v>51578739</v>
      </c>
      <c r="G133" s="4">
        <f t="shared" ref="G133:I133" si="50">G134</f>
        <v>3722400</v>
      </c>
      <c r="H133" s="4">
        <f t="shared" si="50"/>
        <v>14400</v>
      </c>
      <c r="I133" s="4">
        <f t="shared" si="50"/>
        <v>104964111</v>
      </c>
      <c r="J133" s="4">
        <f t="shared" si="30"/>
        <v>17326221.32</v>
      </c>
      <c r="K133" s="4">
        <f>K134</f>
        <v>16019617</v>
      </c>
      <c r="L133" s="4">
        <f t="shared" ref="L133:O133" si="51">L134</f>
        <v>100000</v>
      </c>
      <c r="M133" s="4">
        <f t="shared" si="51"/>
        <v>0</v>
      </c>
      <c r="N133" s="4">
        <f t="shared" si="51"/>
        <v>0</v>
      </c>
      <c r="O133" s="4">
        <f t="shared" si="51"/>
        <v>17226221.32</v>
      </c>
      <c r="P133" s="4">
        <f t="shared" si="41"/>
        <v>173869071.31999999</v>
      </c>
    </row>
    <row r="134" spans="1:18" ht="62.4">
      <c r="A134" s="2" t="s">
        <v>224</v>
      </c>
      <c r="B134" s="2" t="s">
        <v>18</v>
      </c>
      <c r="C134" s="2" t="s">
        <v>18</v>
      </c>
      <c r="D134" s="3" t="s">
        <v>223</v>
      </c>
      <c r="E134" s="4">
        <f t="shared" si="42"/>
        <v>156542850</v>
      </c>
      <c r="F134" s="4">
        <f>SUM(F135:F157)</f>
        <v>51578739</v>
      </c>
      <c r="G134" s="4">
        <f t="shared" ref="G134:I134" si="52">SUM(G135:G157)</f>
        <v>3722400</v>
      </c>
      <c r="H134" s="4">
        <f t="shared" si="52"/>
        <v>14400</v>
      </c>
      <c r="I134" s="4">
        <f t="shared" si="52"/>
        <v>104964111</v>
      </c>
      <c r="J134" s="4">
        <f t="shared" ref="J134:O134" si="53">SUM(J135:J157)</f>
        <v>17326221.32</v>
      </c>
      <c r="K134" s="4">
        <f t="shared" si="53"/>
        <v>16019617</v>
      </c>
      <c r="L134" s="4">
        <f t="shared" si="53"/>
        <v>100000</v>
      </c>
      <c r="M134" s="4">
        <f t="shared" si="53"/>
        <v>0</v>
      </c>
      <c r="N134" s="4">
        <f t="shared" si="53"/>
        <v>0</v>
      </c>
      <c r="O134" s="4">
        <f t="shared" si="53"/>
        <v>17226221.32</v>
      </c>
      <c r="P134" s="4">
        <f>E134 + J134</f>
        <v>173869071.31999999</v>
      </c>
    </row>
    <row r="135" spans="1:18" ht="46.8">
      <c r="A135" s="33" t="s">
        <v>225</v>
      </c>
      <c r="B135" s="33" t="s">
        <v>75</v>
      </c>
      <c r="C135" s="33" t="s">
        <v>23</v>
      </c>
      <c r="D135" s="5" t="s">
        <v>76</v>
      </c>
      <c r="E135" s="6">
        <f t="shared" si="42"/>
        <v>4206808</v>
      </c>
      <c r="F135" s="6">
        <f>3829700+465200-88092</f>
        <v>4206808</v>
      </c>
      <c r="G135" s="6">
        <f>3502400+220000</f>
        <v>3722400</v>
      </c>
      <c r="H135" s="6">
        <v>14400</v>
      </c>
      <c r="I135" s="6">
        <v>0</v>
      </c>
      <c r="J135" s="6">
        <f t="shared" si="30"/>
        <v>0</v>
      </c>
      <c r="K135" s="6">
        <f>36000-36000</f>
        <v>0</v>
      </c>
      <c r="L135" s="6">
        <v>0</v>
      </c>
      <c r="M135" s="6">
        <v>0</v>
      </c>
      <c r="N135" s="6">
        <v>0</v>
      </c>
      <c r="O135" s="6">
        <f>36000-36000</f>
        <v>0</v>
      </c>
      <c r="P135" s="6">
        <f t="shared" si="41"/>
        <v>4206808</v>
      </c>
    </row>
    <row r="136" spans="1:18" ht="46.8">
      <c r="A136" s="33" t="s">
        <v>226</v>
      </c>
      <c r="B136" s="33" t="s">
        <v>26</v>
      </c>
      <c r="C136" s="33" t="s">
        <v>27</v>
      </c>
      <c r="D136" s="5" t="s">
        <v>28</v>
      </c>
      <c r="E136" s="6">
        <f t="shared" ref="E136:E157" si="54">F136+I136</f>
        <v>25000</v>
      </c>
      <c r="F136" s="6">
        <v>25000</v>
      </c>
      <c r="G136" s="6">
        <v>0</v>
      </c>
      <c r="H136" s="6">
        <v>0</v>
      </c>
      <c r="I136" s="6">
        <v>0</v>
      </c>
      <c r="J136" s="6">
        <f t="shared" si="30"/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f t="shared" si="41"/>
        <v>25000</v>
      </c>
    </row>
    <row r="137" spans="1:18" ht="31.2">
      <c r="A137" s="33" t="s">
        <v>227</v>
      </c>
      <c r="B137" s="33" t="s">
        <v>30</v>
      </c>
      <c r="C137" s="33" t="s">
        <v>31</v>
      </c>
      <c r="D137" s="5" t="s">
        <v>32</v>
      </c>
      <c r="E137" s="6">
        <f t="shared" si="54"/>
        <v>49900</v>
      </c>
      <c r="F137" s="6">
        <f>99000-49100</f>
        <v>49900</v>
      </c>
      <c r="G137" s="6">
        <v>0</v>
      </c>
      <c r="H137" s="6">
        <v>0</v>
      </c>
      <c r="I137" s="6">
        <v>0</v>
      </c>
      <c r="J137" s="6">
        <f t="shared" si="30"/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f t="shared" si="41"/>
        <v>49900</v>
      </c>
    </row>
    <row r="138" spans="1:18" ht="31.2">
      <c r="A138" s="33" t="s">
        <v>228</v>
      </c>
      <c r="B138" s="33" t="s">
        <v>229</v>
      </c>
      <c r="C138" s="33" t="s">
        <v>230</v>
      </c>
      <c r="D138" s="5" t="s">
        <v>231</v>
      </c>
      <c r="E138" s="6">
        <f t="shared" si="54"/>
        <v>30000</v>
      </c>
      <c r="F138" s="6">
        <v>30000</v>
      </c>
      <c r="G138" s="6">
        <v>0</v>
      </c>
      <c r="H138" s="6">
        <v>0</v>
      </c>
      <c r="I138" s="6">
        <v>0</v>
      </c>
      <c r="J138" s="6">
        <f t="shared" si="30"/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f t="shared" si="41"/>
        <v>30000</v>
      </c>
    </row>
    <row r="139" spans="1:18" ht="31.2">
      <c r="A139" s="33">
        <v>1216011</v>
      </c>
      <c r="B139" s="33">
        <v>6011</v>
      </c>
      <c r="C139" s="9" t="s">
        <v>290</v>
      </c>
      <c r="D139" s="5" t="s">
        <v>289</v>
      </c>
      <c r="E139" s="6">
        <f t="shared" si="54"/>
        <v>319069</v>
      </c>
      <c r="F139" s="6"/>
      <c r="G139" s="6"/>
      <c r="H139" s="6"/>
      <c r="I139" s="6">
        <v>319069</v>
      </c>
      <c r="J139" s="6">
        <f t="shared" si="30"/>
        <v>5393826</v>
      </c>
      <c r="K139" s="6">
        <f>4029487+202339+1162000</f>
        <v>5393826</v>
      </c>
      <c r="L139" s="6"/>
      <c r="M139" s="6"/>
      <c r="N139" s="6"/>
      <c r="O139" s="6">
        <f>4029487+202339+1162000</f>
        <v>5393826</v>
      </c>
      <c r="P139" s="6">
        <f t="shared" si="41"/>
        <v>5712895</v>
      </c>
    </row>
    <row r="140" spans="1:18" ht="31.2">
      <c r="A140" s="33">
        <v>1216013</v>
      </c>
      <c r="B140" s="33">
        <v>6013</v>
      </c>
      <c r="C140" s="9" t="s">
        <v>55</v>
      </c>
      <c r="D140" s="5" t="s">
        <v>333</v>
      </c>
      <c r="E140" s="6">
        <f t="shared" si="54"/>
        <v>59940</v>
      </c>
      <c r="F140" s="6"/>
      <c r="G140" s="6"/>
      <c r="H140" s="6"/>
      <c r="I140" s="6">
        <v>59940</v>
      </c>
      <c r="J140" s="6">
        <f t="shared" si="30"/>
        <v>1244281</v>
      </c>
      <c r="K140" s="6">
        <v>1244281</v>
      </c>
      <c r="L140" s="6"/>
      <c r="M140" s="6"/>
      <c r="N140" s="6"/>
      <c r="O140" s="6">
        <v>1244281</v>
      </c>
      <c r="P140" s="6">
        <f t="shared" si="41"/>
        <v>1304221</v>
      </c>
    </row>
    <row r="141" spans="1:18" ht="31.2">
      <c r="A141" s="33" t="s">
        <v>232</v>
      </c>
      <c r="B141" s="33" t="s">
        <v>233</v>
      </c>
      <c r="C141" s="33" t="s">
        <v>55</v>
      </c>
      <c r="D141" s="5" t="s">
        <v>234</v>
      </c>
      <c r="E141" s="6">
        <f t="shared" si="54"/>
        <v>300000</v>
      </c>
      <c r="F141" s="6">
        <v>0</v>
      </c>
      <c r="G141" s="6">
        <v>0</v>
      </c>
      <c r="H141" s="6">
        <v>0</v>
      </c>
      <c r="I141" s="6">
        <v>300000</v>
      </c>
      <c r="J141" s="6">
        <f t="shared" si="30"/>
        <v>1980702</v>
      </c>
      <c r="K141" s="6">
        <f>495000+1485702</f>
        <v>1980702</v>
      </c>
      <c r="L141" s="6">
        <v>0</v>
      </c>
      <c r="M141" s="6">
        <v>0</v>
      </c>
      <c r="N141" s="6">
        <v>0</v>
      </c>
      <c r="O141" s="6">
        <f>495000+1485702</f>
        <v>1980702</v>
      </c>
      <c r="P141" s="6">
        <f t="shared" si="41"/>
        <v>2280702</v>
      </c>
    </row>
    <row r="142" spans="1:18" ht="46.8">
      <c r="A142" s="33" t="s">
        <v>235</v>
      </c>
      <c r="B142" s="33" t="s">
        <v>236</v>
      </c>
      <c r="C142" s="33" t="s">
        <v>55</v>
      </c>
      <c r="D142" s="5" t="s">
        <v>237</v>
      </c>
      <c r="E142" s="6">
        <f t="shared" si="54"/>
        <v>1493000</v>
      </c>
      <c r="F142" s="6">
        <v>0</v>
      </c>
      <c r="G142" s="6">
        <v>0</v>
      </c>
      <c r="H142" s="6">
        <v>0</v>
      </c>
      <c r="I142" s="6">
        <v>1493000</v>
      </c>
      <c r="J142" s="6">
        <f t="shared" si="30"/>
        <v>1200000</v>
      </c>
      <c r="K142" s="6">
        <v>1200000</v>
      </c>
      <c r="L142" s="6">
        <v>0</v>
      </c>
      <c r="M142" s="6">
        <v>0</v>
      </c>
      <c r="N142" s="6">
        <v>0</v>
      </c>
      <c r="O142" s="6">
        <v>1200000</v>
      </c>
      <c r="P142" s="6">
        <f t="shared" si="41"/>
        <v>2693000</v>
      </c>
    </row>
    <row r="143" spans="1:18" ht="62.4">
      <c r="A143" s="33">
        <v>1216020</v>
      </c>
      <c r="B143" s="33">
        <v>6020</v>
      </c>
      <c r="C143" s="33" t="s">
        <v>55</v>
      </c>
      <c r="D143" s="5" t="s">
        <v>403</v>
      </c>
      <c r="E143" s="6">
        <f t="shared" si="54"/>
        <v>0</v>
      </c>
      <c r="F143" s="6"/>
      <c r="G143" s="6"/>
      <c r="H143" s="6"/>
      <c r="I143" s="6"/>
      <c r="J143" s="6">
        <f t="shared" si="30"/>
        <v>126980</v>
      </c>
      <c r="K143" s="6">
        <v>126980</v>
      </c>
      <c r="L143" s="6"/>
      <c r="M143" s="6"/>
      <c r="N143" s="6"/>
      <c r="O143" s="6">
        <v>126980</v>
      </c>
      <c r="P143" s="6">
        <f t="shared" si="41"/>
        <v>126980</v>
      </c>
    </row>
    <row r="144" spans="1:18" ht="31.2">
      <c r="A144" s="33" t="s">
        <v>238</v>
      </c>
      <c r="B144" s="33" t="s">
        <v>54</v>
      </c>
      <c r="C144" s="33" t="s">
        <v>55</v>
      </c>
      <c r="D144" s="5" t="s">
        <v>56</v>
      </c>
      <c r="E144" s="6">
        <f>F144+I144</f>
        <v>73731000</v>
      </c>
      <c r="F144" s="6">
        <f>19865000+465200+345000-50000-465200-900000-90000-515000</f>
        <v>18655000</v>
      </c>
      <c r="G144" s="6">
        <v>0</v>
      </c>
      <c r="H144" s="6">
        <v>0</v>
      </c>
      <c r="I144" s="6">
        <f>54195000-345000+30000-55000+550000+300000+401000</f>
        <v>55076000</v>
      </c>
      <c r="J144" s="6">
        <f t="shared" si="30"/>
        <v>839500</v>
      </c>
      <c r="K144" s="6">
        <f>875500-36000+550000-550000</f>
        <v>839500</v>
      </c>
      <c r="L144" s="6">
        <v>0</v>
      </c>
      <c r="M144" s="6">
        <v>0</v>
      </c>
      <c r="N144" s="6">
        <v>0</v>
      </c>
      <c r="O144" s="6">
        <f>875500-36000+550000-550000</f>
        <v>839500</v>
      </c>
      <c r="P144" s="6">
        <f t="shared" si="41"/>
        <v>74570500</v>
      </c>
    </row>
    <row r="145" spans="1:16">
      <c r="A145" s="33">
        <v>1217130</v>
      </c>
      <c r="B145" s="33">
        <v>7130</v>
      </c>
      <c r="C145" s="9" t="s">
        <v>263</v>
      </c>
      <c r="D145" s="5" t="s">
        <v>264</v>
      </c>
      <c r="E145" s="6">
        <f>F145+I145</f>
        <v>55000</v>
      </c>
      <c r="F145" s="6"/>
      <c r="G145" s="6"/>
      <c r="H145" s="6"/>
      <c r="I145" s="6">
        <v>55000</v>
      </c>
      <c r="J145" s="6">
        <f t="shared" si="30"/>
        <v>0</v>
      </c>
      <c r="K145" s="6"/>
      <c r="L145" s="6"/>
      <c r="M145" s="6"/>
      <c r="N145" s="6"/>
      <c r="O145" s="6"/>
      <c r="P145" s="6">
        <f t="shared" si="41"/>
        <v>55000</v>
      </c>
    </row>
    <row r="146" spans="1:16" ht="46.8">
      <c r="A146" s="33" t="s">
        <v>239</v>
      </c>
      <c r="B146" s="33" t="s">
        <v>240</v>
      </c>
      <c r="C146" s="33" t="s">
        <v>241</v>
      </c>
      <c r="D146" s="5" t="s">
        <v>242</v>
      </c>
      <c r="E146" s="6">
        <f t="shared" si="54"/>
        <v>25700000</v>
      </c>
      <c r="F146" s="6">
        <v>25700000</v>
      </c>
      <c r="G146" s="6">
        <v>0</v>
      </c>
      <c r="H146" s="6">
        <v>0</v>
      </c>
      <c r="I146" s="6">
        <v>0</v>
      </c>
      <c r="J146" s="6">
        <f t="shared" si="30"/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f t="shared" si="41"/>
        <v>25700000</v>
      </c>
    </row>
    <row r="147" spans="1:16" ht="31.2">
      <c r="A147" s="33">
        <v>1217520</v>
      </c>
      <c r="B147" s="33">
        <v>7520</v>
      </c>
      <c r="C147" s="9" t="s">
        <v>387</v>
      </c>
      <c r="D147" s="5" t="s">
        <v>386</v>
      </c>
      <c r="E147" s="6">
        <f t="shared" si="54"/>
        <v>190900</v>
      </c>
      <c r="F147" s="6">
        <v>190900</v>
      </c>
      <c r="G147" s="6"/>
      <c r="H147" s="6"/>
      <c r="I147" s="6"/>
      <c r="J147" s="6">
        <f t="shared" si="30"/>
        <v>36000</v>
      </c>
      <c r="K147" s="6">
        <v>36000</v>
      </c>
      <c r="L147" s="6"/>
      <c r="M147" s="6"/>
      <c r="N147" s="6"/>
      <c r="O147" s="6">
        <v>36000</v>
      </c>
      <c r="P147" s="6">
        <f t="shared" si="41"/>
        <v>226900</v>
      </c>
    </row>
    <row r="148" spans="1:16" ht="31.2">
      <c r="A148" s="33">
        <v>1217670</v>
      </c>
      <c r="B148" s="33">
        <v>7670</v>
      </c>
      <c r="C148" s="9" t="s">
        <v>59</v>
      </c>
      <c r="D148" s="5" t="s">
        <v>404</v>
      </c>
      <c r="E148" s="6">
        <f t="shared" si="54"/>
        <v>0</v>
      </c>
      <c r="F148" s="6"/>
      <c r="G148" s="6"/>
      <c r="H148" s="6"/>
      <c r="I148" s="6"/>
      <c r="J148" s="6">
        <f t="shared" si="30"/>
        <v>2170700</v>
      </c>
      <c r="K148" s="6">
        <v>2170700</v>
      </c>
      <c r="L148" s="6"/>
      <c r="M148" s="6"/>
      <c r="N148" s="6"/>
      <c r="O148" s="6">
        <v>2170700</v>
      </c>
      <c r="P148" s="6">
        <f t="shared" si="41"/>
        <v>2170700</v>
      </c>
    </row>
    <row r="149" spans="1:16" ht="140.4">
      <c r="A149" s="33">
        <v>1217691</v>
      </c>
      <c r="B149" s="33">
        <v>7691</v>
      </c>
      <c r="C149" s="9" t="s">
        <v>59</v>
      </c>
      <c r="D149" s="5" t="s">
        <v>331</v>
      </c>
      <c r="E149" s="6">
        <f t="shared" si="54"/>
        <v>0</v>
      </c>
      <c r="F149" s="6"/>
      <c r="G149" s="6"/>
      <c r="H149" s="6"/>
      <c r="I149" s="6"/>
      <c r="J149" s="6">
        <f t="shared" si="30"/>
        <v>635802.88</v>
      </c>
      <c r="K149" s="6"/>
      <c r="L149" s="6"/>
      <c r="M149" s="6"/>
      <c r="N149" s="6"/>
      <c r="O149" s="6">
        <f>393146+187656.88+55000</f>
        <v>635802.88</v>
      </c>
      <c r="P149" s="6">
        <f t="shared" si="41"/>
        <v>635802.88</v>
      </c>
    </row>
    <row r="150" spans="1:16" ht="31.2">
      <c r="A150" s="33" t="s">
        <v>243</v>
      </c>
      <c r="B150" s="33" t="s">
        <v>244</v>
      </c>
      <c r="C150" s="33" t="s">
        <v>59</v>
      </c>
      <c r="D150" s="5" t="s">
        <v>245</v>
      </c>
      <c r="E150" s="6">
        <f t="shared" si="54"/>
        <v>47661102</v>
      </c>
      <c r="F150" s="6">
        <v>0</v>
      </c>
      <c r="G150" s="6">
        <v>0</v>
      </c>
      <c r="H150" s="6">
        <v>0</v>
      </c>
      <c r="I150" s="6">
        <f>31215000+3554300+1350000+8000000+51802+3490000</f>
        <v>47661102</v>
      </c>
      <c r="J150" s="6">
        <f t="shared" si="30"/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f t="shared" si="41"/>
        <v>47661102</v>
      </c>
    </row>
    <row r="151" spans="1:16" ht="62.4">
      <c r="A151" s="33">
        <v>1217700</v>
      </c>
      <c r="B151" s="33">
        <v>7700</v>
      </c>
      <c r="C151" s="9" t="s">
        <v>31</v>
      </c>
      <c r="D151" s="5" t="s">
        <v>361</v>
      </c>
      <c r="E151" s="6">
        <f t="shared" si="54"/>
        <v>0</v>
      </c>
      <c r="F151" s="6"/>
      <c r="G151" s="6"/>
      <c r="H151" s="6"/>
      <c r="I151" s="6"/>
      <c r="J151" s="6">
        <f t="shared" si="30"/>
        <v>420801.44</v>
      </c>
      <c r="K151" s="6"/>
      <c r="L151" s="6"/>
      <c r="M151" s="6"/>
      <c r="N151" s="6"/>
      <c r="O151" s="6">
        <v>420801.44</v>
      </c>
      <c r="P151" s="6">
        <f t="shared" si="41"/>
        <v>420801.44</v>
      </c>
    </row>
    <row r="152" spans="1:16" ht="46.8">
      <c r="A152" s="33" t="s">
        <v>246</v>
      </c>
      <c r="B152" s="33" t="s">
        <v>247</v>
      </c>
      <c r="C152" s="33" t="s">
        <v>248</v>
      </c>
      <c r="D152" s="5" t="s">
        <v>249</v>
      </c>
      <c r="E152" s="6">
        <f t="shared" si="54"/>
        <v>2402231</v>
      </c>
      <c r="F152" s="6">
        <f>835000+552900+58341+62000+500000+63990+330000</f>
        <v>2402231</v>
      </c>
      <c r="G152" s="6">
        <v>0</v>
      </c>
      <c r="H152" s="6">
        <v>0</v>
      </c>
      <c r="I152" s="6">
        <v>0</v>
      </c>
      <c r="J152" s="6">
        <f t="shared" si="30"/>
        <v>1853000</v>
      </c>
      <c r="K152" s="6">
        <f>150000+2213000-1200000+690000</f>
        <v>1853000</v>
      </c>
      <c r="L152" s="6">
        <v>0</v>
      </c>
      <c r="M152" s="6">
        <v>0</v>
      </c>
      <c r="N152" s="6">
        <v>0</v>
      </c>
      <c r="O152" s="6">
        <f>150000+2213000-1200000+690000</f>
        <v>1853000</v>
      </c>
      <c r="P152" s="6">
        <f t="shared" si="41"/>
        <v>4255231</v>
      </c>
    </row>
    <row r="153" spans="1:16" ht="31.2">
      <c r="A153" s="9" t="s">
        <v>323</v>
      </c>
      <c r="B153" s="33">
        <v>8240</v>
      </c>
      <c r="C153" s="9" t="s">
        <v>63</v>
      </c>
      <c r="D153" s="5" t="s">
        <v>272</v>
      </c>
      <c r="E153" s="6">
        <f t="shared" si="54"/>
        <v>12700</v>
      </c>
      <c r="F153" s="6">
        <v>12700</v>
      </c>
      <c r="G153" s="6"/>
      <c r="H153" s="6"/>
      <c r="I153" s="6"/>
      <c r="J153" s="6"/>
      <c r="K153" s="6"/>
      <c r="L153" s="6"/>
      <c r="M153" s="6"/>
      <c r="N153" s="6"/>
      <c r="O153" s="6"/>
      <c r="P153" s="6">
        <f t="shared" si="41"/>
        <v>12700</v>
      </c>
    </row>
    <row r="154" spans="1:16" ht="31.2">
      <c r="A154" s="9" t="s">
        <v>294</v>
      </c>
      <c r="B154" s="33">
        <v>8340</v>
      </c>
      <c r="C154" s="33" t="s">
        <v>286</v>
      </c>
      <c r="D154" s="5" t="s">
        <v>287</v>
      </c>
      <c r="E154" s="6">
        <f t="shared" si="54"/>
        <v>0</v>
      </c>
      <c r="F154" s="6"/>
      <c r="G154" s="6"/>
      <c r="H154" s="6"/>
      <c r="I154" s="6"/>
      <c r="J154" s="6">
        <f t="shared" si="30"/>
        <v>250000</v>
      </c>
      <c r="K154" s="6"/>
      <c r="L154" s="6">
        <v>100000</v>
      </c>
      <c r="M154" s="6"/>
      <c r="N154" s="6"/>
      <c r="O154" s="6">
        <v>150000</v>
      </c>
      <c r="P154" s="6">
        <f t="shared" si="41"/>
        <v>250000</v>
      </c>
    </row>
    <row r="155" spans="1:16" ht="78">
      <c r="A155" s="9" t="s">
        <v>389</v>
      </c>
      <c r="B155" s="33">
        <v>8733</v>
      </c>
      <c r="C155" s="9" t="s">
        <v>241</v>
      </c>
      <c r="D155" s="5" t="s">
        <v>390</v>
      </c>
      <c r="E155" s="6">
        <f t="shared" si="54"/>
        <v>197200</v>
      </c>
      <c r="F155" s="6">
        <v>197200</v>
      </c>
      <c r="G155" s="6"/>
      <c r="H155" s="6"/>
      <c r="I155" s="6"/>
      <c r="J155" s="6">
        <f t="shared" si="30"/>
        <v>500000</v>
      </c>
      <c r="K155" s="6">
        <f>500000</f>
        <v>500000</v>
      </c>
      <c r="L155" s="6"/>
      <c r="M155" s="6"/>
      <c r="N155" s="6"/>
      <c r="O155" s="6">
        <f>500000</f>
        <v>500000</v>
      </c>
      <c r="P155" s="6">
        <f t="shared" si="41"/>
        <v>697200</v>
      </c>
    </row>
    <row r="156" spans="1:16" ht="93.6">
      <c r="A156" s="9" t="s">
        <v>405</v>
      </c>
      <c r="B156" s="33">
        <v>8746</v>
      </c>
      <c r="C156" s="9" t="s">
        <v>407</v>
      </c>
      <c r="D156" s="5" t="s">
        <v>406</v>
      </c>
      <c r="E156" s="6">
        <f t="shared" si="54"/>
        <v>109000</v>
      </c>
      <c r="F156" s="6">
        <v>109000</v>
      </c>
      <c r="G156" s="6"/>
      <c r="H156" s="6"/>
      <c r="I156" s="6"/>
      <c r="J156" s="6">
        <f t="shared" si="30"/>
        <v>0</v>
      </c>
      <c r="K156" s="6"/>
      <c r="L156" s="6"/>
      <c r="M156" s="6"/>
      <c r="N156" s="6"/>
      <c r="O156" s="6"/>
      <c r="P156" s="6">
        <f t="shared" si="41"/>
        <v>109000</v>
      </c>
    </row>
    <row r="157" spans="1:16" ht="78">
      <c r="A157" s="9" t="s">
        <v>383</v>
      </c>
      <c r="B157" s="33">
        <v>8761</v>
      </c>
      <c r="C157" s="9" t="s">
        <v>286</v>
      </c>
      <c r="D157" s="5" t="s">
        <v>384</v>
      </c>
      <c r="E157" s="6">
        <f t="shared" si="54"/>
        <v>0</v>
      </c>
      <c r="F157" s="6"/>
      <c r="G157" s="6"/>
      <c r="H157" s="6"/>
      <c r="I157" s="6"/>
      <c r="J157" s="6">
        <f t="shared" si="30"/>
        <v>674628</v>
      </c>
      <c r="K157" s="6">
        <v>674628</v>
      </c>
      <c r="L157" s="6"/>
      <c r="M157" s="6"/>
      <c r="N157" s="6"/>
      <c r="O157" s="6">
        <v>674628</v>
      </c>
      <c r="P157" s="6">
        <f t="shared" si="41"/>
        <v>674628</v>
      </c>
    </row>
    <row r="158" spans="1:16" ht="62.4">
      <c r="A158" s="2" t="s">
        <v>250</v>
      </c>
      <c r="B158" s="2" t="s">
        <v>18</v>
      </c>
      <c r="C158" s="2" t="s">
        <v>18</v>
      </c>
      <c r="D158" s="3" t="s">
        <v>251</v>
      </c>
      <c r="E158" s="4">
        <f t="shared" ref="E158:E176" si="55">F158+I158</f>
        <v>4645900</v>
      </c>
      <c r="F158" s="4">
        <f>F159</f>
        <v>4645900</v>
      </c>
      <c r="G158" s="4">
        <f t="shared" ref="G158:I158" si="56">G159</f>
        <v>4440900</v>
      </c>
      <c r="H158" s="4">
        <f t="shared" si="56"/>
        <v>0</v>
      </c>
      <c r="I158" s="4">
        <f t="shared" si="56"/>
        <v>0</v>
      </c>
      <c r="J158" s="4">
        <f t="shared" si="30"/>
        <v>237473886</v>
      </c>
      <c r="K158" s="4">
        <f>K159</f>
        <v>237125186</v>
      </c>
      <c r="L158" s="4">
        <f t="shared" ref="L158:O158" si="57">L159</f>
        <v>0</v>
      </c>
      <c r="M158" s="4">
        <f t="shared" si="57"/>
        <v>0</v>
      </c>
      <c r="N158" s="4">
        <f t="shared" si="57"/>
        <v>0</v>
      </c>
      <c r="O158" s="4">
        <f t="shared" si="57"/>
        <v>237473886</v>
      </c>
      <c r="P158" s="4">
        <f t="shared" si="41"/>
        <v>242119786</v>
      </c>
    </row>
    <row r="159" spans="1:16" ht="62.4">
      <c r="A159" s="2" t="s">
        <v>252</v>
      </c>
      <c r="B159" s="2" t="s">
        <v>18</v>
      </c>
      <c r="C159" s="2" t="s">
        <v>18</v>
      </c>
      <c r="D159" s="3" t="s">
        <v>251</v>
      </c>
      <c r="E159" s="4">
        <f t="shared" si="55"/>
        <v>4645900</v>
      </c>
      <c r="F159" s="4">
        <f>SUM(F160:F173)</f>
        <v>4645900</v>
      </c>
      <c r="G159" s="4">
        <f t="shared" ref="G159:K159" si="58">SUM(G160:G173)</f>
        <v>4440900</v>
      </c>
      <c r="H159" s="4">
        <f t="shared" si="58"/>
        <v>0</v>
      </c>
      <c r="I159" s="4">
        <f t="shared" si="58"/>
        <v>0</v>
      </c>
      <c r="J159" s="4">
        <f t="shared" si="30"/>
        <v>237473886</v>
      </c>
      <c r="K159" s="4">
        <f t="shared" si="58"/>
        <v>237125186</v>
      </c>
      <c r="L159" s="4">
        <f t="shared" ref="L159" si="59">SUM(L160:L173)</f>
        <v>0</v>
      </c>
      <c r="M159" s="4">
        <f t="shared" ref="M159" si="60">SUM(M160:M173)</f>
        <v>0</v>
      </c>
      <c r="N159" s="4">
        <f t="shared" ref="N159" si="61">SUM(N160:N173)</f>
        <v>0</v>
      </c>
      <c r="O159" s="4">
        <f t="shared" ref="O159" si="62">SUM(O160:O173)</f>
        <v>237473886</v>
      </c>
      <c r="P159" s="4">
        <f t="shared" si="41"/>
        <v>242119786</v>
      </c>
    </row>
    <row r="160" spans="1:16" ht="46.8">
      <c r="A160" s="33" t="s">
        <v>253</v>
      </c>
      <c r="B160" s="33" t="s">
        <v>75</v>
      </c>
      <c r="C160" s="33" t="s">
        <v>23</v>
      </c>
      <c r="D160" s="5" t="s">
        <v>76</v>
      </c>
      <c r="E160" s="6">
        <f t="shared" si="55"/>
        <v>4596000</v>
      </c>
      <c r="F160" s="6">
        <f>4386000+70000+100000+40000</f>
        <v>4596000</v>
      </c>
      <c r="G160" s="6">
        <f>4270900+70000+100000</f>
        <v>4440900</v>
      </c>
      <c r="H160" s="6">
        <v>0</v>
      </c>
      <c r="I160" s="6">
        <v>0</v>
      </c>
      <c r="J160" s="6">
        <f t="shared" si="30"/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f t="shared" si="41"/>
        <v>4596000</v>
      </c>
    </row>
    <row r="161" spans="1:16" ht="31.2">
      <c r="A161" s="33" t="s">
        <v>254</v>
      </c>
      <c r="B161" s="33" t="s">
        <v>30</v>
      </c>
      <c r="C161" s="33" t="s">
        <v>31</v>
      </c>
      <c r="D161" s="5" t="s">
        <v>32</v>
      </c>
      <c r="E161" s="6">
        <f t="shared" si="55"/>
        <v>49900</v>
      </c>
      <c r="F161" s="6">
        <f>99000-49100</f>
        <v>49900</v>
      </c>
      <c r="G161" s="6">
        <v>0</v>
      </c>
      <c r="H161" s="6">
        <v>0</v>
      </c>
      <c r="I161" s="6">
        <v>0</v>
      </c>
      <c r="J161" s="6">
        <f t="shared" si="30"/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f t="shared" si="41"/>
        <v>49900</v>
      </c>
    </row>
    <row r="162" spans="1:16" ht="31.2">
      <c r="A162" s="33">
        <v>1512010</v>
      </c>
      <c r="B162" s="9" t="s">
        <v>34</v>
      </c>
      <c r="C162" s="9" t="s">
        <v>35</v>
      </c>
      <c r="D162" s="5" t="s">
        <v>36</v>
      </c>
      <c r="E162" s="6">
        <f t="shared" si="55"/>
        <v>0</v>
      </c>
      <c r="F162" s="6"/>
      <c r="G162" s="6"/>
      <c r="H162" s="6"/>
      <c r="I162" s="6"/>
      <c r="J162" s="6">
        <f t="shared" si="30"/>
        <v>1150627</v>
      </c>
      <c r="K162" s="6">
        <f>1205627-30000-25000</f>
        <v>1150627</v>
      </c>
      <c r="L162" s="6"/>
      <c r="M162" s="6"/>
      <c r="N162" s="6"/>
      <c r="O162" s="6">
        <f>1205627-30000-25000</f>
        <v>1150627</v>
      </c>
      <c r="P162" s="6">
        <f t="shared" si="41"/>
        <v>1150627</v>
      </c>
    </row>
    <row r="163" spans="1:16" ht="31.2">
      <c r="A163" s="33">
        <v>1516013</v>
      </c>
      <c r="B163" s="9" t="s">
        <v>332</v>
      </c>
      <c r="C163" s="9" t="s">
        <v>55</v>
      </c>
      <c r="D163" s="5" t="s">
        <v>333</v>
      </c>
      <c r="E163" s="6">
        <f t="shared" si="55"/>
        <v>0</v>
      </c>
      <c r="F163" s="6"/>
      <c r="G163" s="6"/>
      <c r="H163" s="6"/>
      <c r="I163" s="6"/>
      <c r="J163" s="6">
        <f t="shared" si="30"/>
        <v>382750</v>
      </c>
      <c r="K163" s="6">
        <v>382750</v>
      </c>
      <c r="L163" s="6"/>
      <c r="M163" s="6"/>
      <c r="N163" s="6"/>
      <c r="O163" s="6">
        <v>382750</v>
      </c>
      <c r="P163" s="6">
        <f t="shared" si="41"/>
        <v>382750</v>
      </c>
    </row>
    <row r="164" spans="1:16" ht="31.2">
      <c r="A164" s="33">
        <v>1516015</v>
      </c>
      <c r="B164" s="9" t="s">
        <v>233</v>
      </c>
      <c r="C164" s="9" t="s">
        <v>55</v>
      </c>
      <c r="D164" s="5" t="s">
        <v>234</v>
      </c>
      <c r="E164" s="6">
        <f t="shared" si="55"/>
        <v>0</v>
      </c>
      <c r="F164" s="6"/>
      <c r="G164" s="6"/>
      <c r="H164" s="6"/>
      <c r="I164" s="6"/>
      <c r="J164" s="6">
        <f t="shared" si="30"/>
        <v>17318217</v>
      </c>
      <c r="K164" s="6">
        <f>23415217-6097000</f>
        <v>17318217</v>
      </c>
      <c r="L164" s="6"/>
      <c r="M164" s="6"/>
      <c r="N164" s="6"/>
      <c r="O164" s="6">
        <f>23415217-6097000</f>
        <v>17318217</v>
      </c>
      <c r="P164" s="6">
        <f t="shared" si="41"/>
        <v>17318217</v>
      </c>
    </row>
    <row r="165" spans="1:16" ht="46.8">
      <c r="A165" s="33">
        <v>1516017</v>
      </c>
      <c r="B165" s="9" t="s">
        <v>236</v>
      </c>
      <c r="C165" s="9" t="s">
        <v>55</v>
      </c>
      <c r="D165" s="5" t="s">
        <v>408</v>
      </c>
      <c r="E165" s="6">
        <f t="shared" si="55"/>
        <v>0</v>
      </c>
      <c r="F165" s="6"/>
      <c r="G165" s="6"/>
      <c r="H165" s="6"/>
      <c r="I165" s="6"/>
      <c r="J165" s="6">
        <f t="shared" si="30"/>
        <v>330000</v>
      </c>
      <c r="K165" s="6">
        <v>330000</v>
      </c>
      <c r="L165" s="6"/>
      <c r="M165" s="6"/>
      <c r="N165" s="6"/>
      <c r="O165" s="6">
        <v>330000</v>
      </c>
      <c r="P165" s="6">
        <f t="shared" si="41"/>
        <v>330000</v>
      </c>
    </row>
    <row r="166" spans="1:16" ht="78">
      <c r="A166" s="33">
        <v>1516050</v>
      </c>
      <c r="B166" s="9" t="s">
        <v>334</v>
      </c>
      <c r="C166" s="9" t="s">
        <v>55</v>
      </c>
      <c r="D166" s="5" t="s">
        <v>335</v>
      </c>
      <c r="E166" s="6">
        <f t="shared" si="55"/>
        <v>0</v>
      </c>
      <c r="F166" s="6"/>
      <c r="G166" s="6"/>
      <c r="H166" s="6"/>
      <c r="I166" s="6"/>
      <c r="J166" s="6">
        <f t="shared" si="30"/>
        <v>1194873</v>
      </c>
      <c r="K166" s="6">
        <f>2439154-1244281</f>
        <v>1194873</v>
      </c>
      <c r="L166" s="6"/>
      <c r="M166" s="6"/>
      <c r="N166" s="6"/>
      <c r="O166" s="6">
        <f>2439154-1244281</f>
        <v>1194873</v>
      </c>
      <c r="P166" s="6">
        <f t="shared" si="41"/>
        <v>1194873</v>
      </c>
    </row>
    <row r="167" spans="1:16" ht="31.2">
      <c r="A167" s="33">
        <v>1517310</v>
      </c>
      <c r="B167" s="9" t="s">
        <v>336</v>
      </c>
      <c r="C167" s="9" t="s">
        <v>267</v>
      </c>
      <c r="D167" s="5" t="s">
        <v>337</v>
      </c>
      <c r="E167" s="6">
        <f t="shared" si="55"/>
        <v>0</v>
      </c>
      <c r="F167" s="6"/>
      <c r="G167" s="6"/>
      <c r="H167" s="6"/>
      <c r="I167" s="6"/>
      <c r="J167" s="6">
        <f t="shared" si="30"/>
        <v>49805250</v>
      </c>
      <c r="K167" s="6">
        <f>19000000+10001250+20804000</f>
        <v>49805250</v>
      </c>
      <c r="L167" s="6"/>
      <c r="M167" s="6"/>
      <c r="N167" s="6"/>
      <c r="O167" s="6">
        <f>19000000+10001250+20804000</f>
        <v>49805250</v>
      </c>
      <c r="P167" s="6">
        <f t="shared" si="41"/>
        <v>49805250</v>
      </c>
    </row>
    <row r="168" spans="1:16" ht="31.2">
      <c r="A168" s="33">
        <v>1517321</v>
      </c>
      <c r="B168" s="9" t="s">
        <v>338</v>
      </c>
      <c r="C168" s="9" t="s">
        <v>267</v>
      </c>
      <c r="D168" s="5" t="s">
        <v>339</v>
      </c>
      <c r="E168" s="6">
        <f t="shared" si="55"/>
        <v>0</v>
      </c>
      <c r="F168" s="6"/>
      <c r="G168" s="6"/>
      <c r="H168" s="6"/>
      <c r="I168" s="6"/>
      <c r="J168" s="6">
        <f t="shared" si="30"/>
        <v>87496460</v>
      </c>
      <c r="K168" s="6">
        <f>202660+25000+87308800-40000</f>
        <v>87496460</v>
      </c>
      <c r="L168" s="6"/>
      <c r="M168" s="6"/>
      <c r="N168" s="6"/>
      <c r="O168" s="6">
        <f>202660+25000+87308800-40000</f>
        <v>87496460</v>
      </c>
      <c r="P168" s="6">
        <f t="shared" si="41"/>
        <v>87496460</v>
      </c>
    </row>
    <row r="169" spans="1:16" ht="31.2">
      <c r="A169" s="33">
        <v>1517368</v>
      </c>
      <c r="B169" s="9" t="s">
        <v>353</v>
      </c>
      <c r="C169" s="9" t="s">
        <v>59</v>
      </c>
      <c r="D169" s="5" t="s">
        <v>354</v>
      </c>
      <c r="E169" s="6">
        <f t="shared" si="55"/>
        <v>0</v>
      </c>
      <c r="F169" s="6"/>
      <c r="G169" s="6"/>
      <c r="H169" s="6"/>
      <c r="I169" s="6"/>
      <c r="J169" s="6">
        <f t="shared" si="30"/>
        <v>26491442</v>
      </c>
      <c r="K169" s="6">
        <v>26491442</v>
      </c>
      <c r="L169" s="6"/>
      <c r="M169" s="6"/>
      <c r="N169" s="6"/>
      <c r="O169" s="6">
        <v>26491442</v>
      </c>
      <c r="P169" s="6">
        <f t="shared" si="41"/>
        <v>26491442</v>
      </c>
    </row>
    <row r="170" spans="1:16" ht="46.8">
      <c r="A170" s="33">
        <v>1517370</v>
      </c>
      <c r="B170" s="9" t="s">
        <v>340</v>
      </c>
      <c r="C170" s="9" t="s">
        <v>59</v>
      </c>
      <c r="D170" s="5" t="s">
        <v>341</v>
      </c>
      <c r="E170" s="6">
        <f t="shared" si="55"/>
        <v>0</v>
      </c>
      <c r="F170" s="6"/>
      <c r="G170" s="6"/>
      <c r="H170" s="6"/>
      <c r="I170" s="6"/>
      <c r="J170" s="6">
        <f t="shared" si="30"/>
        <v>27740698</v>
      </c>
      <c r="K170" s="6">
        <f>7820447+17920251+2000000</f>
        <v>27740698</v>
      </c>
      <c r="L170" s="6"/>
      <c r="M170" s="6"/>
      <c r="N170" s="6"/>
      <c r="O170" s="6">
        <f>7820447+17920251+2000000</f>
        <v>27740698</v>
      </c>
      <c r="P170" s="6">
        <f t="shared" si="41"/>
        <v>27740698</v>
      </c>
    </row>
    <row r="171" spans="1:16">
      <c r="A171" s="33">
        <v>1517640</v>
      </c>
      <c r="B171" s="9" t="s">
        <v>342</v>
      </c>
      <c r="C171" s="9" t="s">
        <v>329</v>
      </c>
      <c r="D171" s="5" t="s">
        <v>328</v>
      </c>
      <c r="E171" s="6">
        <f t="shared" si="55"/>
        <v>0</v>
      </c>
      <c r="F171" s="6"/>
      <c r="G171" s="6"/>
      <c r="H171" s="6"/>
      <c r="I171" s="6"/>
      <c r="J171" s="6">
        <f t="shared" si="30"/>
        <v>7720091</v>
      </c>
      <c r="K171" s="6">
        <v>7720091</v>
      </c>
      <c r="L171" s="6"/>
      <c r="M171" s="6"/>
      <c r="N171" s="6"/>
      <c r="O171" s="6">
        <v>7720091</v>
      </c>
      <c r="P171" s="6">
        <f t="shared" si="41"/>
        <v>7720091</v>
      </c>
    </row>
    <row r="172" spans="1:16" ht="46.8">
      <c r="A172" s="33">
        <v>1518110</v>
      </c>
      <c r="B172" s="9" t="s">
        <v>247</v>
      </c>
      <c r="C172" s="9" t="s">
        <v>248</v>
      </c>
      <c r="D172" s="5" t="s">
        <v>249</v>
      </c>
      <c r="E172" s="6">
        <f t="shared" si="55"/>
        <v>0</v>
      </c>
      <c r="F172" s="6"/>
      <c r="G172" s="6"/>
      <c r="H172" s="6"/>
      <c r="I172" s="6"/>
      <c r="J172" s="6">
        <f t="shared" si="30"/>
        <v>17494778</v>
      </c>
      <c r="K172" s="6">
        <f>22333778-1000000-49000-3790000</f>
        <v>17494778</v>
      </c>
      <c r="L172" s="6"/>
      <c r="M172" s="6"/>
      <c r="N172" s="6"/>
      <c r="O172" s="6">
        <f>22333778-1000000-49000-3790000</f>
        <v>17494778</v>
      </c>
      <c r="P172" s="6">
        <f t="shared" si="41"/>
        <v>17494778</v>
      </c>
    </row>
    <row r="173" spans="1:16" ht="31.2">
      <c r="A173" s="33">
        <v>1518340</v>
      </c>
      <c r="B173" s="9" t="s">
        <v>409</v>
      </c>
      <c r="C173" s="9" t="s">
        <v>286</v>
      </c>
      <c r="D173" s="5" t="s">
        <v>287</v>
      </c>
      <c r="E173" s="6">
        <f t="shared" si="55"/>
        <v>0</v>
      </c>
      <c r="F173" s="6"/>
      <c r="G173" s="6"/>
      <c r="H173" s="6"/>
      <c r="I173" s="6"/>
      <c r="J173" s="6">
        <f t="shared" si="30"/>
        <v>348700</v>
      </c>
      <c r="K173" s="6"/>
      <c r="L173" s="6"/>
      <c r="M173" s="6"/>
      <c r="N173" s="6"/>
      <c r="O173" s="6">
        <v>348700</v>
      </c>
      <c r="P173" s="6">
        <f t="shared" si="41"/>
        <v>348700</v>
      </c>
    </row>
    <row r="174" spans="1:16" ht="62.4">
      <c r="A174" s="2" t="s">
        <v>255</v>
      </c>
      <c r="B174" s="2" t="s">
        <v>18</v>
      </c>
      <c r="C174" s="2" t="s">
        <v>18</v>
      </c>
      <c r="D174" s="3" t="s">
        <v>256</v>
      </c>
      <c r="E174" s="4">
        <f t="shared" si="55"/>
        <v>24535600</v>
      </c>
      <c r="F174" s="4">
        <f>F175</f>
        <v>4586700</v>
      </c>
      <c r="G174" s="4">
        <f t="shared" ref="G174:I174" si="63">G175</f>
        <v>3795600</v>
      </c>
      <c r="H174" s="4">
        <f t="shared" si="63"/>
        <v>0</v>
      </c>
      <c r="I174" s="4">
        <f t="shared" si="63"/>
        <v>19948900</v>
      </c>
      <c r="J174" s="4">
        <f t="shared" si="30"/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f t="shared" si="41"/>
        <v>24535600</v>
      </c>
    </row>
    <row r="175" spans="1:16" ht="62.4">
      <c r="A175" s="2" t="s">
        <v>257</v>
      </c>
      <c r="B175" s="2" t="s">
        <v>18</v>
      </c>
      <c r="C175" s="2" t="s">
        <v>18</v>
      </c>
      <c r="D175" s="3" t="s">
        <v>256</v>
      </c>
      <c r="E175" s="4">
        <f t="shared" si="55"/>
        <v>24535600</v>
      </c>
      <c r="F175" s="4">
        <f>SUM(F176:F182)</f>
        <v>4586700</v>
      </c>
      <c r="G175" s="4">
        <f t="shared" ref="G175:I175" si="64">SUM(G176:G182)</f>
        <v>3795600</v>
      </c>
      <c r="H175" s="4">
        <f t="shared" si="64"/>
        <v>0</v>
      </c>
      <c r="I175" s="4">
        <f t="shared" si="64"/>
        <v>19948900</v>
      </c>
      <c r="J175" s="4">
        <f t="shared" si="30"/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f t="shared" si="41"/>
        <v>24535600</v>
      </c>
    </row>
    <row r="176" spans="1:16" ht="46.8">
      <c r="A176" s="33" t="s">
        <v>258</v>
      </c>
      <c r="B176" s="33" t="s">
        <v>75</v>
      </c>
      <c r="C176" s="33" t="s">
        <v>23</v>
      </c>
      <c r="D176" s="5" t="s">
        <v>76</v>
      </c>
      <c r="E176" s="6">
        <f t="shared" si="55"/>
        <v>3882800</v>
      </c>
      <c r="F176" s="6">
        <f>3762800+120000</f>
        <v>3882800</v>
      </c>
      <c r="G176" s="6">
        <f>3675600+120000</f>
        <v>3795600</v>
      </c>
      <c r="H176" s="6">
        <v>0</v>
      </c>
      <c r="I176" s="6">
        <v>0</v>
      </c>
      <c r="J176" s="6">
        <f t="shared" si="30"/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f t="shared" si="41"/>
        <v>3882800</v>
      </c>
    </row>
    <row r="177" spans="1:16" ht="31.2">
      <c r="A177" s="33" t="s">
        <v>259</v>
      </c>
      <c r="B177" s="33" t="s">
        <v>30</v>
      </c>
      <c r="C177" s="33" t="s">
        <v>31</v>
      </c>
      <c r="D177" s="5" t="s">
        <v>32</v>
      </c>
      <c r="E177" s="6">
        <f t="shared" ref="E177:E182" si="65">F177+I177</f>
        <v>109900</v>
      </c>
      <c r="F177" s="6">
        <f>159000-49100</f>
        <v>109900</v>
      </c>
      <c r="G177" s="6">
        <v>0</v>
      </c>
      <c r="H177" s="6">
        <v>0</v>
      </c>
      <c r="I177" s="6">
        <v>0</v>
      </c>
      <c r="J177" s="6">
        <f t="shared" si="30"/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f t="shared" si="41"/>
        <v>109900</v>
      </c>
    </row>
    <row r="178" spans="1:16" ht="46.8">
      <c r="A178" s="33" t="s">
        <v>260</v>
      </c>
      <c r="B178" s="33" t="s">
        <v>236</v>
      </c>
      <c r="C178" s="33" t="s">
        <v>55</v>
      </c>
      <c r="D178" s="5" t="s">
        <v>237</v>
      </c>
      <c r="E178" s="6">
        <f t="shared" si="65"/>
        <v>250000</v>
      </c>
      <c r="F178" s="6">
        <f>146000+104000</f>
        <v>250000</v>
      </c>
      <c r="G178" s="6">
        <v>0</v>
      </c>
      <c r="H178" s="6">
        <v>0</v>
      </c>
      <c r="I178" s="6">
        <v>0</v>
      </c>
      <c r="J178" s="6">
        <f t="shared" si="30"/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f t="shared" si="41"/>
        <v>250000</v>
      </c>
    </row>
    <row r="179" spans="1:16">
      <c r="A179" s="33" t="s">
        <v>261</v>
      </c>
      <c r="B179" s="33" t="s">
        <v>262</v>
      </c>
      <c r="C179" s="33" t="s">
        <v>263</v>
      </c>
      <c r="D179" s="5" t="s">
        <v>264</v>
      </c>
      <c r="E179" s="6">
        <f t="shared" si="65"/>
        <v>194000</v>
      </c>
      <c r="F179" s="6">
        <f>200000-104000+50000+48000</f>
        <v>194000</v>
      </c>
      <c r="G179" s="6">
        <v>0</v>
      </c>
      <c r="H179" s="6">
        <v>0</v>
      </c>
      <c r="I179" s="6">
        <v>0</v>
      </c>
      <c r="J179" s="6">
        <f t="shared" si="30"/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f t="shared" si="41"/>
        <v>194000</v>
      </c>
    </row>
    <row r="180" spans="1:16" ht="46.8">
      <c r="A180" s="33" t="s">
        <v>265</v>
      </c>
      <c r="B180" s="33" t="s">
        <v>266</v>
      </c>
      <c r="C180" s="33" t="s">
        <v>267</v>
      </c>
      <c r="D180" s="5" t="s">
        <v>268</v>
      </c>
      <c r="E180" s="6">
        <f t="shared" si="65"/>
        <v>1500000</v>
      </c>
      <c r="F180" s="6">
        <v>0</v>
      </c>
      <c r="G180" s="6">
        <v>0</v>
      </c>
      <c r="H180" s="6">
        <v>0</v>
      </c>
      <c r="I180" s="6">
        <v>1500000</v>
      </c>
      <c r="J180" s="6">
        <f t="shared" si="30"/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f t="shared" ref="P180:P202" si="66">E180 + J180</f>
        <v>1500000</v>
      </c>
    </row>
    <row r="181" spans="1:16" ht="31.2">
      <c r="A181" s="33" t="s">
        <v>269</v>
      </c>
      <c r="B181" s="33" t="s">
        <v>244</v>
      </c>
      <c r="C181" s="33" t="s">
        <v>59</v>
      </c>
      <c r="D181" s="5" t="s">
        <v>245</v>
      </c>
      <c r="E181" s="6">
        <f t="shared" si="65"/>
        <v>18448900</v>
      </c>
      <c r="F181" s="6">
        <v>0</v>
      </c>
      <c r="G181" s="6">
        <v>0</v>
      </c>
      <c r="H181" s="6">
        <v>0</v>
      </c>
      <c r="I181" s="6">
        <f>18281300+187000-19400</f>
        <v>18448900</v>
      </c>
      <c r="J181" s="6">
        <f t="shared" si="30"/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f t="shared" si="66"/>
        <v>18448900</v>
      </c>
    </row>
    <row r="182" spans="1:16" ht="31.2">
      <c r="A182" s="33" t="s">
        <v>270</v>
      </c>
      <c r="B182" s="33" t="s">
        <v>271</v>
      </c>
      <c r="C182" s="33" t="s">
        <v>63</v>
      </c>
      <c r="D182" s="5" t="s">
        <v>272</v>
      </c>
      <c r="E182" s="6">
        <f t="shared" si="65"/>
        <v>150000</v>
      </c>
      <c r="F182" s="6">
        <v>150000</v>
      </c>
      <c r="G182" s="6">
        <v>0</v>
      </c>
      <c r="H182" s="6">
        <v>0</v>
      </c>
      <c r="I182" s="6">
        <v>0</v>
      </c>
      <c r="J182" s="6">
        <f t="shared" si="30"/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f t="shared" si="66"/>
        <v>150000</v>
      </c>
    </row>
    <row r="183" spans="1:16" ht="46.8">
      <c r="A183" s="2" t="s">
        <v>273</v>
      </c>
      <c r="B183" s="2" t="s">
        <v>18</v>
      </c>
      <c r="C183" s="2" t="s">
        <v>18</v>
      </c>
      <c r="D183" s="3" t="s">
        <v>274</v>
      </c>
      <c r="E183" s="4">
        <f>E184</f>
        <v>25717914</v>
      </c>
      <c r="F183" s="4">
        <f>F184</f>
        <v>22524114</v>
      </c>
      <c r="G183" s="4">
        <f t="shared" ref="G183:I183" si="67">G184</f>
        <v>6121600</v>
      </c>
      <c r="H183" s="4">
        <f t="shared" si="67"/>
        <v>0</v>
      </c>
      <c r="I183" s="4">
        <f t="shared" si="67"/>
        <v>0</v>
      </c>
      <c r="J183" s="4">
        <f t="shared" si="30"/>
        <v>54702767</v>
      </c>
      <c r="K183" s="4">
        <f>K184</f>
        <v>54702767</v>
      </c>
      <c r="L183" s="4">
        <v>0</v>
      </c>
      <c r="M183" s="4">
        <v>0</v>
      </c>
      <c r="N183" s="4">
        <v>0</v>
      </c>
      <c r="O183" s="4">
        <f>O184</f>
        <v>54702767</v>
      </c>
      <c r="P183" s="4">
        <f t="shared" si="66"/>
        <v>80420681</v>
      </c>
    </row>
    <row r="184" spans="1:16" ht="46.8">
      <c r="A184" s="2" t="s">
        <v>275</v>
      </c>
      <c r="B184" s="2" t="s">
        <v>18</v>
      </c>
      <c r="C184" s="2" t="s">
        <v>18</v>
      </c>
      <c r="D184" s="3" t="s">
        <v>274</v>
      </c>
      <c r="E184" s="4">
        <f>SUM(E185:E188)+E195</f>
        <v>25717914</v>
      </c>
      <c r="F184" s="4">
        <f>F185+F186+F187+F188+F195</f>
        <v>22524114</v>
      </c>
      <c r="G184" s="4">
        <f>G185+G186+G187+G188+G195</f>
        <v>6121600</v>
      </c>
      <c r="H184" s="4">
        <f>H185+H186+H187+H188+H195</f>
        <v>0</v>
      </c>
      <c r="I184" s="4">
        <f>I185+I186+I187+I188+I195</f>
        <v>0</v>
      </c>
      <c r="J184" s="4">
        <f t="shared" ref="J184:J201" si="68">L184+O184</f>
        <v>54702767</v>
      </c>
      <c r="K184" s="4">
        <f>K185+K186+K187+K188+K195</f>
        <v>54702767</v>
      </c>
      <c r="L184" s="4">
        <f>L185+L186+L187+L188+L195</f>
        <v>0</v>
      </c>
      <c r="M184" s="4">
        <f>M185+M186+M187+M188+M195</f>
        <v>0</v>
      </c>
      <c r="N184" s="4">
        <f>N185+N186+N187+N188+N195</f>
        <v>0</v>
      </c>
      <c r="O184" s="4">
        <f>O185+O186+O187+O188+O195</f>
        <v>54702767</v>
      </c>
      <c r="P184" s="4">
        <f t="shared" si="66"/>
        <v>80420681</v>
      </c>
    </row>
    <row r="185" spans="1:16" ht="46.8">
      <c r="A185" s="33" t="s">
        <v>276</v>
      </c>
      <c r="B185" s="33" t="s">
        <v>75</v>
      </c>
      <c r="C185" s="33" t="s">
        <v>23</v>
      </c>
      <c r="D185" s="5" t="s">
        <v>76</v>
      </c>
      <c r="E185" s="6">
        <f>F185+I185</f>
        <v>6388700</v>
      </c>
      <c r="F185" s="6">
        <f>5938700+450000</f>
        <v>6388700</v>
      </c>
      <c r="G185" s="6">
        <f>5671600+450000</f>
        <v>6121600</v>
      </c>
      <c r="H185" s="6">
        <v>0</v>
      </c>
      <c r="I185" s="6">
        <v>0</v>
      </c>
      <c r="J185" s="6">
        <f t="shared" si="68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si="66"/>
        <v>6388700</v>
      </c>
    </row>
    <row r="186" spans="1:16" ht="31.2">
      <c r="A186" s="33" t="s">
        <v>277</v>
      </c>
      <c r="B186" s="33" t="s">
        <v>30</v>
      </c>
      <c r="C186" s="33" t="s">
        <v>31</v>
      </c>
      <c r="D186" s="5" t="s">
        <v>32</v>
      </c>
      <c r="E186" s="6">
        <f>F186+I186</f>
        <v>52900</v>
      </c>
      <c r="F186" s="6">
        <v>52900</v>
      </c>
      <c r="G186" s="6">
        <v>0</v>
      </c>
      <c r="H186" s="6">
        <v>0</v>
      </c>
      <c r="I186" s="6">
        <v>0</v>
      </c>
      <c r="J186" s="6">
        <f t="shared" si="68"/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f t="shared" si="66"/>
        <v>52900</v>
      </c>
    </row>
    <row r="187" spans="1:16">
      <c r="A187" s="33" t="s">
        <v>278</v>
      </c>
      <c r="B187" s="33" t="s">
        <v>279</v>
      </c>
      <c r="C187" s="33" t="s">
        <v>31</v>
      </c>
      <c r="D187" s="5" t="s">
        <v>280</v>
      </c>
      <c r="E187" s="6">
        <f>8000000-1577623-590000-157749-2000000-674628-500000-109000-197200+2000000-1000000</f>
        <v>3193800</v>
      </c>
      <c r="F187" s="6">
        <v>0</v>
      </c>
      <c r="G187" s="6">
        <v>0</v>
      </c>
      <c r="H187" s="6">
        <v>0</v>
      </c>
      <c r="I187" s="6">
        <v>0</v>
      </c>
      <c r="J187" s="6">
        <f t="shared" si="68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si="66"/>
        <v>3193800</v>
      </c>
    </row>
    <row r="188" spans="1:16">
      <c r="A188" s="33" t="s">
        <v>281</v>
      </c>
      <c r="B188" s="33" t="s">
        <v>282</v>
      </c>
      <c r="C188" s="33" t="s">
        <v>30</v>
      </c>
      <c r="D188" s="5" t="s">
        <v>283</v>
      </c>
      <c r="E188" s="6">
        <f>F188+I188</f>
        <v>4407500</v>
      </c>
      <c r="F188" s="6">
        <f>F190+F191+F192+F193+F194</f>
        <v>4407500</v>
      </c>
      <c r="G188" s="6">
        <f t="shared" ref="G188:O188" si="69">G190+G191+G192+G193+G194</f>
        <v>0</v>
      </c>
      <c r="H188" s="6">
        <f t="shared" si="69"/>
        <v>0</v>
      </c>
      <c r="I188" s="6">
        <f t="shared" si="69"/>
        <v>0</v>
      </c>
      <c r="J188" s="6">
        <f t="shared" si="68"/>
        <v>1800000</v>
      </c>
      <c r="K188" s="6">
        <f t="shared" si="69"/>
        <v>1800000</v>
      </c>
      <c r="L188" s="6">
        <f t="shared" si="69"/>
        <v>0</v>
      </c>
      <c r="M188" s="6">
        <f t="shared" si="69"/>
        <v>0</v>
      </c>
      <c r="N188" s="6">
        <f t="shared" si="69"/>
        <v>0</v>
      </c>
      <c r="O188" s="6">
        <f t="shared" si="69"/>
        <v>1800000</v>
      </c>
      <c r="P188" s="6">
        <f t="shared" si="66"/>
        <v>6207500</v>
      </c>
    </row>
    <row r="189" spans="1:16" s="21" customFormat="1">
      <c r="A189" s="7"/>
      <c r="B189" s="7"/>
      <c r="C189" s="7"/>
      <c r="D189" s="1" t="s">
        <v>347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s="21" customFormat="1" ht="124.8">
      <c r="A190" s="7"/>
      <c r="B190" s="7"/>
      <c r="C190" s="7"/>
      <c r="D190" s="1" t="s">
        <v>346</v>
      </c>
      <c r="E190" s="8">
        <f t="shared" ref="E190:E195" si="70">F190+I190</f>
        <v>1570500</v>
      </c>
      <c r="F190" s="8">
        <f>1261500+309000</f>
        <v>1570500</v>
      </c>
      <c r="G190" s="8"/>
      <c r="H190" s="8"/>
      <c r="I190" s="8"/>
      <c r="J190" s="8">
        <f>L190+O190</f>
        <v>0</v>
      </c>
      <c r="K190" s="8"/>
      <c r="L190" s="8"/>
      <c r="M190" s="8"/>
      <c r="N190" s="8"/>
      <c r="O190" s="8"/>
      <c r="P190" s="8">
        <f>E190+J190</f>
        <v>1570500</v>
      </c>
    </row>
    <row r="191" spans="1:16" s="21" customFormat="1" ht="62.4">
      <c r="A191" s="7"/>
      <c r="B191" s="7"/>
      <c r="C191" s="7"/>
      <c r="D191" s="1" t="s">
        <v>348</v>
      </c>
      <c r="E191" s="8">
        <f t="shared" si="70"/>
        <v>300000</v>
      </c>
      <c r="F191" s="8">
        <v>300000</v>
      </c>
      <c r="G191" s="8"/>
      <c r="H191" s="8"/>
      <c r="I191" s="8"/>
      <c r="J191" s="8">
        <f>L191+O191</f>
        <v>0</v>
      </c>
      <c r="K191" s="8"/>
      <c r="L191" s="8"/>
      <c r="M191" s="8"/>
      <c r="N191" s="8"/>
      <c r="O191" s="8"/>
      <c r="P191" s="8">
        <f t="shared" si="66"/>
        <v>300000</v>
      </c>
    </row>
    <row r="192" spans="1:16" s="21" customFormat="1" ht="78">
      <c r="A192" s="7"/>
      <c r="B192" s="7"/>
      <c r="C192" s="7"/>
      <c r="D192" s="1" t="s">
        <v>349</v>
      </c>
      <c r="E192" s="8">
        <f t="shared" si="70"/>
        <v>2237000</v>
      </c>
      <c r="F192" s="8">
        <v>2237000</v>
      </c>
      <c r="G192" s="8"/>
      <c r="H192" s="8"/>
      <c r="I192" s="8"/>
      <c r="J192" s="8">
        <f>L192+O192</f>
        <v>0</v>
      </c>
      <c r="K192" s="8"/>
      <c r="L192" s="8"/>
      <c r="M192" s="8"/>
      <c r="N192" s="8"/>
      <c r="O192" s="8"/>
      <c r="P192" s="8">
        <f>E192+J192</f>
        <v>2237000</v>
      </c>
    </row>
    <row r="193" spans="1:16" s="21" customFormat="1" ht="78">
      <c r="A193" s="7"/>
      <c r="B193" s="7"/>
      <c r="C193" s="7"/>
      <c r="D193" s="1" t="s">
        <v>362</v>
      </c>
      <c r="E193" s="8">
        <f t="shared" si="70"/>
        <v>300000</v>
      </c>
      <c r="F193" s="8">
        <v>300000</v>
      </c>
      <c r="G193" s="8"/>
      <c r="H193" s="8"/>
      <c r="I193" s="8"/>
      <c r="J193" s="8"/>
      <c r="K193" s="8"/>
      <c r="L193" s="8"/>
      <c r="M193" s="8"/>
      <c r="N193" s="8"/>
      <c r="O193" s="8"/>
      <c r="P193" s="8">
        <f>E193+J193</f>
        <v>300000</v>
      </c>
    </row>
    <row r="194" spans="1:16" s="21" customFormat="1" ht="78">
      <c r="A194" s="7"/>
      <c r="B194" s="7"/>
      <c r="C194" s="7"/>
      <c r="D194" s="1" t="s">
        <v>343</v>
      </c>
      <c r="E194" s="8">
        <f t="shared" si="70"/>
        <v>0</v>
      </c>
      <c r="F194" s="8"/>
      <c r="G194" s="8"/>
      <c r="H194" s="8"/>
      <c r="I194" s="8"/>
      <c r="J194" s="8">
        <f>L194+O194</f>
        <v>1800000</v>
      </c>
      <c r="K194" s="8">
        <v>1800000</v>
      </c>
      <c r="L194" s="8"/>
      <c r="M194" s="8"/>
      <c r="N194" s="8"/>
      <c r="O194" s="8">
        <v>1800000</v>
      </c>
      <c r="P194" s="8">
        <f>E194+J194</f>
        <v>1800000</v>
      </c>
    </row>
    <row r="195" spans="1:16" ht="62.4">
      <c r="A195" s="33">
        <v>3719800</v>
      </c>
      <c r="B195" s="33">
        <v>9800</v>
      </c>
      <c r="C195" s="33"/>
      <c r="D195" s="5" t="s">
        <v>324</v>
      </c>
      <c r="E195" s="6">
        <f t="shared" si="70"/>
        <v>11675014</v>
      </c>
      <c r="F195" s="6">
        <f>F197+F198+F199+F200+F201</f>
        <v>11675014</v>
      </c>
      <c r="G195" s="6">
        <f t="shared" ref="G195:O195" si="71">G197+G198+G199+G200+G201</f>
        <v>0</v>
      </c>
      <c r="H195" s="6">
        <f t="shared" si="71"/>
        <v>0</v>
      </c>
      <c r="I195" s="6">
        <f t="shared" si="71"/>
        <v>0</v>
      </c>
      <c r="J195" s="6">
        <f t="shared" si="68"/>
        <v>52902767</v>
      </c>
      <c r="K195" s="6">
        <f>K197+K198+K199+K200+K201</f>
        <v>52902767</v>
      </c>
      <c r="L195" s="6">
        <f t="shared" si="71"/>
        <v>0</v>
      </c>
      <c r="M195" s="6">
        <f t="shared" si="71"/>
        <v>0</v>
      </c>
      <c r="N195" s="6">
        <f t="shared" si="71"/>
        <v>0</v>
      </c>
      <c r="O195" s="6">
        <f t="shared" si="71"/>
        <v>52902767</v>
      </c>
      <c r="P195" s="6">
        <f t="shared" si="66"/>
        <v>64577781</v>
      </c>
    </row>
    <row r="196" spans="1:16" s="21" customFormat="1">
      <c r="A196" s="7"/>
      <c r="B196" s="7"/>
      <c r="C196" s="7"/>
      <c r="D196" s="1" t="s">
        <v>347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s="21" customFormat="1" ht="156">
      <c r="A197" s="7"/>
      <c r="B197" s="7"/>
      <c r="C197" s="7"/>
      <c r="D197" s="1" t="s">
        <v>364</v>
      </c>
      <c r="E197" s="8">
        <f t="shared" ref="E197:E201" si="72">F197+I197</f>
        <v>8698614</v>
      </c>
      <c r="F197" s="8">
        <f>190000+1000000+1290000+545334+1000000+2000000+295600+2377680</f>
        <v>8698614</v>
      </c>
      <c r="G197" s="8"/>
      <c r="H197" s="8"/>
      <c r="I197" s="8"/>
      <c r="J197" s="8">
        <f t="shared" si="68"/>
        <v>34202767</v>
      </c>
      <c r="K197" s="8">
        <f>1300000+6800000+840000+1062000+4750000+1943963+2204400+5202404+4100000+6000000</f>
        <v>34202767</v>
      </c>
      <c r="L197" s="8"/>
      <c r="M197" s="8"/>
      <c r="N197" s="8"/>
      <c r="O197" s="8">
        <f>1300000+6800000+840000+1062000+4750000+1943963+2204400+5202404+4100000+6000000</f>
        <v>34202767</v>
      </c>
      <c r="P197" s="8">
        <f t="shared" si="66"/>
        <v>42901381</v>
      </c>
    </row>
    <row r="198" spans="1:16" s="21" customFormat="1" ht="78">
      <c r="A198" s="7"/>
      <c r="B198" s="7"/>
      <c r="C198" s="7"/>
      <c r="D198" s="1" t="s">
        <v>343</v>
      </c>
      <c r="E198" s="8">
        <f t="shared" si="72"/>
        <v>0</v>
      </c>
      <c r="F198" s="8"/>
      <c r="G198" s="8"/>
      <c r="H198" s="8"/>
      <c r="I198" s="8"/>
      <c r="J198" s="8">
        <f t="shared" si="68"/>
        <v>16200000</v>
      </c>
      <c r="K198" s="8">
        <f>5000000+3200000+8000000</f>
        <v>16200000</v>
      </c>
      <c r="L198" s="8"/>
      <c r="M198" s="8"/>
      <c r="N198" s="8"/>
      <c r="O198" s="8">
        <f>5000000+3200000+8000000</f>
        <v>16200000</v>
      </c>
      <c r="P198" s="8">
        <f t="shared" si="66"/>
        <v>16200000</v>
      </c>
    </row>
    <row r="199" spans="1:16" s="21" customFormat="1" ht="62.4">
      <c r="A199" s="7"/>
      <c r="B199" s="7"/>
      <c r="C199" s="7"/>
      <c r="D199" s="1" t="s">
        <v>344</v>
      </c>
      <c r="E199" s="8">
        <f t="shared" si="72"/>
        <v>976400</v>
      </c>
      <c r="F199" s="8">
        <f>950000+26400</f>
        <v>976400</v>
      </c>
      <c r="G199" s="8"/>
      <c r="H199" s="8"/>
      <c r="I199" s="8"/>
      <c r="J199" s="8">
        <f t="shared" si="68"/>
        <v>1550000</v>
      </c>
      <c r="K199" s="8">
        <v>1550000</v>
      </c>
      <c r="L199" s="8"/>
      <c r="M199" s="8"/>
      <c r="N199" s="8"/>
      <c r="O199" s="8">
        <v>1550000</v>
      </c>
      <c r="P199" s="8">
        <f t="shared" si="66"/>
        <v>2526400</v>
      </c>
    </row>
    <row r="200" spans="1:16" s="21" customFormat="1" ht="78">
      <c r="A200" s="7"/>
      <c r="B200" s="7"/>
      <c r="C200" s="7"/>
      <c r="D200" s="1" t="s">
        <v>345</v>
      </c>
      <c r="E200" s="8">
        <f t="shared" si="72"/>
        <v>2000000</v>
      </c>
      <c r="F200" s="8">
        <v>2000000</v>
      </c>
      <c r="G200" s="8"/>
      <c r="H200" s="8"/>
      <c r="I200" s="8"/>
      <c r="J200" s="8">
        <f t="shared" si="68"/>
        <v>0</v>
      </c>
      <c r="K200" s="8"/>
      <c r="L200" s="8"/>
      <c r="M200" s="8"/>
      <c r="N200" s="8"/>
      <c r="O200" s="8"/>
      <c r="P200" s="8">
        <f t="shared" si="66"/>
        <v>2000000</v>
      </c>
    </row>
    <row r="201" spans="1:16" s="21" customFormat="1" ht="62.4">
      <c r="A201" s="7"/>
      <c r="B201" s="7"/>
      <c r="C201" s="7"/>
      <c r="D201" s="1" t="s">
        <v>363</v>
      </c>
      <c r="E201" s="8">
        <f t="shared" si="72"/>
        <v>0</v>
      </c>
      <c r="F201" s="8"/>
      <c r="G201" s="8"/>
      <c r="H201" s="8"/>
      <c r="I201" s="8"/>
      <c r="J201" s="8">
        <f t="shared" si="68"/>
        <v>950000</v>
      </c>
      <c r="K201" s="8">
        <v>950000</v>
      </c>
      <c r="L201" s="8"/>
      <c r="M201" s="8"/>
      <c r="N201" s="8"/>
      <c r="O201" s="8">
        <v>950000</v>
      </c>
      <c r="P201" s="8">
        <f t="shared" si="66"/>
        <v>950000</v>
      </c>
    </row>
    <row r="202" spans="1:16">
      <c r="A202" s="2" t="s">
        <v>285</v>
      </c>
      <c r="B202" s="2" t="s">
        <v>285</v>
      </c>
      <c r="C202" s="2" t="s">
        <v>285</v>
      </c>
      <c r="D202" s="10" t="s">
        <v>284</v>
      </c>
      <c r="E202" s="4">
        <f>F202+I202+E187</f>
        <v>970734818.69000006</v>
      </c>
      <c r="F202" s="4">
        <f>F19+F55+F88+F108+F112+F124+F133+F158+F174+F183</f>
        <v>842562007.69000006</v>
      </c>
      <c r="G202" s="4">
        <f>G19+G55+G88+G108+G112+G124+G133+G158+G174+G183</f>
        <v>541532573.04999995</v>
      </c>
      <c r="H202" s="4">
        <f>H19+H55+H88+H108+H112+H124+H133+H158+H174+H183</f>
        <v>43388604</v>
      </c>
      <c r="I202" s="4">
        <f>I19+I55+I88+I108+I112+I124+I133+I158+I174+I183</f>
        <v>124979011</v>
      </c>
      <c r="J202" s="4">
        <f>L202+O202</f>
        <v>375516066.68000001</v>
      </c>
      <c r="K202" s="4">
        <f>K19+K55+K88+K108+K112+K124+K133+K158+K174+K183</f>
        <v>354217946.36000001</v>
      </c>
      <c r="L202" s="4">
        <f>L19+L55+L88+L108+L112+L124+L133+L158+L174+L183</f>
        <v>17953500</v>
      </c>
      <c r="M202" s="4">
        <f>M19+M55+M88+M108+M112+M124+M133+M158+M174+M183</f>
        <v>525100</v>
      </c>
      <c r="N202" s="4">
        <f>N19+N55+N88+N108+N112+N124+N133+N158+N174+N183</f>
        <v>0</v>
      </c>
      <c r="O202" s="4">
        <f>O19+O55+O88+O108+O112+O124+O133+O158+O174+O183</f>
        <v>357562566.68000001</v>
      </c>
      <c r="P202" s="4">
        <f t="shared" si="66"/>
        <v>1346250885.3700001</v>
      </c>
    </row>
    <row r="204" spans="1:16" s="15" customFormat="1" ht="18">
      <c r="A204" s="11"/>
      <c r="B204" s="11"/>
      <c r="C204" s="12" t="s">
        <v>301</v>
      </c>
      <c r="D204" s="13" t="s">
        <v>302</v>
      </c>
      <c r="E204" s="14">
        <f t="shared" ref="E204:O204" si="73">E21+E26+E27+E57+E58+E90+E91+E110+E114+E115+E126+E127+E135+E136+E137+E160+E161+E176+E177+E185+E186</f>
        <v>128934294</v>
      </c>
      <c r="F204" s="14">
        <f t="shared" si="73"/>
        <v>128934294</v>
      </c>
      <c r="G204" s="14">
        <f t="shared" si="73"/>
        <v>112737000</v>
      </c>
      <c r="H204" s="14">
        <f t="shared" si="73"/>
        <v>6071760</v>
      </c>
      <c r="I204" s="14">
        <f t="shared" si="73"/>
        <v>0</v>
      </c>
      <c r="J204" s="14">
        <f t="shared" si="73"/>
        <v>1238600</v>
      </c>
      <c r="K204" s="14">
        <f t="shared" si="73"/>
        <v>1100000</v>
      </c>
      <c r="L204" s="14">
        <f t="shared" si="73"/>
        <v>138600</v>
      </c>
      <c r="M204" s="14">
        <f t="shared" si="73"/>
        <v>0</v>
      </c>
      <c r="N204" s="14">
        <f t="shared" si="73"/>
        <v>0</v>
      </c>
      <c r="O204" s="14">
        <f t="shared" si="73"/>
        <v>1100000</v>
      </c>
      <c r="P204" s="14">
        <f>E204+J204</f>
        <v>130172894</v>
      </c>
    </row>
    <row r="205" spans="1:16" s="15" customFormat="1" ht="18">
      <c r="A205" s="11"/>
      <c r="B205" s="11"/>
      <c r="C205" s="12" t="s">
        <v>303</v>
      </c>
      <c r="D205" s="13" t="s">
        <v>304</v>
      </c>
      <c r="E205" s="14">
        <f t="shared" ref="E205:O205" si="74">E59+E60+E61+E62+E63+E64+E65+E66+E67+E68+E69+E70+E71+E72+E73+E77+E81+E82+E116</f>
        <v>423218847.99000001</v>
      </c>
      <c r="F205" s="14">
        <f t="shared" si="74"/>
        <v>423152847.99000001</v>
      </c>
      <c r="G205" s="14">
        <f t="shared" si="74"/>
        <v>350454779.99000001</v>
      </c>
      <c r="H205" s="14">
        <f t="shared" si="74"/>
        <v>33155361</v>
      </c>
      <c r="I205" s="14">
        <f t="shared" si="74"/>
        <v>66000</v>
      </c>
      <c r="J205" s="14">
        <f t="shared" si="74"/>
        <v>34201975</v>
      </c>
      <c r="K205" s="14">
        <f t="shared" si="74"/>
        <v>15144059</v>
      </c>
      <c r="L205" s="14">
        <f t="shared" si="74"/>
        <v>17325000</v>
      </c>
      <c r="M205" s="14">
        <f t="shared" si="74"/>
        <v>495100</v>
      </c>
      <c r="N205" s="14">
        <f t="shared" si="74"/>
        <v>0</v>
      </c>
      <c r="O205" s="14">
        <f t="shared" si="74"/>
        <v>16876975</v>
      </c>
      <c r="P205" s="14">
        <f t="shared" ref="P205:P213" si="75">E205+J205</f>
        <v>457420822.99000001</v>
      </c>
    </row>
    <row r="206" spans="1:16" s="15" customFormat="1" ht="18">
      <c r="A206" s="11"/>
      <c r="B206" s="11"/>
      <c r="C206" s="12" t="s">
        <v>305</v>
      </c>
      <c r="D206" s="13" t="s">
        <v>306</v>
      </c>
      <c r="E206" s="14">
        <f t="shared" ref="E206:O206" si="76">E28+E29+E30+E31+E162</f>
        <v>44620756</v>
      </c>
      <c r="F206" s="14">
        <f t="shared" si="76"/>
        <v>44620756</v>
      </c>
      <c r="G206" s="14">
        <f t="shared" si="76"/>
        <v>0</v>
      </c>
      <c r="H206" s="14">
        <f t="shared" si="76"/>
        <v>0</v>
      </c>
      <c r="I206" s="14">
        <f t="shared" si="76"/>
        <v>0</v>
      </c>
      <c r="J206" s="14">
        <f t="shared" si="76"/>
        <v>8446776</v>
      </c>
      <c r="K206" s="14">
        <f t="shared" si="76"/>
        <v>8446776</v>
      </c>
      <c r="L206" s="14">
        <f t="shared" si="76"/>
        <v>0</v>
      </c>
      <c r="M206" s="14">
        <f t="shared" si="76"/>
        <v>0</v>
      </c>
      <c r="N206" s="14">
        <f t="shared" si="76"/>
        <v>0</v>
      </c>
      <c r="O206" s="14">
        <f t="shared" si="76"/>
        <v>8446776</v>
      </c>
      <c r="P206" s="14">
        <f t="shared" si="75"/>
        <v>53067532</v>
      </c>
    </row>
    <row r="207" spans="1:16" s="15" customFormat="1" ht="31.8">
      <c r="A207" s="11"/>
      <c r="B207" s="11"/>
      <c r="C207" s="12" t="s">
        <v>307</v>
      </c>
      <c r="D207" s="13" t="s">
        <v>308</v>
      </c>
      <c r="E207" s="14">
        <f t="shared" ref="E207:O207" si="77">E32+E83+E84+E92+E93+E94+E95+E96+E97+E98+E99+E100+E101+E102+E103+E104+E105+E106+E111+E117+E128+E138</f>
        <v>97671498.060000002</v>
      </c>
      <c r="F207" s="14">
        <f t="shared" si="77"/>
        <v>97671498.060000002</v>
      </c>
      <c r="G207" s="14">
        <f t="shared" si="77"/>
        <v>25337493.059999999</v>
      </c>
      <c r="H207" s="14">
        <f t="shared" si="77"/>
        <v>650600</v>
      </c>
      <c r="I207" s="14">
        <f t="shared" si="77"/>
        <v>0</v>
      </c>
      <c r="J207" s="14">
        <f t="shared" si="77"/>
        <v>6660247</v>
      </c>
      <c r="K207" s="14">
        <f t="shared" si="77"/>
        <v>6603847</v>
      </c>
      <c r="L207" s="14">
        <f t="shared" si="77"/>
        <v>0</v>
      </c>
      <c r="M207" s="14">
        <f t="shared" si="77"/>
        <v>0</v>
      </c>
      <c r="N207" s="14">
        <f t="shared" si="77"/>
        <v>0</v>
      </c>
      <c r="O207" s="14">
        <f t="shared" si="77"/>
        <v>6660247</v>
      </c>
      <c r="P207" s="14">
        <f t="shared" si="75"/>
        <v>104331745.06</v>
      </c>
    </row>
    <row r="208" spans="1:16" s="15" customFormat="1" ht="18">
      <c r="A208" s="11"/>
      <c r="B208" s="11"/>
      <c r="C208" s="12" t="s">
        <v>309</v>
      </c>
      <c r="D208" s="13" t="s">
        <v>310</v>
      </c>
      <c r="E208" s="14">
        <f t="shared" ref="E208:O208" si="78">E118+E119+E120+E121+E122</f>
        <v>29641900</v>
      </c>
      <c r="F208" s="14">
        <f t="shared" si="78"/>
        <v>29641900</v>
      </c>
      <c r="G208" s="14">
        <f t="shared" si="78"/>
        <v>24290200</v>
      </c>
      <c r="H208" s="14">
        <f t="shared" si="78"/>
        <v>2559900</v>
      </c>
      <c r="I208" s="14">
        <f t="shared" si="78"/>
        <v>0</v>
      </c>
      <c r="J208" s="14">
        <f t="shared" si="78"/>
        <v>470000</v>
      </c>
      <c r="K208" s="14">
        <f t="shared" si="78"/>
        <v>190000</v>
      </c>
      <c r="L208" s="14">
        <f t="shared" si="78"/>
        <v>280000</v>
      </c>
      <c r="M208" s="14">
        <f t="shared" si="78"/>
        <v>30000</v>
      </c>
      <c r="N208" s="14">
        <f t="shared" si="78"/>
        <v>0</v>
      </c>
      <c r="O208" s="14">
        <f t="shared" si="78"/>
        <v>190000</v>
      </c>
      <c r="P208" s="14">
        <f t="shared" si="75"/>
        <v>30111900</v>
      </c>
    </row>
    <row r="209" spans="1:16" s="15" customFormat="1" ht="18">
      <c r="A209" s="11"/>
      <c r="B209" s="11"/>
      <c r="C209" s="12" t="s">
        <v>311</v>
      </c>
      <c r="D209" s="13" t="s">
        <v>312</v>
      </c>
      <c r="E209" s="14">
        <f t="shared" ref="E209:O209" si="79">E85+E129+E130+E131+E132</f>
        <v>14946391</v>
      </c>
      <c r="F209" s="14">
        <f t="shared" si="79"/>
        <v>14946391</v>
      </c>
      <c r="G209" s="14">
        <f t="shared" si="79"/>
        <v>9740000</v>
      </c>
      <c r="H209" s="14">
        <f t="shared" si="79"/>
        <v>770480</v>
      </c>
      <c r="I209" s="14">
        <f t="shared" si="79"/>
        <v>0</v>
      </c>
      <c r="J209" s="14">
        <f t="shared" si="79"/>
        <v>0</v>
      </c>
      <c r="K209" s="14">
        <f t="shared" si="79"/>
        <v>0</v>
      </c>
      <c r="L209" s="14">
        <f t="shared" si="79"/>
        <v>0</v>
      </c>
      <c r="M209" s="14">
        <f t="shared" si="79"/>
        <v>0</v>
      </c>
      <c r="N209" s="14">
        <f t="shared" si="79"/>
        <v>0</v>
      </c>
      <c r="O209" s="14">
        <f t="shared" si="79"/>
        <v>0</v>
      </c>
      <c r="P209" s="14">
        <f t="shared" si="75"/>
        <v>14946391</v>
      </c>
    </row>
    <row r="210" spans="1:16" s="15" customFormat="1" ht="18">
      <c r="A210" s="11"/>
      <c r="B210" s="11"/>
      <c r="C210" s="12" t="s">
        <v>313</v>
      </c>
      <c r="D210" s="13" t="s">
        <v>314</v>
      </c>
      <c r="E210" s="14">
        <f t="shared" ref="E210:O210" si="80">E33+E139+E140+E141+E142+E143+E144+E163+E164+E165+E166+E178</f>
        <v>87013209</v>
      </c>
      <c r="F210" s="14">
        <f t="shared" si="80"/>
        <v>29765200</v>
      </c>
      <c r="G210" s="14">
        <f t="shared" si="80"/>
        <v>0</v>
      </c>
      <c r="H210" s="14">
        <f t="shared" si="80"/>
        <v>0</v>
      </c>
      <c r="I210" s="14">
        <f t="shared" si="80"/>
        <v>57248009</v>
      </c>
      <c r="J210" s="14">
        <f t="shared" si="80"/>
        <v>30011129</v>
      </c>
      <c r="K210" s="14">
        <f t="shared" si="80"/>
        <v>30011129</v>
      </c>
      <c r="L210" s="14">
        <f t="shared" si="80"/>
        <v>0</v>
      </c>
      <c r="M210" s="14">
        <f t="shared" si="80"/>
        <v>0</v>
      </c>
      <c r="N210" s="14">
        <f t="shared" si="80"/>
        <v>0</v>
      </c>
      <c r="O210" s="14">
        <f t="shared" si="80"/>
        <v>30011129</v>
      </c>
      <c r="P210" s="14">
        <f t="shared" si="75"/>
        <v>117024338</v>
      </c>
    </row>
    <row r="211" spans="1:16" s="15" customFormat="1" ht="18">
      <c r="A211" s="11"/>
      <c r="B211" s="11"/>
      <c r="C211" s="12" t="s">
        <v>315</v>
      </c>
      <c r="D211" s="13" t="s">
        <v>316</v>
      </c>
      <c r="E211" s="14">
        <f t="shared" ref="E211:O211" si="81">E37+E38+E39+E46+E47+E86+E107+E123+E145+E146+E147+E148+E149+E150+E151+E167+E168+E169+E170+E171+E179+E180+E181</f>
        <v>95159742</v>
      </c>
      <c r="F211" s="14">
        <f t="shared" si="81"/>
        <v>27494740</v>
      </c>
      <c r="G211" s="14">
        <f t="shared" si="81"/>
        <v>0</v>
      </c>
      <c r="H211" s="14">
        <f t="shared" si="81"/>
        <v>0</v>
      </c>
      <c r="I211" s="14">
        <f t="shared" si="81"/>
        <v>67665002</v>
      </c>
      <c r="J211" s="14">
        <f t="shared" si="81"/>
        <v>205946042.31999999</v>
      </c>
      <c r="K211" s="14">
        <f t="shared" si="81"/>
        <v>204889438</v>
      </c>
      <c r="L211" s="14">
        <f t="shared" si="81"/>
        <v>0</v>
      </c>
      <c r="M211" s="14">
        <f t="shared" si="81"/>
        <v>0</v>
      </c>
      <c r="N211" s="14">
        <f t="shared" si="81"/>
        <v>0</v>
      </c>
      <c r="O211" s="14">
        <f t="shared" si="81"/>
        <v>205946042.31999999</v>
      </c>
      <c r="P211" s="14">
        <f>E211+J211</f>
        <v>301105784.31999999</v>
      </c>
    </row>
    <row r="212" spans="1:16" s="16" customFormat="1" ht="18">
      <c r="A212" s="11"/>
      <c r="B212" s="11"/>
      <c r="C212" s="12" t="s">
        <v>317</v>
      </c>
      <c r="D212" s="13" t="s">
        <v>325</v>
      </c>
      <c r="E212" s="14">
        <f t="shared" ref="E212:O212" si="82">E48+E49+E50+E51+E52+E53+E54+E87+E153+E154+E155+E156+E157+E152+E172+E173+E182+E187</f>
        <v>33445666.640000001</v>
      </c>
      <c r="F212" s="14">
        <f t="shared" si="82"/>
        <v>30251866.640000001</v>
      </c>
      <c r="G212" s="14">
        <f t="shared" si="82"/>
        <v>18973100</v>
      </c>
      <c r="H212" s="14">
        <f t="shared" si="82"/>
        <v>180503</v>
      </c>
      <c r="I212" s="14">
        <f t="shared" si="82"/>
        <v>0</v>
      </c>
      <c r="J212" s="14">
        <f t="shared" si="82"/>
        <v>33838530.359999999</v>
      </c>
      <c r="K212" s="14">
        <f t="shared" si="82"/>
        <v>33129930.359999999</v>
      </c>
      <c r="L212" s="14">
        <f t="shared" si="82"/>
        <v>209900</v>
      </c>
      <c r="M212" s="14">
        <f t="shared" si="82"/>
        <v>0</v>
      </c>
      <c r="N212" s="14">
        <f t="shared" si="82"/>
        <v>0</v>
      </c>
      <c r="O212" s="14">
        <f t="shared" si="82"/>
        <v>33628630.359999999</v>
      </c>
      <c r="P212" s="14">
        <f t="shared" si="75"/>
        <v>67284197</v>
      </c>
    </row>
    <row r="213" spans="1:16" ht="18">
      <c r="A213" s="11"/>
      <c r="B213" s="11"/>
      <c r="C213" s="12" t="s">
        <v>318</v>
      </c>
      <c r="D213" s="13" t="s">
        <v>319</v>
      </c>
      <c r="E213" s="14">
        <f t="shared" ref="E213:O213" si="83">E188+E195</f>
        <v>16082514</v>
      </c>
      <c r="F213" s="14">
        <f t="shared" si="83"/>
        <v>16082514</v>
      </c>
      <c r="G213" s="14">
        <f t="shared" si="83"/>
        <v>0</v>
      </c>
      <c r="H213" s="14">
        <f t="shared" si="83"/>
        <v>0</v>
      </c>
      <c r="I213" s="14">
        <f t="shared" si="83"/>
        <v>0</v>
      </c>
      <c r="J213" s="14">
        <f t="shared" si="83"/>
        <v>54702767</v>
      </c>
      <c r="K213" s="14">
        <f t="shared" si="83"/>
        <v>54702767</v>
      </c>
      <c r="L213" s="14">
        <f t="shared" si="83"/>
        <v>0</v>
      </c>
      <c r="M213" s="14">
        <f t="shared" si="83"/>
        <v>0</v>
      </c>
      <c r="N213" s="14">
        <f t="shared" si="83"/>
        <v>0</v>
      </c>
      <c r="O213" s="14">
        <f t="shared" si="83"/>
        <v>54702767</v>
      </c>
      <c r="P213" s="14">
        <f t="shared" si="75"/>
        <v>70785281</v>
      </c>
    </row>
    <row r="214" spans="1:16">
      <c r="A214" s="18"/>
      <c r="B214" s="18"/>
      <c r="C214" s="18"/>
      <c r="D214" s="18" t="s">
        <v>16</v>
      </c>
      <c r="E214" s="19">
        <f>SUM(E204:E213)</f>
        <v>970734818.68999994</v>
      </c>
      <c r="F214" s="19">
        <f>SUM(F204:F213)</f>
        <v>842562007.68999994</v>
      </c>
      <c r="G214" s="19">
        <f>SUM(G204:G213)</f>
        <v>541532573.04999995</v>
      </c>
      <c r="H214" s="19">
        <f t="shared" ref="H214:O214" si="84">SUM(H204:H213)</f>
        <v>43388604</v>
      </c>
      <c r="I214" s="19">
        <f t="shared" si="84"/>
        <v>124979011</v>
      </c>
      <c r="J214" s="19">
        <f t="shared" si="84"/>
        <v>375516066.68000001</v>
      </c>
      <c r="K214" s="19">
        <f>SUM(K204:K213)</f>
        <v>354217946.36000001</v>
      </c>
      <c r="L214" s="19">
        <f t="shared" si="84"/>
        <v>17953500</v>
      </c>
      <c r="M214" s="19">
        <f t="shared" si="84"/>
        <v>525100</v>
      </c>
      <c r="N214" s="19">
        <f t="shared" si="84"/>
        <v>0</v>
      </c>
      <c r="O214" s="19">
        <f t="shared" si="84"/>
        <v>357562566.68000001</v>
      </c>
      <c r="P214" s="19">
        <f>E214+J214</f>
        <v>1346250885.3699999</v>
      </c>
    </row>
    <row r="215" spans="1:16" ht="11.4" customHeight="1"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>
      <c r="D216" s="17" t="s">
        <v>295</v>
      </c>
      <c r="E216" s="20"/>
      <c r="F216" s="20"/>
      <c r="G216" s="20"/>
      <c r="H216" s="20"/>
      <c r="I216" s="20" t="s">
        <v>296</v>
      </c>
      <c r="J216" s="20"/>
      <c r="K216" s="20"/>
      <c r="L216" s="20"/>
      <c r="M216" s="20"/>
      <c r="N216" s="20"/>
      <c r="O216" s="20"/>
      <c r="P216" s="20"/>
    </row>
    <row r="217" spans="1:16">
      <c r="E217" s="38"/>
    </row>
    <row r="218" spans="1:16">
      <c r="O218" s="17" t="s">
        <v>391</v>
      </c>
    </row>
  </sheetData>
  <mergeCells count="22"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  <mergeCell ref="J15:J17"/>
    <mergeCell ref="K15:K17"/>
    <mergeCell ref="L15:L17"/>
    <mergeCell ref="M15:N15"/>
    <mergeCell ref="M16:M17"/>
    <mergeCell ref="N16:N17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2024-09-24T11:40:31Z</cp:lastPrinted>
  <dcterms:created xsi:type="dcterms:W3CDTF">2023-12-16T13:37:11Z</dcterms:created>
  <dcterms:modified xsi:type="dcterms:W3CDTF">2024-09-26T15:18:08Z</dcterms:modified>
</cp:coreProperties>
</file>