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-120" yWindow="-120" windowWidth="20736" windowHeight="11760"/>
  </bookViews>
  <sheets>
    <sheet name="2024" sheetId="10" r:id="rId1"/>
  </sheets>
  <definedNames>
    <definedName name="_xlnm.Print_Titles" localSheetId="0">'2024'!$2:$7</definedName>
    <definedName name="_xlnm.Print_Area" localSheetId="0">'2024'!$A$1:$T$165</definedName>
  </definedNames>
  <calcPr calcId="152511"/>
</workbook>
</file>

<file path=xl/calcChain.xml><?xml version="1.0" encoding="utf-8"?>
<calcChain xmlns="http://schemas.openxmlformats.org/spreadsheetml/2006/main">
  <c r="M10" i="10" l="1"/>
  <c r="N10" i="10"/>
  <c r="P10" i="10"/>
  <c r="Q10" i="10"/>
  <c r="R10" i="10"/>
  <c r="S10" i="10"/>
  <c r="T10" i="10"/>
  <c r="M11" i="10"/>
  <c r="N11" i="10"/>
  <c r="P11" i="10"/>
  <c r="Q11" i="10"/>
  <c r="R11" i="10"/>
  <c r="S11" i="10"/>
  <c r="T11" i="10"/>
  <c r="M12" i="10"/>
  <c r="N12" i="10"/>
  <c r="O12" i="10"/>
  <c r="P12" i="10"/>
  <c r="Q12" i="10"/>
  <c r="R12" i="10"/>
  <c r="S12" i="10"/>
  <c r="T12" i="10"/>
  <c r="M13" i="10"/>
  <c r="N13" i="10"/>
  <c r="O13" i="10"/>
  <c r="P13" i="10"/>
  <c r="Q13" i="10"/>
  <c r="R13" i="10"/>
  <c r="S13" i="10"/>
  <c r="T13" i="10"/>
  <c r="M14" i="10"/>
  <c r="N14" i="10"/>
  <c r="O14" i="10"/>
  <c r="P14" i="10"/>
  <c r="Q14" i="10"/>
  <c r="R14" i="10"/>
  <c r="S14" i="10"/>
  <c r="T14" i="10"/>
  <c r="M15" i="10"/>
  <c r="N15" i="10"/>
  <c r="O15" i="10"/>
  <c r="P15" i="10"/>
  <c r="Q15" i="10"/>
  <c r="R15" i="10"/>
  <c r="S15" i="10"/>
  <c r="T15" i="10"/>
  <c r="M16" i="10"/>
  <c r="N16" i="10"/>
  <c r="O16" i="10"/>
  <c r="P16" i="10"/>
  <c r="Q16" i="10"/>
  <c r="R16" i="10"/>
  <c r="S16" i="10"/>
  <c r="T16" i="10"/>
  <c r="M17" i="10"/>
  <c r="N17" i="10"/>
  <c r="O17" i="10"/>
  <c r="P17" i="10"/>
  <c r="Q17" i="10"/>
  <c r="R17" i="10"/>
  <c r="S17" i="10"/>
  <c r="T17" i="10"/>
  <c r="M18" i="10"/>
  <c r="N18" i="10"/>
  <c r="Q18" i="10"/>
  <c r="R18" i="10"/>
  <c r="S18" i="10"/>
  <c r="T18" i="10"/>
  <c r="O19" i="10"/>
  <c r="P19" i="10"/>
  <c r="Q19" i="10"/>
  <c r="R19" i="10"/>
  <c r="S19" i="10"/>
  <c r="T19" i="10"/>
  <c r="M20" i="10"/>
  <c r="N20" i="10"/>
  <c r="O20" i="10"/>
  <c r="P20" i="10"/>
  <c r="Q20" i="10"/>
  <c r="R20" i="10"/>
  <c r="S20" i="10"/>
  <c r="T20" i="10"/>
  <c r="M21" i="10"/>
  <c r="N21" i="10"/>
  <c r="O21" i="10"/>
  <c r="P21" i="10"/>
  <c r="Q21" i="10"/>
  <c r="R21" i="10"/>
  <c r="S21" i="10"/>
  <c r="T21" i="10"/>
  <c r="M22" i="10"/>
  <c r="N22" i="10"/>
  <c r="O22" i="10"/>
  <c r="P22" i="10"/>
  <c r="Q22" i="10"/>
  <c r="R22" i="10"/>
  <c r="S22" i="10"/>
  <c r="T22" i="10"/>
  <c r="M23" i="10"/>
  <c r="N23" i="10"/>
  <c r="O23" i="10"/>
  <c r="P23" i="10"/>
  <c r="Q23" i="10"/>
  <c r="R23" i="10"/>
  <c r="S23" i="10"/>
  <c r="T23" i="10"/>
  <c r="M24" i="10"/>
  <c r="N24" i="10"/>
  <c r="O24" i="10"/>
  <c r="P24" i="10"/>
  <c r="Q24" i="10"/>
  <c r="R24" i="10"/>
  <c r="S24" i="10"/>
  <c r="T24" i="10"/>
  <c r="M25" i="10"/>
  <c r="N25" i="10"/>
  <c r="O25" i="10"/>
  <c r="P25" i="10"/>
  <c r="Q25" i="10"/>
  <c r="R25" i="10"/>
  <c r="S25" i="10"/>
  <c r="T25" i="10"/>
  <c r="M26" i="10"/>
  <c r="N26" i="10"/>
  <c r="O26" i="10"/>
  <c r="P26" i="10"/>
  <c r="Q26" i="10"/>
  <c r="R26" i="10"/>
  <c r="S26" i="10"/>
  <c r="T26" i="10"/>
  <c r="M27" i="10"/>
  <c r="N27" i="10"/>
  <c r="O27" i="10"/>
  <c r="P27" i="10"/>
  <c r="Q27" i="10"/>
  <c r="R27" i="10"/>
  <c r="S27" i="10"/>
  <c r="T27" i="10"/>
  <c r="M28" i="10"/>
  <c r="N28" i="10"/>
  <c r="O28" i="10"/>
  <c r="P28" i="10"/>
  <c r="Q28" i="10"/>
  <c r="R28" i="10"/>
  <c r="S28" i="10"/>
  <c r="T28" i="10"/>
  <c r="M29" i="10"/>
  <c r="N29" i="10"/>
  <c r="O29" i="10"/>
  <c r="P29" i="10"/>
  <c r="Q29" i="10"/>
  <c r="R29" i="10"/>
  <c r="S29" i="10"/>
  <c r="T29" i="10"/>
  <c r="M30" i="10"/>
  <c r="N30" i="10"/>
  <c r="O30" i="10"/>
  <c r="P30" i="10"/>
  <c r="Q30" i="10"/>
  <c r="R30" i="10"/>
  <c r="S30" i="10"/>
  <c r="T30" i="10"/>
  <c r="M31" i="10"/>
  <c r="N31" i="10"/>
  <c r="O31" i="10"/>
  <c r="P31" i="10"/>
  <c r="Q31" i="10"/>
  <c r="R31" i="10"/>
  <c r="S31" i="10"/>
  <c r="T31" i="10"/>
  <c r="M32" i="10"/>
  <c r="N32" i="10"/>
  <c r="O32" i="10"/>
  <c r="P32" i="10"/>
  <c r="Q32" i="10"/>
  <c r="R32" i="10"/>
  <c r="S32" i="10"/>
  <c r="T32" i="10"/>
  <c r="M33" i="10"/>
  <c r="N33" i="10"/>
  <c r="O33" i="10"/>
  <c r="P33" i="10"/>
  <c r="Q33" i="10"/>
  <c r="R33" i="10"/>
  <c r="S33" i="10"/>
  <c r="T33" i="10"/>
  <c r="M34" i="10"/>
  <c r="N34" i="10"/>
  <c r="O34" i="10"/>
  <c r="P34" i="10"/>
  <c r="Q34" i="10"/>
  <c r="R34" i="10"/>
  <c r="S34" i="10"/>
  <c r="T34" i="10"/>
  <c r="M35" i="10"/>
  <c r="N35" i="10"/>
  <c r="O35" i="10"/>
  <c r="P35" i="10"/>
  <c r="Q35" i="10"/>
  <c r="R35" i="10"/>
  <c r="S35" i="10"/>
  <c r="T35" i="10"/>
  <c r="M36" i="10"/>
  <c r="N36" i="10"/>
  <c r="O36" i="10"/>
  <c r="P36" i="10"/>
  <c r="Q36" i="10"/>
  <c r="R36" i="10"/>
  <c r="S36" i="10"/>
  <c r="T36" i="10"/>
  <c r="M37" i="10"/>
  <c r="N37" i="10"/>
  <c r="O37" i="10"/>
  <c r="P37" i="10"/>
  <c r="Q37" i="10"/>
  <c r="R37" i="10"/>
  <c r="S37" i="10"/>
  <c r="T37" i="10"/>
  <c r="M38" i="10"/>
  <c r="N38" i="10"/>
  <c r="O38" i="10"/>
  <c r="Q38" i="10"/>
  <c r="R38" i="10"/>
  <c r="S38" i="10"/>
  <c r="T38" i="10"/>
  <c r="M39" i="10"/>
  <c r="N39" i="10"/>
  <c r="O39" i="10"/>
  <c r="Q39" i="10"/>
  <c r="R39" i="10"/>
  <c r="S39" i="10"/>
  <c r="T39" i="10"/>
  <c r="M40" i="10"/>
  <c r="N40" i="10"/>
  <c r="O40" i="10"/>
  <c r="P40" i="10"/>
  <c r="Q40" i="10"/>
  <c r="R40" i="10"/>
  <c r="S40" i="10"/>
  <c r="T40" i="10"/>
  <c r="M41" i="10"/>
  <c r="N41" i="10"/>
  <c r="O41" i="10"/>
  <c r="P41" i="10"/>
  <c r="Q41" i="10"/>
  <c r="R41" i="10"/>
  <c r="S41" i="10"/>
  <c r="T41" i="10"/>
  <c r="M42" i="10"/>
  <c r="N42" i="10"/>
  <c r="O42" i="10"/>
  <c r="P42" i="10"/>
  <c r="Q42" i="10"/>
  <c r="R42" i="10"/>
  <c r="S42" i="10"/>
  <c r="T42" i="10"/>
  <c r="M43" i="10"/>
  <c r="N43" i="10"/>
  <c r="O43" i="10"/>
  <c r="P43" i="10"/>
  <c r="Q43" i="10"/>
  <c r="R43" i="10"/>
  <c r="S43" i="10"/>
  <c r="T43" i="10"/>
  <c r="M44" i="10"/>
  <c r="N44" i="10"/>
  <c r="O44" i="10"/>
  <c r="P44" i="10"/>
  <c r="Q44" i="10"/>
  <c r="R44" i="10"/>
  <c r="S44" i="10"/>
  <c r="T44" i="10"/>
  <c r="M45" i="10"/>
  <c r="N45" i="10"/>
  <c r="O45" i="10"/>
  <c r="P45" i="10"/>
  <c r="Q45" i="10"/>
  <c r="R45" i="10"/>
  <c r="S45" i="10"/>
  <c r="T45" i="10"/>
  <c r="M46" i="10"/>
  <c r="N46" i="10"/>
  <c r="O46" i="10"/>
  <c r="P46" i="10"/>
  <c r="Q46" i="10"/>
  <c r="R46" i="10"/>
  <c r="S46" i="10"/>
  <c r="T46" i="10"/>
  <c r="M47" i="10"/>
  <c r="N47" i="10"/>
  <c r="O47" i="10"/>
  <c r="P47" i="10"/>
  <c r="Q47" i="10"/>
  <c r="R47" i="10"/>
  <c r="S47" i="10"/>
  <c r="T47" i="10"/>
  <c r="M48" i="10"/>
  <c r="N48" i="10"/>
  <c r="O48" i="10"/>
  <c r="P48" i="10"/>
  <c r="Q48" i="10"/>
  <c r="R48" i="10"/>
  <c r="S48" i="10"/>
  <c r="T48" i="10"/>
  <c r="M49" i="10"/>
  <c r="N49" i="10"/>
  <c r="P49" i="10"/>
  <c r="Q49" i="10"/>
  <c r="R49" i="10"/>
  <c r="S49" i="10"/>
  <c r="T49" i="10"/>
  <c r="M50" i="10"/>
  <c r="N50" i="10"/>
  <c r="O50" i="10"/>
  <c r="P50" i="10"/>
  <c r="Q50" i="10"/>
  <c r="R50" i="10"/>
  <c r="S50" i="10"/>
  <c r="T50" i="10"/>
  <c r="M51" i="10"/>
  <c r="N51" i="10"/>
  <c r="O51" i="10"/>
  <c r="P51" i="10"/>
  <c r="Q51" i="10"/>
  <c r="R51" i="10"/>
  <c r="S51" i="10"/>
  <c r="T51" i="10"/>
  <c r="M52" i="10"/>
  <c r="N52" i="10"/>
  <c r="O52" i="10"/>
  <c r="P52" i="10"/>
  <c r="Q52" i="10"/>
  <c r="R52" i="10"/>
  <c r="S52" i="10"/>
  <c r="T52" i="10"/>
  <c r="M53" i="10"/>
  <c r="N53" i="10"/>
  <c r="O53" i="10"/>
  <c r="P53" i="10"/>
  <c r="Q53" i="10"/>
  <c r="R53" i="10"/>
  <c r="S53" i="10"/>
  <c r="T53" i="10"/>
  <c r="M54" i="10"/>
  <c r="N54" i="10"/>
  <c r="O54" i="10"/>
  <c r="P54" i="10"/>
  <c r="Q54" i="10"/>
  <c r="R54" i="10"/>
  <c r="S54" i="10"/>
  <c r="T54" i="10"/>
  <c r="M55" i="10"/>
  <c r="N55" i="10"/>
  <c r="O55" i="10"/>
  <c r="P55" i="10"/>
  <c r="Q55" i="10"/>
  <c r="R55" i="10"/>
  <c r="S55" i="10"/>
  <c r="T55" i="10"/>
  <c r="M56" i="10"/>
  <c r="N56" i="10"/>
  <c r="O56" i="10"/>
  <c r="P56" i="10"/>
  <c r="Q56" i="10"/>
  <c r="R56" i="10"/>
  <c r="S56" i="10"/>
  <c r="T56" i="10"/>
  <c r="M57" i="10"/>
  <c r="N57" i="10"/>
  <c r="O57" i="10"/>
  <c r="P57" i="10"/>
  <c r="Q57" i="10"/>
  <c r="R57" i="10"/>
  <c r="S57" i="10"/>
  <c r="T57" i="10"/>
  <c r="M58" i="10"/>
  <c r="N58" i="10"/>
  <c r="O58" i="10"/>
  <c r="P58" i="10"/>
  <c r="Q58" i="10"/>
  <c r="R58" i="10"/>
  <c r="S58" i="10"/>
  <c r="T58" i="10"/>
  <c r="M59" i="10"/>
  <c r="N59" i="10"/>
  <c r="O59" i="10"/>
  <c r="P59" i="10"/>
  <c r="Q59" i="10"/>
  <c r="R59" i="10"/>
  <c r="S59" i="10"/>
  <c r="T59" i="10"/>
  <c r="M60" i="10"/>
  <c r="N60" i="10"/>
  <c r="O60" i="10"/>
  <c r="P60" i="10"/>
  <c r="Q60" i="10"/>
  <c r="R60" i="10"/>
  <c r="S60" i="10"/>
  <c r="T60" i="10"/>
  <c r="M61" i="10"/>
  <c r="N61" i="10"/>
  <c r="O61" i="10"/>
  <c r="P61" i="10"/>
  <c r="Q61" i="10"/>
  <c r="R61" i="10"/>
  <c r="S61" i="10"/>
  <c r="T61" i="10"/>
  <c r="M62" i="10"/>
  <c r="N62" i="10"/>
  <c r="O62" i="10"/>
  <c r="P62" i="10"/>
  <c r="Q62" i="10"/>
  <c r="R62" i="10"/>
  <c r="S62" i="10"/>
  <c r="T62" i="10"/>
  <c r="M63" i="10"/>
  <c r="N63" i="10"/>
  <c r="O63" i="10"/>
  <c r="P63" i="10"/>
  <c r="Q63" i="10"/>
  <c r="R63" i="10"/>
  <c r="S63" i="10"/>
  <c r="T63" i="10"/>
  <c r="M64" i="10"/>
  <c r="N64" i="10"/>
  <c r="O64" i="10"/>
  <c r="P64" i="10"/>
  <c r="Q64" i="10"/>
  <c r="R64" i="10"/>
  <c r="S64" i="10"/>
  <c r="T64" i="10"/>
  <c r="M65" i="10"/>
  <c r="N65" i="10"/>
  <c r="O65" i="10"/>
  <c r="P65" i="10"/>
  <c r="Q65" i="10"/>
  <c r="R65" i="10"/>
  <c r="S65" i="10"/>
  <c r="T65" i="10"/>
  <c r="M66" i="10"/>
  <c r="N66" i="10"/>
  <c r="O66" i="10"/>
  <c r="P66" i="10"/>
  <c r="Q66" i="10"/>
  <c r="R66" i="10"/>
  <c r="S66" i="10"/>
  <c r="T66" i="10"/>
  <c r="M67" i="10"/>
  <c r="N67" i="10"/>
  <c r="O67" i="10"/>
  <c r="P67" i="10"/>
  <c r="Q67" i="10"/>
  <c r="R67" i="10"/>
  <c r="S67" i="10"/>
  <c r="T67" i="10"/>
  <c r="M68" i="10"/>
  <c r="N68" i="10"/>
  <c r="O68" i="10"/>
  <c r="P68" i="10"/>
  <c r="Q68" i="10"/>
  <c r="R68" i="10"/>
  <c r="S68" i="10"/>
  <c r="T68" i="10"/>
  <c r="M69" i="10"/>
  <c r="N69" i="10"/>
  <c r="O69" i="10"/>
  <c r="P69" i="10"/>
  <c r="Q69" i="10"/>
  <c r="R69" i="10"/>
  <c r="S69" i="10"/>
  <c r="T69" i="10"/>
  <c r="M70" i="10"/>
  <c r="N70" i="10"/>
  <c r="O70" i="10"/>
  <c r="P70" i="10"/>
  <c r="Q70" i="10"/>
  <c r="R70" i="10"/>
  <c r="S70" i="10"/>
  <c r="T70" i="10"/>
  <c r="M71" i="10"/>
  <c r="N71" i="10"/>
  <c r="O71" i="10"/>
  <c r="P71" i="10"/>
  <c r="Q71" i="10"/>
  <c r="R71" i="10"/>
  <c r="S71" i="10"/>
  <c r="T71" i="10"/>
  <c r="M72" i="10"/>
  <c r="N72" i="10"/>
  <c r="O72" i="10"/>
  <c r="P72" i="10"/>
  <c r="Q72" i="10"/>
  <c r="R72" i="10"/>
  <c r="S72" i="10"/>
  <c r="T72" i="10"/>
  <c r="M73" i="10"/>
  <c r="N73" i="10"/>
  <c r="O73" i="10"/>
  <c r="P73" i="10"/>
  <c r="Q73" i="10"/>
  <c r="R73" i="10"/>
  <c r="S73" i="10"/>
  <c r="T73" i="10"/>
  <c r="M74" i="10"/>
  <c r="N74" i="10"/>
  <c r="O74" i="10"/>
  <c r="P74" i="10"/>
  <c r="Q74" i="10"/>
  <c r="R74" i="10"/>
  <c r="S74" i="10"/>
  <c r="T74" i="10"/>
  <c r="M75" i="10"/>
  <c r="N75" i="10"/>
  <c r="O75" i="10"/>
  <c r="P75" i="10"/>
  <c r="Q75" i="10"/>
  <c r="R75" i="10"/>
  <c r="S75" i="10"/>
  <c r="T75" i="10"/>
  <c r="M76" i="10"/>
  <c r="N76" i="10"/>
  <c r="O76" i="10"/>
  <c r="P76" i="10"/>
  <c r="Q76" i="10"/>
  <c r="R76" i="10"/>
  <c r="S76" i="10"/>
  <c r="T76" i="10"/>
  <c r="M77" i="10"/>
  <c r="N77" i="10"/>
  <c r="O77" i="10"/>
  <c r="P77" i="10"/>
  <c r="Q77" i="10"/>
  <c r="R77" i="10"/>
  <c r="S77" i="10"/>
  <c r="T77" i="10"/>
  <c r="M78" i="10"/>
  <c r="N78" i="10"/>
  <c r="O78" i="10"/>
  <c r="P78" i="10"/>
  <c r="Q78" i="10"/>
  <c r="R78" i="10"/>
  <c r="S78" i="10"/>
  <c r="T78" i="10"/>
  <c r="M79" i="10"/>
  <c r="N79" i="10"/>
  <c r="O79" i="10"/>
  <c r="P79" i="10"/>
  <c r="Q79" i="10"/>
  <c r="R79" i="10"/>
  <c r="S79" i="10"/>
  <c r="T79" i="10"/>
  <c r="O80" i="10"/>
  <c r="P80" i="10"/>
  <c r="Q80" i="10"/>
  <c r="R80" i="10"/>
  <c r="S80" i="10"/>
  <c r="T80" i="10"/>
  <c r="O81" i="10"/>
  <c r="P81" i="10"/>
  <c r="Q81" i="10"/>
  <c r="R81" i="10"/>
  <c r="S81" i="10"/>
  <c r="T81" i="10"/>
  <c r="O82" i="10"/>
  <c r="P82" i="10"/>
  <c r="Q82" i="10"/>
  <c r="R82" i="10"/>
  <c r="S82" i="10"/>
  <c r="T82" i="10"/>
  <c r="O83" i="10"/>
  <c r="P83" i="10"/>
  <c r="Q83" i="10"/>
  <c r="R83" i="10"/>
  <c r="S83" i="10"/>
  <c r="T83" i="10"/>
  <c r="M84" i="10"/>
  <c r="N84" i="10"/>
  <c r="O84" i="10"/>
  <c r="P84" i="10"/>
  <c r="Q84" i="10"/>
  <c r="R84" i="10"/>
  <c r="S84" i="10"/>
  <c r="T84" i="10"/>
  <c r="M85" i="10"/>
  <c r="N85" i="10"/>
  <c r="O85" i="10"/>
  <c r="P85" i="10"/>
  <c r="Q85" i="10"/>
  <c r="R85" i="10"/>
  <c r="S85" i="10"/>
  <c r="T85" i="10"/>
  <c r="M86" i="10"/>
  <c r="N86" i="10"/>
  <c r="O86" i="10"/>
  <c r="P86" i="10"/>
  <c r="Q86" i="10"/>
  <c r="R86" i="10"/>
  <c r="S86" i="10"/>
  <c r="T86" i="10"/>
  <c r="M87" i="10"/>
  <c r="N87" i="10"/>
  <c r="O87" i="10"/>
  <c r="P87" i="10"/>
  <c r="Q87" i="10"/>
  <c r="R87" i="10"/>
  <c r="S87" i="10"/>
  <c r="T87" i="10"/>
  <c r="M88" i="10"/>
  <c r="N88" i="10"/>
  <c r="O88" i="10"/>
  <c r="P88" i="10"/>
  <c r="Q88" i="10"/>
  <c r="R88" i="10"/>
  <c r="S88" i="10"/>
  <c r="T88" i="10"/>
  <c r="M89" i="10"/>
  <c r="N89" i="10"/>
  <c r="O89" i="10"/>
  <c r="P89" i="10"/>
  <c r="Q89" i="10"/>
  <c r="R89" i="10"/>
  <c r="S89" i="10"/>
  <c r="T89" i="10"/>
  <c r="M90" i="10"/>
  <c r="N90" i="10"/>
  <c r="O90" i="10"/>
  <c r="P90" i="10"/>
  <c r="Q90" i="10"/>
  <c r="R90" i="10"/>
  <c r="S90" i="10"/>
  <c r="T90" i="10"/>
  <c r="M91" i="10"/>
  <c r="N91" i="10"/>
  <c r="O91" i="10"/>
  <c r="P91" i="10"/>
  <c r="Q91" i="10"/>
  <c r="R91" i="10"/>
  <c r="S91" i="10"/>
  <c r="T91" i="10"/>
  <c r="M92" i="10"/>
  <c r="N92" i="10"/>
  <c r="O92" i="10"/>
  <c r="P92" i="10"/>
  <c r="Q92" i="10"/>
  <c r="R92" i="10"/>
  <c r="S92" i="10"/>
  <c r="T92" i="10"/>
  <c r="M93" i="10"/>
  <c r="N93" i="10"/>
  <c r="O93" i="10"/>
  <c r="P93" i="10"/>
  <c r="Q93" i="10"/>
  <c r="R93" i="10"/>
  <c r="S93" i="10"/>
  <c r="T93" i="10"/>
  <c r="M94" i="10"/>
  <c r="N94" i="10"/>
  <c r="O94" i="10"/>
  <c r="P94" i="10"/>
  <c r="Q94" i="10"/>
  <c r="R94" i="10"/>
  <c r="S94" i="10"/>
  <c r="T94" i="10"/>
  <c r="M95" i="10"/>
  <c r="N95" i="10"/>
  <c r="O95" i="10"/>
  <c r="P95" i="10"/>
  <c r="Q95" i="10"/>
  <c r="R95" i="10"/>
  <c r="S95" i="10"/>
  <c r="T95" i="10"/>
  <c r="M96" i="10"/>
  <c r="N96" i="10"/>
  <c r="O96" i="10"/>
  <c r="P96" i="10"/>
  <c r="Q96" i="10"/>
  <c r="R96" i="10"/>
  <c r="S96" i="10"/>
  <c r="T96" i="10"/>
  <c r="M97" i="10"/>
  <c r="N97" i="10"/>
  <c r="O97" i="10"/>
  <c r="P97" i="10"/>
  <c r="Q97" i="10"/>
  <c r="R97" i="10"/>
  <c r="S97" i="10"/>
  <c r="T97" i="10"/>
  <c r="M98" i="10"/>
  <c r="N98" i="10"/>
  <c r="O98" i="10"/>
  <c r="P98" i="10"/>
  <c r="Q98" i="10"/>
  <c r="R98" i="10"/>
  <c r="S98" i="10"/>
  <c r="T98" i="10"/>
  <c r="M99" i="10"/>
  <c r="N99" i="10"/>
  <c r="O99" i="10"/>
  <c r="P99" i="10"/>
  <c r="Q99" i="10"/>
  <c r="R99" i="10"/>
  <c r="S99" i="10"/>
  <c r="T99" i="10"/>
  <c r="M100" i="10"/>
  <c r="N100" i="10"/>
  <c r="O100" i="10"/>
  <c r="P100" i="10"/>
  <c r="Q100" i="10"/>
  <c r="R100" i="10"/>
  <c r="S100" i="10"/>
  <c r="T100" i="10"/>
  <c r="M101" i="10"/>
  <c r="N101" i="10"/>
  <c r="O101" i="10"/>
  <c r="P101" i="10"/>
  <c r="Q101" i="10"/>
  <c r="R101" i="10"/>
  <c r="S101" i="10"/>
  <c r="T101" i="10"/>
  <c r="M102" i="10"/>
  <c r="N102" i="10"/>
  <c r="O102" i="10"/>
  <c r="P102" i="10"/>
  <c r="Q102" i="10"/>
  <c r="R102" i="10"/>
  <c r="S102" i="10"/>
  <c r="T102" i="10"/>
  <c r="M103" i="10"/>
  <c r="N103" i="10"/>
  <c r="O103" i="10"/>
  <c r="P103" i="10"/>
  <c r="Q103" i="10"/>
  <c r="R103" i="10"/>
  <c r="S103" i="10"/>
  <c r="T103" i="10"/>
  <c r="M104" i="10"/>
  <c r="N104" i="10"/>
  <c r="O104" i="10"/>
  <c r="P104" i="10"/>
  <c r="Q104" i="10"/>
  <c r="R104" i="10"/>
  <c r="S104" i="10"/>
  <c r="T104" i="10"/>
  <c r="M105" i="10"/>
  <c r="N105" i="10"/>
  <c r="O105" i="10"/>
  <c r="P105" i="10"/>
  <c r="Q105" i="10"/>
  <c r="R105" i="10"/>
  <c r="S105" i="10"/>
  <c r="T105" i="10"/>
  <c r="M106" i="10"/>
  <c r="N106" i="10"/>
  <c r="O106" i="10"/>
  <c r="P106" i="10"/>
  <c r="Q106" i="10"/>
  <c r="R106" i="10"/>
  <c r="S106" i="10"/>
  <c r="T106" i="10"/>
  <c r="M107" i="10"/>
  <c r="N107" i="10"/>
  <c r="O107" i="10"/>
  <c r="P107" i="10"/>
  <c r="Q107" i="10"/>
  <c r="R107" i="10"/>
  <c r="S107" i="10"/>
  <c r="T107" i="10"/>
  <c r="M108" i="10"/>
  <c r="N108" i="10"/>
  <c r="O108" i="10"/>
  <c r="P108" i="10"/>
  <c r="Q108" i="10"/>
  <c r="R108" i="10"/>
  <c r="S108" i="10"/>
  <c r="T108" i="10"/>
  <c r="M109" i="10"/>
  <c r="N109" i="10"/>
  <c r="O109" i="10"/>
  <c r="P109" i="10"/>
  <c r="Q109" i="10"/>
  <c r="R109" i="10"/>
  <c r="S109" i="10"/>
  <c r="T109" i="10"/>
  <c r="N110" i="10"/>
  <c r="Q110" i="10"/>
  <c r="R110" i="10"/>
  <c r="S110" i="10"/>
  <c r="T110" i="10"/>
  <c r="M111" i="10"/>
  <c r="N111" i="10"/>
  <c r="O111" i="10"/>
  <c r="P111" i="10"/>
  <c r="Q111" i="10"/>
  <c r="R111" i="10"/>
  <c r="S111" i="10"/>
  <c r="T111" i="10"/>
  <c r="N112" i="10"/>
  <c r="O112" i="10"/>
  <c r="P112" i="10"/>
  <c r="Q112" i="10"/>
  <c r="R112" i="10"/>
  <c r="S112" i="10"/>
  <c r="T112" i="10"/>
  <c r="M113" i="10"/>
  <c r="N113" i="10"/>
  <c r="O113" i="10"/>
  <c r="P113" i="10"/>
  <c r="Q113" i="10"/>
  <c r="R113" i="10"/>
  <c r="S113" i="10"/>
  <c r="T113" i="10"/>
  <c r="M114" i="10"/>
  <c r="N114" i="10"/>
  <c r="O114" i="10"/>
  <c r="P114" i="10"/>
  <c r="Q114" i="10"/>
  <c r="R114" i="10"/>
  <c r="S114" i="10"/>
  <c r="T114" i="10"/>
  <c r="M115" i="10"/>
  <c r="N115" i="10"/>
  <c r="O115" i="10"/>
  <c r="P115" i="10"/>
  <c r="Q115" i="10"/>
  <c r="R115" i="10"/>
  <c r="S115" i="10"/>
  <c r="T115" i="10"/>
  <c r="M116" i="10"/>
  <c r="N116" i="10"/>
  <c r="O116" i="10"/>
  <c r="P116" i="10"/>
  <c r="Q116" i="10"/>
  <c r="R116" i="10"/>
  <c r="S116" i="10"/>
  <c r="T116" i="10"/>
  <c r="M117" i="10"/>
  <c r="N117" i="10"/>
  <c r="O117" i="10"/>
  <c r="P117" i="10"/>
  <c r="Q117" i="10"/>
  <c r="R117" i="10"/>
  <c r="S117" i="10"/>
  <c r="T117" i="10"/>
  <c r="M118" i="10"/>
  <c r="N118" i="10"/>
  <c r="O118" i="10"/>
  <c r="P118" i="10"/>
  <c r="Q118" i="10"/>
  <c r="R118" i="10"/>
  <c r="S118" i="10"/>
  <c r="T118" i="10"/>
  <c r="M119" i="10"/>
  <c r="N119" i="10"/>
  <c r="O119" i="10"/>
  <c r="P119" i="10"/>
  <c r="Q119" i="10"/>
  <c r="R119" i="10"/>
  <c r="S119" i="10"/>
  <c r="T119" i="10"/>
  <c r="M120" i="10"/>
  <c r="N120" i="10"/>
  <c r="O120" i="10"/>
  <c r="P120" i="10"/>
  <c r="Q120" i="10"/>
  <c r="R120" i="10"/>
  <c r="S120" i="10"/>
  <c r="T120" i="10"/>
  <c r="M121" i="10"/>
  <c r="N121" i="10"/>
  <c r="O121" i="10"/>
  <c r="P121" i="10"/>
  <c r="Q121" i="10"/>
  <c r="R121" i="10"/>
  <c r="S121" i="10"/>
  <c r="T121" i="10"/>
  <c r="M122" i="10"/>
  <c r="N122" i="10"/>
  <c r="O122" i="10"/>
  <c r="P122" i="10"/>
  <c r="Q122" i="10"/>
  <c r="R122" i="10"/>
  <c r="S122" i="10"/>
  <c r="T122" i="10"/>
  <c r="M123" i="10"/>
  <c r="N123" i="10"/>
  <c r="O123" i="10"/>
  <c r="P123" i="10"/>
  <c r="Q123" i="10"/>
  <c r="R123" i="10"/>
  <c r="S123" i="10"/>
  <c r="T123" i="10"/>
  <c r="M124" i="10"/>
  <c r="N124" i="10"/>
  <c r="O124" i="10"/>
  <c r="P124" i="10"/>
  <c r="Q124" i="10"/>
  <c r="R124" i="10"/>
  <c r="S124" i="10"/>
  <c r="T124" i="10"/>
  <c r="M125" i="10"/>
  <c r="N125" i="10"/>
  <c r="O125" i="10"/>
  <c r="P125" i="10"/>
  <c r="Q125" i="10"/>
  <c r="R125" i="10"/>
  <c r="S125" i="10"/>
  <c r="T125" i="10"/>
  <c r="M126" i="10"/>
  <c r="N126" i="10"/>
  <c r="O126" i="10"/>
  <c r="P126" i="10"/>
  <c r="Q126" i="10"/>
  <c r="R126" i="10"/>
  <c r="S126" i="10"/>
  <c r="T126" i="10"/>
  <c r="M127" i="10"/>
  <c r="N127" i="10"/>
  <c r="O127" i="10"/>
  <c r="P127" i="10"/>
  <c r="Q127" i="10"/>
  <c r="R127" i="10"/>
  <c r="S127" i="10"/>
  <c r="T127" i="10"/>
  <c r="M128" i="10"/>
  <c r="N128" i="10"/>
  <c r="O128" i="10"/>
  <c r="P128" i="10"/>
  <c r="Q128" i="10"/>
  <c r="R128" i="10"/>
  <c r="S128" i="10"/>
  <c r="T128" i="10"/>
  <c r="M129" i="10"/>
  <c r="N129" i="10"/>
  <c r="O129" i="10"/>
  <c r="P129" i="10"/>
  <c r="Q129" i="10"/>
  <c r="R129" i="10"/>
  <c r="S129" i="10"/>
  <c r="T129" i="10"/>
  <c r="M130" i="10"/>
  <c r="N130" i="10"/>
  <c r="O130" i="10"/>
  <c r="P130" i="10"/>
  <c r="Q130" i="10"/>
  <c r="R130" i="10"/>
  <c r="S130" i="10"/>
  <c r="T130" i="10"/>
  <c r="N131" i="10"/>
  <c r="Q131" i="10"/>
  <c r="R131" i="10"/>
  <c r="S131" i="10"/>
  <c r="T131" i="10"/>
  <c r="M132" i="10"/>
  <c r="N132" i="10"/>
  <c r="O132" i="10"/>
  <c r="P132" i="10"/>
  <c r="Q132" i="10"/>
  <c r="R132" i="10"/>
  <c r="S132" i="10"/>
  <c r="T132" i="10"/>
  <c r="M133" i="10"/>
  <c r="N133" i="10"/>
  <c r="O133" i="10"/>
  <c r="P133" i="10"/>
  <c r="Q133" i="10"/>
  <c r="R133" i="10"/>
  <c r="S133" i="10"/>
  <c r="T133" i="10"/>
  <c r="M134" i="10"/>
  <c r="N134" i="10"/>
  <c r="O134" i="10"/>
  <c r="P134" i="10"/>
  <c r="Q134" i="10"/>
  <c r="R134" i="10"/>
  <c r="S134" i="10"/>
  <c r="T134" i="10"/>
  <c r="N135" i="10"/>
  <c r="Q135" i="10"/>
  <c r="R135" i="10"/>
  <c r="S135" i="10"/>
  <c r="T135" i="10"/>
  <c r="M136" i="10"/>
  <c r="N136" i="10"/>
  <c r="O136" i="10"/>
  <c r="P136" i="10"/>
  <c r="Q136" i="10"/>
  <c r="R136" i="10"/>
  <c r="S136" i="10"/>
  <c r="T136" i="10"/>
  <c r="M137" i="10"/>
  <c r="N137" i="10"/>
  <c r="O137" i="10"/>
  <c r="P137" i="10"/>
  <c r="Q137" i="10"/>
  <c r="R137" i="10"/>
  <c r="S137" i="10"/>
  <c r="T137" i="10"/>
  <c r="M138" i="10"/>
  <c r="N138" i="10"/>
  <c r="O138" i="10"/>
  <c r="P138" i="10"/>
  <c r="Q138" i="10"/>
  <c r="R138" i="10"/>
  <c r="S138" i="10"/>
  <c r="T138" i="10"/>
  <c r="M139" i="10"/>
  <c r="N139" i="10"/>
  <c r="O139" i="10"/>
  <c r="P139" i="10"/>
  <c r="Q139" i="10"/>
  <c r="R139" i="10"/>
  <c r="S139" i="10"/>
  <c r="T139" i="10"/>
  <c r="N140" i="10"/>
  <c r="Q140" i="10"/>
  <c r="R140" i="10"/>
  <c r="S140" i="10"/>
  <c r="T140" i="10"/>
  <c r="M141" i="10"/>
  <c r="N141" i="10"/>
  <c r="O141" i="10"/>
  <c r="P141" i="10"/>
  <c r="Q141" i="10"/>
  <c r="R141" i="10"/>
  <c r="S141" i="10"/>
  <c r="T141" i="10"/>
  <c r="M142" i="10"/>
  <c r="N142" i="10"/>
  <c r="O142" i="10"/>
  <c r="P142" i="10"/>
  <c r="Q142" i="10"/>
  <c r="R142" i="10"/>
  <c r="S142" i="10"/>
  <c r="T142" i="10"/>
  <c r="M143" i="10"/>
  <c r="N143" i="10"/>
  <c r="O143" i="10"/>
  <c r="P143" i="10"/>
  <c r="Q143" i="10"/>
  <c r="R143" i="10"/>
  <c r="S143" i="10"/>
  <c r="T143" i="10"/>
  <c r="M144" i="10"/>
  <c r="N144" i="10"/>
  <c r="O144" i="10"/>
  <c r="P144" i="10"/>
  <c r="Q144" i="10"/>
  <c r="R144" i="10"/>
  <c r="S144" i="10"/>
  <c r="T144" i="10"/>
  <c r="M145" i="10"/>
  <c r="N145" i="10"/>
  <c r="O145" i="10"/>
  <c r="P145" i="10"/>
  <c r="Q145" i="10"/>
  <c r="R145" i="10"/>
  <c r="S145" i="10"/>
  <c r="T145" i="10"/>
  <c r="M146" i="10"/>
  <c r="N146" i="10"/>
  <c r="O146" i="10"/>
  <c r="P146" i="10"/>
  <c r="Q146" i="10"/>
  <c r="R146" i="10"/>
  <c r="S146" i="10"/>
  <c r="T146" i="10"/>
  <c r="M147" i="10"/>
  <c r="N147" i="10"/>
  <c r="O147" i="10"/>
  <c r="P147" i="10"/>
  <c r="Q147" i="10"/>
  <c r="R147" i="10"/>
  <c r="S147" i="10"/>
  <c r="T147" i="10"/>
  <c r="M148" i="10"/>
  <c r="N148" i="10"/>
  <c r="O148" i="10"/>
  <c r="P148" i="10"/>
  <c r="Q148" i="10"/>
  <c r="R148" i="10"/>
  <c r="S148" i="10"/>
  <c r="T148" i="10"/>
  <c r="M149" i="10"/>
  <c r="N149" i="10"/>
  <c r="O149" i="10"/>
  <c r="P149" i="10"/>
  <c r="Q149" i="10"/>
  <c r="R149" i="10"/>
  <c r="S149" i="10"/>
  <c r="T149" i="10"/>
  <c r="M150" i="10"/>
  <c r="N150" i="10"/>
  <c r="O150" i="10"/>
  <c r="P150" i="10"/>
  <c r="Q150" i="10"/>
  <c r="R150" i="10"/>
  <c r="S150" i="10"/>
  <c r="T150" i="10"/>
  <c r="M151" i="10"/>
  <c r="N151" i="10"/>
  <c r="O151" i="10"/>
  <c r="P151" i="10"/>
  <c r="Q151" i="10"/>
  <c r="R151" i="10"/>
  <c r="S151" i="10"/>
  <c r="T151" i="10"/>
  <c r="M152" i="10"/>
  <c r="N152" i="10"/>
  <c r="O152" i="10"/>
  <c r="P152" i="10"/>
  <c r="Q152" i="10"/>
  <c r="R152" i="10"/>
  <c r="S152" i="10"/>
  <c r="T152" i="10"/>
  <c r="M153" i="10"/>
  <c r="N153" i="10"/>
  <c r="O153" i="10"/>
  <c r="P153" i="10"/>
  <c r="Q153" i="10"/>
  <c r="R153" i="10"/>
  <c r="S153" i="10"/>
  <c r="T153" i="10"/>
  <c r="M154" i="10"/>
  <c r="N154" i="10"/>
  <c r="O154" i="10"/>
  <c r="P154" i="10"/>
  <c r="Q154" i="10"/>
  <c r="R154" i="10"/>
  <c r="S154" i="10"/>
  <c r="T154" i="10"/>
  <c r="M155" i="10"/>
  <c r="N155" i="10"/>
  <c r="O155" i="10"/>
  <c r="P155" i="10"/>
  <c r="Q155" i="10"/>
  <c r="R155" i="10"/>
  <c r="S155" i="10"/>
  <c r="T155" i="10"/>
  <c r="M156" i="10"/>
  <c r="N156" i="10"/>
  <c r="Q156" i="10"/>
  <c r="R156" i="10"/>
  <c r="S156" i="10"/>
  <c r="T156" i="10"/>
  <c r="M157" i="10"/>
  <c r="N157" i="10"/>
  <c r="Q157" i="10"/>
  <c r="R157" i="10"/>
  <c r="S157" i="10"/>
  <c r="T157" i="10"/>
  <c r="M158" i="10"/>
  <c r="N158" i="10"/>
  <c r="O158" i="10"/>
  <c r="P158" i="10"/>
  <c r="Q158" i="10"/>
  <c r="R158" i="10"/>
  <c r="S158" i="10"/>
  <c r="T158" i="10"/>
  <c r="M159" i="10"/>
  <c r="N159" i="10"/>
  <c r="O159" i="10"/>
  <c r="P159" i="10"/>
  <c r="Q159" i="10"/>
  <c r="R159" i="10"/>
  <c r="S159" i="10"/>
  <c r="T159" i="10"/>
  <c r="M160" i="10"/>
  <c r="N160" i="10"/>
  <c r="O160" i="10"/>
  <c r="P160" i="10"/>
  <c r="Q160" i="10"/>
  <c r="R160" i="10"/>
  <c r="S160" i="10"/>
  <c r="T160" i="10"/>
  <c r="M161" i="10"/>
  <c r="N161" i="10"/>
  <c r="O161" i="10"/>
  <c r="P161" i="10"/>
  <c r="Q161" i="10"/>
  <c r="R161" i="10"/>
  <c r="S161" i="10"/>
  <c r="T161" i="10"/>
  <c r="M162" i="10"/>
  <c r="N162" i="10"/>
  <c r="Q162" i="10"/>
  <c r="R162" i="10"/>
  <c r="S162" i="10"/>
  <c r="T162" i="10"/>
  <c r="M163" i="10"/>
  <c r="N163" i="10"/>
  <c r="O163" i="10"/>
  <c r="P163" i="10"/>
  <c r="Q163" i="10"/>
  <c r="R163" i="10"/>
  <c r="S163" i="10"/>
  <c r="T163" i="10"/>
  <c r="N9" i="10"/>
  <c r="I82" i="10"/>
  <c r="I83" i="10"/>
  <c r="L85" i="10" l="1"/>
  <c r="J85" i="10"/>
  <c r="G85" i="10"/>
  <c r="H85" i="10"/>
  <c r="F85" i="10"/>
  <c r="L143" i="10" l="1"/>
  <c r="K143" i="10"/>
  <c r="K88" i="10"/>
  <c r="K85" i="10" s="1"/>
  <c r="K78" i="10" l="1"/>
  <c r="K77" i="10"/>
  <c r="K69" i="10"/>
  <c r="K49" i="10"/>
  <c r="K47" i="10"/>
  <c r="K44" i="10"/>
  <c r="K43" i="10"/>
  <c r="K42" i="10"/>
  <c r="K11" i="10"/>
  <c r="K61" i="10" l="1"/>
  <c r="L147" i="10"/>
  <c r="K147" i="10"/>
  <c r="J153" i="10"/>
  <c r="J147" i="10" s="1"/>
  <c r="F147" i="10"/>
  <c r="E151" i="10"/>
  <c r="I135" i="10"/>
  <c r="J122" i="10"/>
  <c r="J120" i="10"/>
  <c r="J115" i="10"/>
  <c r="J99" i="10"/>
  <c r="J78" i="10"/>
  <c r="J45" i="10"/>
  <c r="L10" i="10"/>
  <c r="K10" i="10"/>
  <c r="H10" i="10"/>
  <c r="G10" i="10"/>
  <c r="J37" i="10"/>
  <c r="I27" i="10"/>
  <c r="E27" i="10"/>
  <c r="J20" i="10"/>
  <c r="I151" i="10" l="1"/>
  <c r="G147" i="10" l="1"/>
  <c r="H147" i="10"/>
  <c r="I154" i="10"/>
  <c r="E154" i="10"/>
  <c r="J127" i="10"/>
  <c r="G127" i="10"/>
  <c r="H127" i="10"/>
  <c r="F127" i="10"/>
  <c r="I144" i="10"/>
  <c r="I145" i="10"/>
  <c r="E144" i="10"/>
  <c r="E145" i="10"/>
  <c r="K105" i="10"/>
  <c r="K104" i="10" s="1"/>
  <c r="L105" i="10"/>
  <c r="L104" i="10" s="1"/>
  <c r="J105" i="10"/>
  <c r="G105" i="10"/>
  <c r="H105" i="10"/>
  <c r="F105" i="10"/>
  <c r="I121" i="10"/>
  <c r="E121" i="10"/>
  <c r="I118" i="10"/>
  <c r="E118" i="10"/>
  <c r="I116" i="10"/>
  <c r="E116" i="10"/>
  <c r="E107" i="10"/>
  <c r="I107" i="10"/>
  <c r="G84" i="10"/>
  <c r="H84" i="10"/>
  <c r="H81" i="10"/>
  <c r="H80" i="10" s="1"/>
  <c r="E83" i="10"/>
  <c r="E82" i="10"/>
  <c r="G81" i="10"/>
  <c r="G80" i="10" s="1"/>
  <c r="F81" i="10"/>
  <c r="F80" i="10" s="1"/>
  <c r="J61" i="10"/>
  <c r="G61" i="10"/>
  <c r="F61" i="10"/>
  <c r="H62" i="10"/>
  <c r="H76" i="10"/>
  <c r="H75" i="10"/>
  <c r="L75" i="10"/>
  <c r="I76" i="10"/>
  <c r="I75" i="10"/>
  <c r="E76" i="10"/>
  <c r="E75" i="10"/>
  <c r="L61" i="10" l="1"/>
  <c r="H61" i="10"/>
  <c r="I70" i="10"/>
  <c r="E70" i="10"/>
  <c r="H32" i="10" l="1"/>
  <c r="H19" i="10"/>
  <c r="H18" i="10"/>
  <c r="I29" i="10" l="1"/>
  <c r="E29" i="10"/>
  <c r="F10" i="10"/>
  <c r="E10" i="10" l="1"/>
  <c r="I138" i="10" l="1"/>
  <c r="E138" i="10"/>
  <c r="K127" i="10" l="1"/>
  <c r="L127" i="10"/>
  <c r="I36" i="10" l="1"/>
  <c r="E36" i="10"/>
  <c r="I35" i="10"/>
  <c r="E35" i="10"/>
  <c r="I28" i="10"/>
  <c r="E28" i="10"/>
  <c r="I109" i="10" l="1"/>
  <c r="G96" i="10"/>
  <c r="H96" i="10"/>
  <c r="F96" i="10"/>
  <c r="K96" i="10"/>
  <c r="L96" i="10"/>
  <c r="E102" i="10"/>
  <c r="I102" i="10"/>
  <c r="J96" i="10" l="1"/>
  <c r="G39" i="10"/>
  <c r="H39" i="10"/>
  <c r="F39" i="10"/>
  <c r="K39" i="10"/>
  <c r="L39" i="10"/>
  <c r="I55" i="10" l="1"/>
  <c r="E55" i="10"/>
  <c r="I52" i="10"/>
  <c r="E52" i="10"/>
  <c r="J39" i="10" l="1"/>
  <c r="I37" i="10"/>
  <c r="E37" i="10"/>
  <c r="I155" i="10" l="1"/>
  <c r="E155" i="10"/>
  <c r="I149" i="10"/>
  <c r="E149" i="10"/>
  <c r="I140" i="10"/>
  <c r="E140" i="10"/>
  <c r="I139" i="10"/>
  <c r="E139" i="10"/>
  <c r="I133" i="10"/>
  <c r="E133" i="10"/>
  <c r="I128" i="10"/>
  <c r="E128" i="10"/>
  <c r="I125" i="10"/>
  <c r="E125" i="10"/>
  <c r="I112" i="10"/>
  <c r="E112" i="10"/>
  <c r="I89" i="10"/>
  <c r="E89" i="10"/>
  <c r="I79" i="10" l="1"/>
  <c r="E79" i="10"/>
  <c r="I59" i="10"/>
  <c r="E59" i="10"/>
  <c r="I56" i="10"/>
  <c r="E56" i="10"/>
  <c r="I21" i="10" l="1"/>
  <c r="E21" i="10"/>
  <c r="E25" i="10" l="1"/>
  <c r="E26" i="10"/>
  <c r="E30" i="10"/>
  <c r="E24" i="10"/>
  <c r="J81" i="10"/>
  <c r="I81" i="10" s="1"/>
  <c r="K81" i="10"/>
  <c r="L81" i="10"/>
  <c r="I66" i="10" l="1"/>
  <c r="I32" i="10" l="1"/>
  <c r="J10" i="10"/>
  <c r="I124" i="10" l="1"/>
  <c r="E124" i="10"/>
  <c r="I123" i="10" l="1"/>
  <c r="E130" i="10" l="1"/>
  <c r="E131" i="10"/>
  <c r="E129" i="10"/>
  <c r="E123" i="10" l="1"/>
  <c r="H23" i="10" l="1"/>
  <c r="H9" i="10" s="1"/>
  <c r="H8" i="10" s="1"/>
  <c r="G23" i="10"/>
  <c r="G9" i="10" s="1"/>
  <c r="G8" i="10" s="1"/>
  <c r="F23" i="10"/>
  <c r="F9" i="10" s="1"/>
  <c r="E53" i="10" l="1"/>
  <c r="E135" i="10" l="1"/>
  <c r="I134" i="10"/>
  <c r="E134" i="10"/>
  <c r="I131" i="10"/>
  <c r="I119" i="10"/>
  <c r="E119" i="10"/>
  <c r="I113" i="10"/>
  <c r="E113" i="10"/>
  <c r="K80" i="10" l="1"/>
  <c r="J80" i="10"/>
  <c r="I80" i="10" s="1"/>
  <c r="I48" i="10"/>
  <c r="E48" i="10"/>
  <c r="I33" i="10"/>
  <c r="E33" i="10"/>
  <c r="I15" i="10"/>
  <c r="E81" i="10" l="1"/>
  <c r="L80" i="10"/>
  <c r="E80" i="10" l="1"/>
  <c r="E16" i="10" l="1"/>
  <c r="I14" i="10" l="1"/>
  <c r="I142" i="10"/>
  <c r="E142" i="10"/>
  <c r="E137" i="10"/>
  <c r="I152" i="10"/>
  <c r="E152" i="10"/>
  <c r="I130" i="10"/>
  <c r="I78" i="10" l="1"/>
  <c r="J23" i="10"/>
  <c r="J9" i="10" s="1"/>
  <c r="I30" i="10"/>
  <c r="I13" i="10"/>
  <c r="I12" i="10"/>
  <c r="I11" i="10"/>
  <c r="I16" i="10"/>
  <c r="I10" i="10" l="1"/>
  <c r="J104" i="10"/>
  <c r="I110" i="10"/>
  <c r="E110" i="10"/>
  <c r="I98" i="10"/>
  <c r="E98" i="10"/>
  <c r="I87" i="10"/>
  <c r="E87" i="10"/>
  <c r="E31" i="10" l="1"/>
  <c r="G38" i="10" l="1"/>
  <c r="R9" i="10" l="1"/>
  <c r="G146" i="10"/>
  <c r="H146" i="10"/>
  <c r="I40" i="10" l="1"/>
  <c r="I132" i="10" l="1"/>
  <c r="E132" i="10"/>
  <c r="K157" i="10" l="1"/>
  <c r="L157" i="10"/>
  <c r="J157" i="10"/>
  <c r="G157" i="10"/>
  <c r="H157" i="10"/>
  <c r="F157" i="10"/>
  <c r="I137" i="10"/>
  <c r="I103" i="10"/>
  <c r="I100" i="10"/>
  <c r="I101" i="10"/>
  <c r="I97" i="10"/>
  <c r="I53" i="10"/>
  <c r="I99" i="10" l="1"/>
  <c r="I39" i="10"/>
  <c r="K38" i="10"/>
  <c r="I38" i="10" l="1"/>
  <c r="J38" i="10"/>
  <c r="L23" i="10" l="1"/>
  <c r="L9" i="10" s="1"/>
  <c r="K23" i="10"/>
  <c r="K9" i="10" s="1"/>
  <c r="I9" i="10" l="1"/>
  <c r="I23" i="10"/>
  <c r="T9" i="10" l="1"/>
  <c r="S9" i="10"/>
  <c r="I150" i="10"/>
  <c r="E150" i="10"/>
  <c r="E143" i="10"/>
  <c r="I143" i="10" l="1"/>
  <c r="E122" i="10"/>
  <c r="E120" i="10"/>
  <c r="E77" i="10"/>
  <c r="I19" i="10"/>
  <c r="E19" i="10"/>
  <c r="E20" i="10"/>
  <c r="I77" i="10" l="1"/>
  <c r="I122" i="10"/>
  <c r="I31" i="10"/>
  <c r="I120" i="10"/>
  <c r="I20" i="10"/>
  <c r="I147" i="10"/>
  <c r="I61" i="10" l="1"/>
  <c r="E54" i="10" l="1"/>
  <c r="I141" i="10" l="1"/>
  <c r="E141" i="10"/>
  <c r="H126" i="10" l="1"/>
  <c r="G126" i="10" l="1"/>
  <c r="I34" i="10" l="1"/>
  <c r="E34" i="10"/>
  <c r="I136" i="10" l="1"/>
  <c r="E136" i="10"/>
  <c r="I108" i="10"/>
  <c r="E108" i="10"/>
  <c r="E148" i="10" l="1"/>
  <c r="E153" i="10" l="1"/>
  <c r="I111" i="10" l="1"/>
  <c r="E111" i="10"/>
  <c r="E114" i="10" l="1"/>
  <c r="I41" i="10" l="1"/>
  <c r="E41" i="10"/>
  <c r="L84" i="10" l="1"/>
  <c r="I161" i="10"/>
  <c r="E161" i="10"/>
  <c r="E44" i="10" l="1"/>
  <c r="I54" i="10" l="1"/>
  <c r="E18" i="10" l="1"/>
  <c r="E17" i="10"/>
  <c r="E15" i="10"/>
  <c r="I18" i="10"/>
  <c r="I17" i="10"/>
  <c r="I51" i="10" l="1"/>
  <c r="I50" i="10"/>
  <c r="I46" i="10"/>
  <c r="I45" i="10"/>
  <c r="E162" i="10"/>
  <c r="E46" i="10"/>
  <c r="E45" i="10"/>
  <c r="E51" i="10"/>
  <c r="E50" i="10"/>
  <c r="I44" i="10"/>
  <c r="I43" i="10"/>
  <c r="I162" i="10"/>
  <c r="I157" i="10" l="1"/>
  <c r="I105" i="10"/>
  <c r="I127" i="10"/>
  <c r="E43" i="10"/>
  <c r="E32" i="10" l="1"/>
  <c r="E160" i="10"/>
  <c r="E159" i="10"/>
  <c r="E158" i="10"/>
  <c r="H156" i="10"/>
  <c r="G156" i="10"/>
  <c r="F156" i="10"/>
  <c r="E117" i="10"/>
  <c r="E106" i="10"/>
  <c r="E103" i="10"/>
  <c r="E101" i="10"/>
  <c r="E100" i="10"/>
  <c r="E99" i="10"/>
  <c r="E97" i="10"/>
  <c r="H95" i="10"/>
  <c r="G95" i="10"/>
  <c r="F95" i="10"/>
  <c r="E94" i="10"/>
  <c r="E93" i="10"/>
  <c r="E92" i="10"/>
  <c r="E91" i="10"/>
  <c r="E90" i="10"/>
  <c r="E86" i="10"/>
  <c r="E74" i="10"/>
  <c r="E73" i="10"/>
  <c r="E72" i="10"/>
  <c r="E71" i="10"/>
  <c r="E69" i="10"/>
  <c r="E68" i="10"/>
  <c r="E67" i="10"/>
  <c r="E66" i="10"/>
  <c r="E65" i="10"/>
  <c r="E64" i="10"/>
  <c r="E63" i="10"/>
  <c r="E62" i="10"/>
  <c r="H60" i="10"/>
  <c r="G60" i="10"/>
  <c r="E58" i="10"/>
  <c r="E57" i="10"/>
  <c r="E49" i="10"/>
  <c r="E47" i="10"/>
  <c r="E40" i="10"/>
  <c r="H38" i="10"/>
  <c r="F38" i="10"/>
  <c r="E22" i="10"/>
  <c r="E14" i="10"/>
  <c r="E13" i="10"/>
  <c r="E12" i="10"/>
  <c r="H104" i="10" l="1"/>
  <c r="G104" i="10"/>
  <c r="F104" i="10"/>
  <c r="E88" i="10"/>
  <c r="E78" i="10"/>
  <c r="E61" i="10"/>
  <c r="E42" i="10"/>
  <c r="E115" i="10"/>
  <c r="E23" i="10"/>
  <c r="E11" i="10"/>
  <c r="E96" i="10"/>
  <c r="E95" i="10" s="1"/>
  <c r="F126" i="10"/>
  <c r="F84" i="10"/>
  <c r="F146" i="10"/>
  <c r="E157" i="10"/>
  <c r="H163" i="10" l="1"/>
  <c r="G163" i="10"/>
  <c r="E60" i="10"/>
  <c r="E156" i="10"/>
  <c r="E127" i="10"/>
  <c r="E85" i="10"/>
  <c r="E84" i="10" s="1"/>
  <c r="E39" i="10"/>
  <c r="F60" i="10"/>
  <c r="E105" i="10"/>
  <c r="E147" i="10"/>
  <c r="E9" i="10"/>
  <c r="F8" i="10"/>
  <c r="E8" i="10" l="1"/>
  <c r="M9" i="10"/>
  <c r="F163" i="10"/>
  <c r="E163" i="10" s="1"/>
  <c r="E146" i="10"/>
  <c r="E38" i="10"/>
  <c r="E126" i="10"/>
  <c r="E104" i="10"/>
  <c r="I22" i="10" l="1"/>
  <c r="I24" i="10"/>
  <c r="I25" i="10"/>
  <c r="I26" i="10"/>
  <c r="I42" i="10"/>
  <c r="I47" i="10"/>
  <c r="I49" i="10"/>
  <c r="I57" i="10"/>
  <c r="I58" i="10"/>
  <c r="I62" i="10"/>
  <c r="I63" i="10"/>
  <c r="I64" i="10"/>
  <c r="I65" i="10"/>
  <c r="I67" i="10"/>
  <c r="I68" i="10"/>
  <c r="I69" i="10"/>
  <c r="I71" i="10"/>
  <c r="I72" i="10"/>
  <c r="I73" i="10"/>
  <c r="I74" i="10"/>
  <c r="I86" i="10"/>
  <c r="I88" i="10"/>
  <c r="I90" i="10"/>
  <c r="I91" i="10"/>
  <c r="I92" i="10"/>
  <c r="I93" i="10"/>
  <c r="I94" i="10"/>
  <c r="I106" i="10"/>
  <c r="I114" i="10"/>
  <c r="I115" i="10"/>
  <c r="I117" i="10"/>
  <c r="I129" i="10"/>
  <c r="I148" i="10"/>
  <c r="I153" i="10"/>
  <c r="I158" i="10"/>
  <c r="I159" i="10"/>
  <c r="I160" i="10"/>
  <c r="K8" i="10" l="1"/>
  <c r="J126" i="10"/>
  <c r="K95" i="10"/>
  <c r="L95" i="10"/>
  <c r="J95" i="10"/>
  <c r="J156" i="10"/>
  <c r="K156" i="10"/>
  <c r="L156" i="10"/>
  <c r="K146" i="10"/>
  <c r="L146" i="10"/>
  <c r="L126" i="10"/>
  <c r="L60" i="10"/>
  <c r="L38" i="10"/>
  <c r="K60" i="10"/>
  <c r="K84" i="10"/>
  <c r="J146" i="10"/>
  <c r="J84" i="10"/>
  <c r="K126" i="10"/>
  <c r="I96" i="10"/>
  <c r="I85" i="10"/>
  <c r="J60" i="10"/>
  <c r="Q9" i="10" l="1"/>
  <c r="K163" i="10"/>
  <c r="I156" i="10"/>
  <c r="I146" i="10"/>
  <c r="I95" i="10"/>
  <c r="I126" i="10"/>
  <c r="I104" i="10"/>
  <c r="L8" i="10"/>
  <c r="I84" i="10"/>
  <c r="I60" i="10"/>
  <c r="J8" i="10"/>
  <c r="J163" i="10" l="1"/>
  <c r="N8" i="10"/>
  <c r="L163" i="10"/>
  <c r="I8" i="10"/>
  <c r="T8" i="10"/>
  <c r="S8" i="10"/>
  <c r="R8" i="10"/>
  <c r="Q8" i="10" l="1"/>
  <c r="M8" i="10"/>
  <c r="I163" i="10"/>
</calcChain>
</file>

<file path=xl/sharedStrings.xml><?xml version="1.0" encoding="utf-8"?>
<sst xmlns="http://schemas.openxmlformats.org/spreadsheetml/2006/main" count="590" uniqueCount="366">
  <si>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</si>
  <si>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</si>
  <si>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</si>
  <si>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</si>
  <si>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</si>
  <si>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</si>
  <si>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</si>
  <si>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</si>
  <si>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</si>
  <si>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</si>
  <si>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</si>
  <si>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</si>
  <si>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</si>
  <si>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</si>
  <si>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</si>
  <si>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</si>
  <si>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</si>
  <si>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</si>
  <si>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</si>
  <si>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</si>
  <si>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</si>
  <si>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</si>
  <si>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</si>
  <si>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</si>
  <si>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</si>
  <si>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</si>
  <si>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</si>
  <si>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</si>
  <si>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</si>
  <si>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</si>
  <si>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</si>
  <si>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</si>
  <si>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</si>
  <si>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</si>
  <si>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</si>
  <si>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</si>
  <si>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</si>
  <si>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</si>
  <si>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</si>
  <si>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</si>
  <si>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</si>
  <si>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</si>
  <si>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</si>
  <si>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</si>
  <si>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</si>
  <si>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</si>
  <si>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</si>
  <si>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</si>
  <si>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</si>
  <si>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</si>
  <si>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</si>
  <si>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</si>
  <si>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</si>
  <si>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</si>
  <si>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</si>
  <si>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Організація благоустрою  населених пунктів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</si>
  <si>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</si>
  <si>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</si>
  <si>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</si>
  <si>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</si>
  <si>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</si>
  <si>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</si>
  <si>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</si>
  <si>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</si>
  <si>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</si>
  <si>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</si>
  <si>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</si>
  <si>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</si>
  <si>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</si>
  <si>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</si>
  <si>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</si>
  <si>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</si>
  <si>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</si>
  <si>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</si>
  <si>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</si>
  <si>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</si>
  <si>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</si>
  <si>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</si>
  <si>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</si>
  <si>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</si>
  <si>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</si>
  <si>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</si>
  <si>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</si>
  <si>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</si>
  <si>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</si>
  <si>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</si>
  <si>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</si>
  <si>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</si>
  <si>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</si>
  <si>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</si>
  <si>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</si>
  <si>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</si>
  <si>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</si>
  <si>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</si>
  <si>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</si>
  <si>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</si>
  <si>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</si>
  <si>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</si>
  <si>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</si>
  <si>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</si>
  <si>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</si>
  <si>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</si>
  <si>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</si>
  <si>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</si>
  <si>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</si>
  <si>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</si>
  <si>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</si>
  <si>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</si>
  <si>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</si>
  <si>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</si>
  <si>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</si>
  <si>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</si>
  <si>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</si>
  <si>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</si>
  <si>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</si>
  <si>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</si>
  <si>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</si>
  <si>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</si>
  <si>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</si>
  <si>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</si>
  <si>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</si>
  <si>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</si>
  <si>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</si>
  <si>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</si>
  <si>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</si>
  <si>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</si>
  <si>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</si>
  <si>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</si>
  <si>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0763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</si>
  <si>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</si>
  <si>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</si>
  <si>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</si>
  <si>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</si>
  <si>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</si>
  <si>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</si>
  <si>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</si>
  <si>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</si>
  <si>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</si>
  <si>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</si>
  <si>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</si>
  <si>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</si>
  <si>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</si>
  <si>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</si>
  <si>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</si>
  <si>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</si>
  <si>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</si>
  <si>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</si>
  <si>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</si>
  <si>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</si>
  <si>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</si>
  <si>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</si>
  <si>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</si>
  <si>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</si>
  <si>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</si>
  <si>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</si>
  <si>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</si>
  <si>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</si>
  <si>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</si>
  <si>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</si>
  <si>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</si>
  <si>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</si>
  <si>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9770</t>
  </si>
  <si>
    <t>Інші субвенції з місцевого бюджету</t>
  </si>
  <si>
    <t>3719770</t>
  </si>
  <si>
    <t>0810180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</si>
  <si>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</si>
  <si>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</si>
  <si>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</si>
  <si>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</si>
  <si>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</si>
  <si>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</si>
  <si>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</si>
  <si>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</si>
  <si>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</si>
  <si>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</si>
  <si>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</si>
  <si>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</si>
  <si>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</si>
  <si>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</si>
  <si>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</si>
  <si>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</si>
  <si>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</si>
  <si>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</si>
  <si>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</si>
  <si>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</si>
  <si>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</si>
  <si>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</si>
  <si>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</si>
  <si>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2152</t>
  </si>
  <si>
    <t>0611021</t>
  </si>
  <si>
    <t>0611022</t>
  </si>
  <si>
    <t>1021</t>
  </si>
  <si>
    <t>1022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</si>
  <si>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</si>
  <si>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</si>
  <si>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</si>
  <si>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</si>
  <si>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</si>
  <si>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</si>
  <si>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</si>
  <si>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0611141</t>
  </si>
  <si>
    <t>1141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</si>
  <si>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</si>
  <si>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</si>
  <si>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</si>
  <si>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</si>
  <si>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</si>
  <si>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</si>
  <si>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</si>
  <si>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</si>
  <si>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</si>
  <si>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</si>
  <si>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</si>
  <si>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</si>
  <si>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</si>
  <si>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</si>
  <si>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</si>
  <si>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</si>
  <si>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</si>
  <si>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</si>
  <si>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</si>
  <si>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0380</t>
  </si>
  <si>
    <t>Стоматологічна допомога населенню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</si>
  <si>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</si>
  <si>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</si>
  <si>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</si>
  <si>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Надання позашкільної освіти закладами позашкільної  освіти, заходи із позашкільної роботи з дітьми</t>
  </si>
  <si>
    <t>0610180</t>
  </si>
  <si>
    <t>1210180</t>
  </si>
  <si>
    <t>1516030</t>
  </si>
  <si>
    <t>0218230</t>
  </si>
  <si>
    <t>8230</t>
  </si>
  <si>
    <t>Інші заходи громадського порядку та безпеки</t>
  </si>
  <si>
    <t>7390</t>
  </si>
  <si>
    <t>Розвиток мережі центрів надання адміністративних послуг</t>
  </si>
  <si>
    <t>Керівництво і управління у відповідній сфері у містах (місті Києві), селищах, селах, територіальних громадах</t>
  </si>
  <si>
    <t>1517390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</si>
  <si>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</si>
  <si>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</si>
  <si>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</si>
  <si>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</si>
  <si>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</si>
  <si>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</si>
  <si>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</si>
  <si>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Інші заходи, пов`язані з економічною діяльністю</t>
  </si>
  <si>
    <t>Заходи та роботи з територіальної оборони</t>
  </si>
  <si>
    <t>1518110</t>
  </si>
  <si>
    <t>3116017</t>
  </si>
  <si>
    <t>Інша діяльність, пов`язана з експлуатацією об`єктів житлово-комунального господарства</t>
  </si>
  <si>
    <t>8240</t>
  </si>
  <si>
    <t>Відхилення, грн</t>
  </si>
  <si>
    <t>Забезпечення діяльності центрів професійного розвитку педагогічних працівників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</si>
  <si>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</si>
  <si>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</si>
  <si>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1516011</t>
  </si>
  <si>
    <t>Надання  загальної  середньої  освіти  закладами  загальної  середньої  освіти за  рахунок коштів  місцевого  бюджету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</si>
  <si>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розвитку, за  рахунок  місцевого бюджету</t>
  </si>
  <si>
    <t>Надання  загальної  середньої  освіти  закладами  загальної  середньої  освіти за  рахунок  освітньої  субвенції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</si>
  <si>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 за рахунок  освітньої  субвенції</t>
  </si>
  <si>
    <t>Управління освіти Чорноморської  міської ради Одеського району Одеської області</t>
  </si>
  <si>
    <t>Управління освіти Чорноморської  міської ради  Одеського району Одеської області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</si>
  <si>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</si>
  <si>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</si>
  <si>
    <t>1010180</t>
  </si>
  <si>
    <t>1110180</t>
  </si>
  <si>
    <t>0217680</t>
  </si>
  <si>
    <t>7680</t>
  </si>
  <si>
    <t>Членські внески до асоціацій органів місцевого самоврядування</t>
  </si>
  <si>
    <t>1510180</t>
  </si>
  <si>
    <t>0443</t>
  </si>
  <si>
    <t>Розроблення схем планування та забудови територій (містобудівної документації)</t>
  </si>
  <si>
    <t>1517640</t>
  </si>
  <si>
    <t>7640</t>
  </si>
  <si>
    <t>0470</t>
  </si>
  <si>
    <t>Заходи з енергозбереження</t>
  </si>
  <si>
    <t>0218220</t>
  </si>
  <si>
    <t>Заходи та роботи з мобілізаційної підготовки місцевого значення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</si>
  <si>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</si>
  <si>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</si>
  <si>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</si>
  <si>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</si>
  <si>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0900000</t>
  </si>
  <si>
    <t/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</si>
  <si>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</si>
  <si>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</si>
  <si>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</si>
  <si>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</si>
  <si>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1216015</t>
  </si>
  <si>
    <t>6015</t>
  </si>
  <si>
    <t>Забезпечення надійної та безперебійної експлуатації ліфтів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</si>
  <si>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</si>
  <si>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0540</t>
  </si>
  <si>
    <t>Природоохоронні заходи за рахунок цільових фондів</t>
  </si>
  <si>
    <t>1516013</t>
  </si>
  <si>
    <t>1516015</t>
  </si>
  <si>
    <t>0611160</t>
  </si>
  <si>
    <t>Разом</t>
  </si>
  <si>
    <t>усього</t>
  </si>
  <si>
    <t>0213112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</si>
  <si>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</si>
  <si>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</si>
  <si>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</si>
  <si>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0618110</t>
  </si>
  <si>
    <t>0818110</t>
  </si>
  <si>
    <t>8110</t>
  </si>
  <si>
    <t>Заходи із запобігання поширенню інфекційних захворювань за рахунок коштів резервного фонду місцевого бюджету</t>
  </si>
  <si>
    <t>1510150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</si>
  <si>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</si>
  <si>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Будівництво 1 освітніх установ та закладів</t>
  </si>
  <si>
    <t>Реалізація інших заходів щодо соціально-економічного розвитку територій</t>
  </si>
  <si>
    <t>3110180</t>
  </si>
  <si>
    <t>3118240</t>
  </si>
  <si>
    <t>0218775</t>
  </si>
  <si>
    <t>Інші заходи за рахунок коштів резервного фонду місцевого бюджету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</si>
  <si>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</si>
  <si>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</si>
  <si>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</si>
  <si>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</si>
  <si>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</si>
  <si>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1115049</t>
  </si>
  <si>
    <t>5049</t>
  </si>
  <si>
    <t>1210170</t>
  </si>
  <si>
    <t>1213210</t>
  </si>
  <si>
    <t>33210</t>
  </si>
  <si>
    <t>0217350</t>
  </si>
  <si>
    <t>0218340</t>
  </si>
  <si>
    <t>0218240</t>
  </si>
  <si>
    <t>7310</t>
  </si>
  <si>
    <t>Будівництво об'єктів житлово-комунального господарства</t>
  </si>
  <si>
    <t>Виконання окремих заходів з реалізації соціального проекту "Активні парки - локації здорової України"</t>
  </si>
  <si>
    <t>1050</t>
  </si>
  <si>
    <t>Організація та проведення громадських робіт</t>
  </si>
  <si>
    <t>Показники  бюджету Чорноморської міської територіальної громади за видатками  за  9  місяців  2024 року  порівняно з аналогічними показниками за   відповідний  період  попереднього  бюджетного  періоду   із зазначенням динаміки їх зміни</t>
  </si>
  <si>
    <t>Виконано за  9  місяців  2024  року, грн</t>
  </si>
  <si>
    <t>Виконано за  9  місяців  2023 року, грн</t>
  </si>
  <si>
    <t>0217390</t>
  </si>
  <si>
    <t>0813123</t>
  </si>
  <si>
    <t>3123</t>
  </si>
  <si>
    <t>Заходи державної політики з питань сім`ї</t>
  </si>
  <si>
    <t>0813221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</si>
  <si>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</si>
  <si>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</si>
  <si>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</si>
  <si>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1217310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</si>
  <si>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</si>
  <si>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</si>
  <si>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</si>
  <si>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</si>
  <si>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</si>
  <si>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</si>
  <si>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8340</t>
  </si>
  <si>
    <t>0217130</t>
  </si>
  <si>
    <t>0421</t>
  </si>
  <si>
    <t>Здійснення заходів із землеустрою</t>
  </si>
  <si>
    <t>3117130</t>
  </si>
  <si>
    <t>7130</t>
  </si>
  <si>
    <t>у 9 разів</t>
  </si>
  <si>
    <t>у 52 рази</t>
  </si>
  <si>
    <t>у 8 разів</t>
  </si>
  <si>
    <t>у 5 разів</t>
  </si>
  <si>
    <t>у 3 рази</t>
  </si>
  <si>
    <t>у 6 опзів</t>
  </si>
  <si>
    <t>у 6 разів</t>
  </si>
  <si>
    <t>у 8 разві</t>
  </si>
  <si>
    <t>у 4 рази</t>
  </si>
  <si>
    <t>у 11 разів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</si>
</sst>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"/>
    <numFmt numFmtId="166" formatCode="0.0%"/>
    <numFmt numFmtId="167" formatCode="#,##0.0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11" fillId="0" borderId="0"/>
    <xf numFmtId="0" fontId="10" fillId="0" borderId="0"/>
    <xf numFmtId="0" fontId="10" fillId="0" borderId="0"/>
    <xf numFmtId="0" fontId="18" fillId="0" borderId="0"/>
    <xf numFmtId="0" fontId="17" fillId="0" borderId="0"/>
    <xf numFmtId="0" fontId="9" fillId="0" borderId="0"/>
    <xf numFmtId="0" fontId="8" fillId="0" borderId="0"/>
    <xf numFmtId="0" fontId="10" fillId="0" borderId="0"/>
    <xf numFmtId="0" fontId="20" fillId="3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1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12" fillId="2" borderId="0" xfId="0" applyFont="1" applyFill="1"/>
    <xf numFmtId="49" fontId="12" fillId="2" borderId="0" xfId="0" applyNumberFormat="1" applyFont="1" applyFill="1"/>
    <xf numFmtId="164" fontId="12" fillId="2" borderId="0" xfId="2" applyNumberFormat="1" applyFont="1" applyFill="1"/>
    <xf numFmtId="0" fontId="12" fillId="2" borderId="0" xfId="2" applyFont="1" applyFill="1"/>
    <xf numFmtId="4" fontId="12" fillId="2" borderId="0" xfId="0" applyNumberFormat="1" applyFont="1" applyFill="1"/>
    <xf numFmtId="2" fontId="12" fillId="2" borderId="0" xfId="0" applyNumberFormat="1" applyFont="1" applyFill="1"/>
    <xf numFmtId="3" fontId="12" fillId="2" borderId="0" xfId="2" applyNumberFormat="1" applyFont="1" applyFill="1"/>
    <xf numFmtId="0" fontId="12" fillId="2" borderId="1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0" fontId="13" fillId="2" borderId="1" xfId="2" applyFont="1" applyFill="1" applyBorder="1" applyAlignment="1">
      <alignment horizontal="left" vertical="center" wrapText="1"/>
    </xf>
    <xf numFmtId="166" fontId="13" fillId="2" borderId="1" xfId="2" applyNumberFormat="1" applyFont="1" applyFill="1" applyBorder="1" applyAlignment="1">
      <alignment horizontal="left" vertical="center"/>
    </xf>
    <xf numFmtId="0" fontId="14" fillId="2" borderId="1" xfId="2" applyFont="1" applyFill="1" applyBorder="1" applyAlignment="1">
      <alignment horizontal="left" vertical="center" wrapText="1"/>
    </xf>
    <xf numFmtId="166" fontId="14" fillId="2" borderId="1" xfId="2" applyNumberFormat="1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 wrapText="1"/>
    </xf>
    <xf numFmtId="0" fontId="12" fillId="2" borderId="1" xfId="3" applyFont="1" applyFill="1" applyBorder="1" applyAlignment="1">
      <alignment horizontal="left" vertical="center" wrapText="1"/>
    </xf>
    <xf numFmtId="49" fontId="12" fillId="2" borderId="1" xfId="2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/>
    </xf>
    <xf numFmtId="0" fontId="19" fillId="2" borderId="1" xfId="4" quotePrefix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5" fillId="2" borderId="5" xfId="4" quotePrefix="1" applyFont="1" applyFill="1" applyBorder="1" applyAlignment="1">
      <alignment horizontal="left" vertical="center" wrapText="1"/>
    </xf>
    <xf numFmtId="0" fontId="15" fillId="2" borderId="1" xfId="4" applyFont="1" applyFill="1" applyBorder="1" applyAlignment="1">
      <alignment horizontal="center" vertical="center" wrapText="1"/>
    </xf>
    <xf numFmtId="49" fontId="15" fillId="2" borderId="1" xfId="4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9" fillId="2" borderId="1" xfId="4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2" fontId="12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/>
    </xf>
    <xf numFmtId="165" fontId="12" fillId="2" borderId="0" xfId="0" applyNumberFormat="1" applyFont="1" applyFill="1"/>
    <xf numFmtId="3" fontId="12" fillId="2" borderId="0" xfId="0" applyNumberFormat="1" applyFont="1" applyFill="1"/>
    <xf numFmtId="0" fontId="13" fillId="2" borderId="1" xfId="0" applyFont="1" applyFill="1" applyBorder="1" applyAlignment="1">
      <alignment horizontal="center" vertical="center" wrapText="1"/>
    </xf>
    <xf numFmtId="0" fontId="19" fillId="2" borderId="1" xfId="4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3" fontId="13" fillId="2" borderId="1" xfId="2" applyNumberFormat="1" applyFont="1" applyFill="1" applyBorder="1" applyAlignment="1">
      <alignment horizontal="left" vertical="center" wrapText="1"/>
    </xf>
    <xf numFmtId="3" fontId="13" fillId="2" borderId="1" xfId="2" applyNumberFormat="1" applyFont="1" applyFill="1" applyBorder="1" applyAlignment="1">
      <alignment horizontal="left" vertical="center"/>
    </xf>
    <xf numFmtId="3" fontId="12" fillId="2" borderId="1" xfId="2" applyNumberFormat="1" applyFont="1" applyFill="1" applyBorder="1" applyAlignment="1">
      <alignment horizontal="left" vertical="center"/>
    </xf>
    <xf numFmtId="3" fontId="14" fillId="2" borderId="1" xfId="2" applyNumberFormat="1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left" vertical="center"/>
    </xf>
    <xf numFmtId="3" fontId="13" fillId="2" borderId="1" xfId="0" applyNumberFormat="1" applyFont="1" applyFill="1" applyBorder="1" applyAlignment="1">
      <alignment horizontal="left" vertical="center"/>
    </xf>
    <xf numFmtId="3" fontId="14" fillId="2" borderId="1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15" fillId="2" borderId="1" xfId="13" quotePrefix="1" applyFont="1" applyFill="1" applyBorder="1" applyAlignment="1">
      <alignment vertical="center" wrapText="1"/>
    </xf>
    <xf numFmtId="0" fontId="15" fillId="2" borderId="1" xfId="12" quotePrefix="1" applyFont="1" applyFill="1" applyBorder="1" applyAlignment="1">
      <alignment horizontal="left" vertical="center" wrapText="1"/>
    </xf>
    <xf numFmtId="0" fontId="15" fillId="2" borderId="1" xfId="10" quotePrefix="1" applyFont="1" applyFill="1" applyBorder="1" applyAlignment="1">
      <alignment horizontal="left" vertical="center" wrapText="1"/>
    </xf>
    <xf numFmtId="0" fontId="15" fillId="2" borderId="1" xfId="11" quotePrefix="1" applyFont="1" applyFill="1" applyBorder="1" applyAlignment="1">
      <alignment horizontal="left" vertical="center" wrapText="1"/>
    </xf>
    <xf numFmtId="0" fontId="16" fillId="2" borderId="1" xfId="11" applyFont="1" applyFill="1" applyBorder="1" applyAlignment="1">
      <alignment horizontal="left" vertical="center" wrapText="1"/>
    </xf>
    <xf numFmtId="0" fontId="15" fillId="0" borderId="1" xfId="0" quotePrefix="1" applyFont="1" applyFill="1" applyBorder="1" applyAlignment="1">
      <alignment horizontal="left" vertical="center" wrapText="1"/>
    </xf>
    <xf numFmtId="2" fontId="15" fillId="0" borderId="1" xfId="0" quotePrefix="1" applyNumberFormat="1" applyFont="1" applyFill="1" applyBorder="1" applyAlignment="1">
      <alignment horizontal="left" vertical="center" wrapText="1"/>
    </xf>
    <xf numFmtId="0" fontId="15" fillId="2" borderId="1" xfId="0" quotePrefix="1" applyFont="1" applyFill="1" applyBorder="1" applyAlignment="1">
      <alignment horizontal="left" vertical="center" wrapText="1"/>
    </xf>
    <xf numFmtId="0" fontId="15" fillId="2" borderId="1" xfId="13" quotePrefix="1" applyFont="1" applyFill="1" applyBorder="1" applyAlignment="1">
      <alignment horizontal="left" vertical="center" wrapText="1"/>
    </xf>
    <xf numFmtId="0" fontId="15" fillId="0" borderId="5" xfId="0" quotePrefix="1" applyFont="1" applyFill="1" applyBorder="1" applyAlignment="1">
      <alignment horizontal="left" vertical="center" wrapText="1"/>
    </xf>
    <xf numFmtId="49" fontId="15" fillId="2" borderId="1" xfId="12" applyNumberFormat="1" applyFont="1" applyFill="1" applyBorder="1" applyAlignment="1">
      <alignment horizontal="center" vertical="center" wrapText="1"/>
    </xf>
    <xf numFmtId="0" fontId="15" fillId="2" borderId="1" xfId="12" applyFont="1" applyFill="1" applyBorder="1" applyAlignment="1">
      <alignment horizontal="center" vertical="center" wrapText="1"/>
    </xf>
    <xf numFmtId="49" fontId="15" fillId="2" borderId="1" xfId="10" applyNumberFormat="1" applyFont="1" applyFill="1" applyBorder="1" applyAlignment="1">
      <alignment horizontal="center" vertical="center" wrapText="1"/>
    </xf>
    <xf numFmtId="0" fontId="15" fillId="2" borderId="1" xfId="10" applyFont="1" applyFill="1" applyBorder="1" applyAlignment="1">
      <alignment horizontal="center" vertical="center" wrapText="1"/>
    </xf>
    <xf numFmtId="49" fontId="15" fillId="2" borderId="1" xfId="11" applyNumberFormat="1" applyFont="1" applyFill="1" applyBorder="1" applyAlignment="1">
      <alignment horizontal="center" vertical="center" wrapText="1"/>
    </xf>
    <xf numFmtId="0" fontId="15" fillId="2" borderId="1" xfId="11" applyFont="1" applyFill="1" applyBorder="1" applyAlignment="1">
      <alignment horizontal="center" vertical="center" wrapText="1"/>
    </xf>
    <xf numFmtId="49" fontId="12" fillId="2" borderId="1" xfId="11" applyNumberFormat="1" applyFont="1" applyFill="1" applyBorder="1" applyAlignment="1">
      <alignment horizontal="center" vertical="center"/>
    </xf>
    <xf numFmtId="0" fontId="15" fillId="2" borderId="1" xfId="13" applyFont="1" applyFill="1" applyBorder="1" applyAlignment="1">
      <alignment horizontal="center" vertical="center" wrapText="1"/>
    </xf>
    <xf numFmtId="49" fontId="15" fillId="2" borderId="1" xfId="1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13" applyFont="1" applyFill="1" applyBorder="1" applyAlignment="1">
      <alignment vertical="center" wrapText="1"/>
    </xf>
    <xf numFmtId="49" fontId="12" fillId="2" borderId="1" xfId="13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left" vertical="center"/>
    </xf>
    <xf numFmtId="167" fontId="12" fillId="2" borderId="1" xfId="2" applyNumberFormat="1" applyFont="1" applyFill="1" applyBorder="1" applyAlignment="1">
      <alignment horizontal="left" vertical="center"/>
    </xf>
    <xf numFmtId="0" fontId="15" fillId="2" borderId="1" xfId="4" quotePrefix="1" applyFont="1" applyFill="1" applyBorder="1" applyAlignment="1">
      <alignment horizontal="left" vertical="center" wrapText="1"/>
    </xf>
    <xf numFmtId="166" fontId="12" fillId="2" borderId="1" xfId="2" applyNumberFormat="1" applyFont="1" applyFill="1" applyBorder="1" applyAlignment="1">
      <alignment horizontal="left" vertical="center"/>
    </xf>
    <xf numFmtId="4" fontId="12" fillId="2" borderId="1" xfId="2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 applyProtection="1">
      <alignment horizontal="center" vertical="center" wrapText="1"/>
    </xf>
    <xf numFmtId="49" fontId="12" fillId="2" borderId="3" xfId="1" applyNumberFormat="1" applyFont="1" applyFill="1" applyBorder="1" applyAlignment="1" applyProtection="1">
      <alignment horizontal="center" vertical="center" wrapText="1"/>
    </xf>
    <xf numFmtId="49" fontId="12" fillId="2" borderId="4" xfId="1" applyNumberFormat="1" applyFont="1" applyFill="1" applyBorder="1" applyAlignment="1" applyProtection="1">
      <alignment horizontal="center" vertical="center" wrapText="1"/>
    </xf>
    <xf numFmtId="49" fontId="12" fillId="2" borderId="1" xfId="1" applyNumberFormat="1" applyFont="1" applyFill="1" applyBorder="1" applyAlignment="1" applyProtection="1">
      <alignment horizontal="center" vertical="center" wrapText="1"/>
    </xf>
    <xf numFmtId="0" fontId="12" fillId="2" borderId="1" xfId="1" applyNumberFormat="1" applyFont="1" applyFill="1" applyBorder="1" applyAlignment="1" applyProtection="1">
      <alignment horizontal="center" vertical="center" wrapText="1"/>
    </xf>
    <xf numFmtId="49" fontId="15" fillId="2" borderId="1" xfId="17" applyNumberFormat="1" applyFont="1" applyFill="1" applyBorder="1" applyAlignment="1">
      <alignment horizontal="center" vertical="center" wrapText="1"/>
    </xf>
    <xf numFmtId="0" fontId="15" fillId="2" borderId="1" xfId="17" applyFont="1" applyFill="1" applyBorder="1" applyAlignment="1">
      <alignment horizontal="center" vertical="center" wrapText="1"/>
    </xf>
    <xf numFmtId="0" fontId="15" fillId="2" borderId="1" xfId="17" quotePrefix="1" applyFont="1" applyFill="1" applyBorder="1" applyAlignment="1">
      <alignment vertical="center" wrapText="1"/>
    </xf>
    <xf numFmtId="0" fontId="15" fillId="2" borderId="1" xfId="14" applyFont="1" applyFill="1" applyBorder="1" applyAlignment="1">
      <alignment horizontal="center" vertical="center" wrapText="1"/>
    </xf>
    <xf numFmtId="0" fontId="15" fillId="2" borderId="1" xfId="14" quotePrefix="1" applyFont="1" applyFill="1" applyBorder="1" applyAlignment="1">
      <alignment vertical="center" wrapText="1"/>
    </xf>
    <xf numFmtId="49" fontId="15" fillId="2" borderId="1" xfId="16" applyNumberFormat="1" applyFont="1" applyFill="1" applyBorder="1" applyAlignment="1">
      <alignment horizontal="center" vertical="center" wrapText="1"/>
    </xf>
    <xf numFmtId="0" fontId="15" fillId="2" borderId="1" xfId="16" applyFont="1" applyFill="1" applyBorder="1" applyAlignment="1">
      <alignment horizontal="center" vertical="center" wrapText="1"/>
    </xf>
    <xf numFmtId="0" fontId="15" fillId="0" borderId="1" xfId="15" applyFont="1" applyBorder="1" applyAlignment="1">
      <alignment vertical="center" wrapText="1"/>
    </xf>
    <xf numFmtId="49" fontId="13" fillId="2" borderId="0" xfId="0" applyNumberFormat="1" applyFont="1" applyFill="1" applyBorder="1" applyAlignment="1">
      <alignment horizontal="center" vertical="center"/>
    </xf>
    <xf numFmtId="0" fontId="13" fillId="2" borderId="0" xfId="2" applyFont="1" applyFill="1" applyBorder="1" applyAlignment="1">
      <alignment horizontal="left" vertical="center"/>
    </xf>
    <xf numFmtId="3" fontId="13" fillId="2" borderId="0" xfId="2" applyNumberFormat="1" applyFont="1" applyFill="1" applyBorder="1" applyAlignment="1">
      <alignment horizontal="left" vertical="center"/>
    </xf>
    <xf numFmtId="166" fontId="13" fillId="2" borderId="0" xfId="2" applyNumberFormat="1" applyFont="1" applyFill="1" applyBorder="1" applyAlignment="1">
      <alignment horizontal="left" vertical="center"/>
    </xf>
    <xf numFmtId="3" fontId="13" fillId="2" borderId="0" xfId="0" applyNumberFormat="1" applyFont="1" applyFill="1" applyBorder="1" applyAlignment="1">
      <alignment horizontal="left" vertical="center"/>
    </xf>
  </cellXfs>
  <cellStyles count="18">
    <cellStyle name="Гарний 2" xfId="9"/>
    <cellStyle name="Звичайний" xfId="0" builtinId="0"/>
    <cellStyle name="Звичайний 10" xfId="16"/>
    <cellStyle name="Звичайний 11" xfId="17"/>
    <cellStyle name="Звичайний 2" xfId="4"/>
    <cellStyle name="Звичайний 3" xfId="6"/>
    <cellStyle name="Звичайний 4" xfId="7"/>
    <cellStyle name="Звичайний 5" xfId="10"/>
    <cellStyle name="Звичайний 6" xfId="11"/>
    <cellStyle name="Звичайний 7" xfId="12"/>
    <cellStyle name="Звичайний 8" xfId="13"/>
    <cellStyle name="Звичайний 9" xfId="14"/>
    <cellStyle name="Обычный 2" xfId="5"/>
    <cellStyle name="Обычный 2 2" xfId="8"/>
    <cellStyle name="Обычный 3" xfId="1"/>
    <cellStyle name="Обычный 9" xfId="15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2"/>
  <sheetViews>
    <sheetView showZeros="0" tabSelected="1" view="pageBreakPreview" zoomScale="57" zoomScaleNormal="75" zoomScaleSheetLayoutView="57" workbookViewId="0">
      <pane xSplit="4" ySplit="7" topLeftCell="G8" activePane="bottomRight" state="frozen"/>
      <selection pane="topRight" activeCell="E1" sqref="E1"/>
      <selection pane="bottomLeft" activeCell="A9" sqref="A9"/>
      <selection pane="bottomRight" activeCell="P162" sqref="P162"/>
    </sheetView>
  </sheetViews>
  <sheetFormatPr defaultColWidth="8.88671875" defaultRowHeight="18"/>
  <cols>
    <col min="1" max="1" width="15.33203125" style="30" customWidth="1"/>
    <col min="2" max="2" width="11.44140625" style="2" customWidth="1"/>
    <col min="3" max="3" width="14.33203125" style="2" customWidth="1"/>
    <col min="4" max="4" width="53.33203125" style="1" customWidth="1"/>
    <col min="5" max="5" width="20.88671875" style="1" customWidth="1"/>
    <col min="6" max="6" width="22.5546875" style="1" customWidth="1"/>
    <col min="7" max="7" width="19.33203125" style="1" customWidth="1"/>
    <col min="8" max="8" width="19.6640625" style="1" customWidth="1"/>
    <col min="9" max="9" width="22.44140625" style="1" customWidth="1"/>
    <col min="10" max="10" width="19.6640625" style="1" customWidth="1"/>
    <col min="11" max="11" width="19.109375" style="1" customWidth="1"/>
    <col min="12" max="12" width="21.5546875" style="1" customWidth="1"/>
    <col min="13" max="13" width="14.109375" style="1" customWidth="1"/>
    <col min="14" max="14" width="14.5546875" style="1" customWidth="1"/>
    <col min="15" max="15" width="18.88671875" style="1" customWidth="1"/>
    <col min="16" max="16" width="19.6640625" style="1" customWidth="1"/>
    <col min="17" max="17" width="21.109375" style="1" customWidth="1"/>
    <col min="18" max="18" width="20.109375" style="1" customWidth="1"/>
    <col min="19" max="19" width="19.109375" style="1" customWidth="1"/>
    <col min="20" max="20" width="20" style="1" customWidth="1"/>
    <col min="21" max="21" width="14.33203125" style="1" bestFit="1" customWidth="1"/>
    <col min="22" max="16384" width="8.88671875" style="1"/>
  </cols>
  <sheetData>
    <row r="1" spans="1:21" ht="59.25" customHeight="1">
      <c r="A1" s="82" t="s">
        <v>332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</row>
    <row r="2" spans="1:21" ht="20.399999999999999" customHeight="1">
      <c r="A2" s="88" t="s">
        <v>165</v>
      </c>
      <c r="B2" s="88" t="s">
        <v>166</v>
      </c>
      <c r="C2" s="91" t="s">
        <v>167</v>
      </c>
      <c r="D2" s="92" t="s">
        <v>168</v>
      </c>
      <c r="E2" s="85" t="s">
        <v>334</v>
      </c>
      <c r="F2" s="86"/>
      <c r="G2" s="86"/>
      <c r="H2" s="87"/>
      <c r="I2" s="85" t="s">
        <v>333</v>
      </c>
      <c r="J2" s="86"/>
      <c r="K2" s="86"/>
      <c r="L2" s="87"/>
      <c r="M2" s="85" t="s">
        <v>183</v>
      </c>
      <c r="N2" s="86"/>
      <c r="O2" s="86"/>
      <c r="P2" s="87"/>
      <c r="Q2" s="85" t="s">
        <v>250</v>
      </c>
      <c r="R2" s="86"/>
      <c r="S2" s="86"/>
      <c r="T2" s="87"/>
    </row>
    <row r="3" spans="1:21" ht="25.5" customHeight="1">
      <c r="A3" s="89"/>
      <c r="B3" s="89"/>
      <c r="C3" s="91"/>
      <c r="D3" s="92"/>
      <c r="E3" s="83" t="s">
        <v>296</v>
      </c>
      <c r="F3" s="83" t="s">
        <v>182</v>
      </c>
      <c r="G3" s="83"/>
      <c r="H3" s="83"/>
      <c r="I3" s="83" t="s">
        <v>296</v>
      </c>
      <c r="J3" s="83" t="s">
        <v>182</v>
      </c>
      <c r="K3" s="83"/>
      <c r="L3" s="83"/>
      <c r="M3" s="83" t="s">
        <v>296</v>
      </c>
      <c r="N3" s="83" t="s">
        <v>182</v>
      </c>
      <c r="O3" s="83"/>
      <c r="P3" s="83"/>
      <c r="Q3" s="83" t="s">
        <v>296</v>
      </c>
      <c r="R3" s="83" t="s">
        <v>182</v>
      </c>
      <c r="S3" s="83"/>
      <c r="T3" s="83"/>
    </row>
    <row r="4" spans="1:21" ht="15" customHeight="1">
      <c r="A4" s="89"/>
      <c r="B4" s="89"/>
      <c r="C4" s="91"/>
      <c r="D4" s="92"/>
      <c r="E4" s="83"/>
      <c r="F4" s="83" t="s">
        <v>180</v>
      </c>
      <c r="G4" s="83" t="s">
        <v>179</v>
      </c>
      <c r="H4" s="83"/>
      <c r="I4" s="83"/>
      <c r="J4" s="83" t="s">
        <v>180</v>
      </c>
      <c r="K4" s="83" t="s">
        <v>179</v>
      </c>
      <c r="L4" s="83"/>
      <c r="M4" s="83"/>
      <c r="N4" s="83" t="s">
        <v>180</v>
      </c>
      <c r="O4" s="83" t="s">
        <v>179</v>
      </c>
      <c r="P4" s="83"/>
      <c r="Q4" s="83"/>
      <c r="R4" s="83" t="s">
        <v>180</v>
      </c>
      <c r="S4" s="83" t="s">
        <v>179</v>
      </c>
      <c r="T4" s="83"/>
    </row>
    <row r="5" spans="1:21" ht="24" customHeight="1">
      <c r="A5" s="89"/>
      <c r="B5" s="89"/>
      <c r="C5" s="91"/>
      <c r="D5" s="92"/>
      <c r="E5" s="83"/>
      <c r="F5" s="84"/>
      <c r="G5" s="83" t="s">
        <v>297</v>
      </c>
      <c r="H5" s="37" t="s">
        <v>181</v>
      </c>
      <c r="I5" s="83"/>
      <c r="J5" s="84"/>
      <c r="K5" s="83" t="s">
        <v>297</v>
      </c>
      <c r="L5" s="37" t="s">
        <v>181</v>
      </c>
      <c r="M5" s="83"/>
      <c r="N5" s="84"/>
      <c r="O5" s="83" t="s">
        <v>297</v>
      </c>
      <c r="P5" s="37" t="s">
        <v>181</v>
      </c>
      <c r="Q5" s="83"/>
      <c r="R5" s="84"/>
      <c r="S5" s="83" t="s">
        <v>297</v>
      </c>
      <c r="T5" s="37" t="s">
        <v>181</v>
      </c>
    </row>
    <row r="6" spans="1:21" ht="168.75" customHeight="1">
      <c r="A6" s="90"/>
      <c r="B6" s="90"/>
      <c r="C6" s="91"/>
      <c r="D6" s="92"/>
      <c r="E6" s="83"/>
      <c r="F6" s="84"/>
      <c r="G6" s="83"/>
      <c r="H6" s="37" t="s">
        <v>0</v>
      </c>
      <c r="I6" s="83"/>
      <c r="J6" s="84"/>
      <c r="K6" s="83"/>
      <c r="L6" s="37" t="s">
        <v>0</v>
      </c>
      <c r="M6" s="83"/>
      <c r="N6" s="84"/>
      <c r="O6" s="83"/>
      <c r="P6" s="37" t="s">
        <v>0</v>
      </c>
      <c r="Q6" s="83"/>
      <c r="R6" s="84"/>
      <c r="S6" s="83"/>
      <c r="T6" s="37" t="s">
        <v>0</v>
      </c>
    </row>
    <row r="7" spans="1:21">
      <c r="A7" s="25">
        <v>1</v>
      </c>
      <c r="B7" s="25">
        <v>2</v>
      </c>
      <c r="C7" s="25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9">
        <v>17</v>
      </c>
      <c r="R7" s="9">
        <v>18</v>
      </c>
      <c r="S7" s="9">
        <v>19</v>
      </c>
      <c r="T7" s="9">
        <v>20</v>
      </c>
    </row>
    <row r="8" spans="1:21" s="32" customFormat="1" ht="52.2">
      <c r="A8" s="27" t="s">
        <v>63</v>
      </c>
      <c r="B8" s="27"/>
      <c r="C8" s="27"/>
      <c r="D8" s="10" t="s">
        <v>208</v>
      </c>
      <c r="E8" s="40">
        <f t="shared" ref="E8:L8" si="0">E9</f>
        <v>101570465.8</v>
      </c>
      <c r="F8" s="40">
        <f t="shared" si="0"/>
        <v>100034248.23</v>
      </c>
      <c r="G8" s="40">
        <f t="shared" si="0"/>
        <v>1536217.5699999998</v>
      </c>
      <c r="H8" s="40">
        <f t="shared" si="0"/>
        <v>1237580</v>
      </c>
      <c r="I8" s="40">
        <f t="shared" si="0"/>
        <v>112868264.49000002</v>
      </c>
      <c r="J8" s="40">
        <f t="shared" si="0"/>
        <v>105240667.57000002</v>
      </c>
      <c r="K8" s="40">
        <f t="shared" si="0"/>
        <v>7627596.9199999999</v>
      </c>
      <c r="L8" s="40">
        <f t="shared" si="0"/>
        <v>4206035.32</v>
      </c>
      <c r="M8" s="11">
        <f>IFERROR((I8/E8),"")</f>
        <v>1.1112311398890919</v>
      </c>
      <c r="N8" s="11">
        <f t="shared" ref="N8" si="1">IFERROR((J8/F8),"")</f>
        <v>1.0520463684400303</v>
      </c>
      <c r="O8" s="11" t="s">
        <v>359</v>
      </c>
      <c r="P8" s="11" t="s">
        <v>360</v>
      </c>
      <c r="Q8" s="45">
        <f>I8-E8</f>
        <v>11297798.690000027</v>
      </c>
      <c r="R8" s="45">
        <f>J8-F8</f>
        <v>5206419.3400000185</v>
      </c>
      <c r="S8" s="45">
        <f t="shared" ref="S8:T8" si="2">K8-G8</f>
        <v>6091379.3499999996</v>
      </c>
      <c r="T8" s="45">
        <f t="shared" si="2"/>
        <v>2968455.3200000003</v>
      </c>
    </row>
    <row r="9" spans="1:21" s="32" customFormat="1" ht="52.2">
      <c r="A9" s="27" t="s">
        <v>64</v>
      </c>
      <c r="B9" s="27"/>
      <c r="C9" s="27"/>
      <c r="D9" s="10" t="s">
        <v>209</v>
      </c>
      <c r="E9" s="41">
        <f>F9+G9</f>
        <v>101570465.8</v>
      </c>
      <c r="F9" s="41">
        <f>F10+F15+F16+F17+F18+F19+F20+F22+F23+F31+F34+F32+F37+F30+F33+F21+F35+F36+F28+F29+F27</f>
        <v>100034248.23</v>
      </c>
      <c r="G9" s="41">
        <f t="shared" ref="G9:H9" si="3">G10+G15+G16+G17+G18+G19+G20+G22+G23+G31+G34+G32+G37+G30+G33+G21+G35+G36+G28+G29</f>
        <v>1536217.5699999998</v>
      </c>
      <c r="H9" s="41">
        <f t="shared" si="3"/>
        <v>1237580</v>
      </c>
      <c r="I9" s="41">
        <f>J9+K9</f>
        <v>112868264.49000002</v>
      </c>
      <c r="J9" s="41">
        <f>J10+J15+J16+J17+J18+J19+J20+J22+J23+J31+J34+J32+J37+J30+J33+J21+J35+J36+J28+J29+J27</f>
        <v>105240667.57000002</v>
      </c>
      <c r="K9" s="41">
        <f t="shared" ref="K9:L9" si="4">K10+K15+K16+K17+K18+K19+K20+K22+K23+K31+K34+K32+K37+K30+K33+K21+K35+K36+K28+K29</f>
        <v>7627596.9199999999</v>
      </c>
      <c r="L9" s="41">
        <f t="shared" si="4"/>
        <v>4206035.32</v>
      </c>
      <c r="M9" s="11">
        <f t="shared" ref="M9:M77" si="5">IFERROR((I9/E9),"")</f>
        <v>1.1112311398890919</v>
      </c>
      <c r="N9" s="11">
        <f t="shared" ref="N9" si="6">IFERROR((J9/F9),"")</f>
        <v>1.0520463684400303</v>
      </c>
      <c r="O9" s="11" t="s">
        <v>359</v>
      </c>
      <c r="P9" s="11" t="s">
        <v>360</v>
      </c>
      <c r="Q9" s="45">
        <f t="shared" ref="Q9:Q66" si="7">I9-E9</f>
        <v>11297798.690000027</v>
      </c>
      <c r="R9" s="45">
        <f t="shared" ref="R9:R66" si="8">J9-F9</f>
        <v>5206419.3400000185</v>
      </c>
      <c r="S9" s="45">
        <f t="shared" ref="S9:S66" si="9">K9-G9</f>
        <v>6091379.3499999996</v>
      </c>
      <c r="T9" s="45">
        <f t="shared" ref="T9:T66" si="10">L9-H9</f>
        <v>2968455.3200000003</v>
      </c>
    </row>
    <row r="10" spans="1:21" s="49" customFormat="1" ht="90">
      <c r="A10" s="25" t="s">
        <v>65</v>
      </c>
      <c r="B10" s="25" t="s">
        <v>52</v>
      </c>
      <c r="C10" s="25" t="s">
        <v>3</v>
      </c>
      <c r="D10" s="26" t="s">
        <v>53</v>
      </c>
      <c r="E10" s="42">
        <f>F10+G10</f>
        <v>45542002.350000001</v>
      </c>
      <c r="F10" s="42">
        <f>F11+F12+F13+F14</f>
        <v>44972104.780000001</v>
      </c>
      <c r="G10" s="42">
        <f>G11+G12+G13+G14</f>
        <v>569897.56999999995</v>
      </c>
      <c r="H10" s="42">
        <f>H11+H12+H13+H14</f>
        <v>271260</v>
      </c>
      <c r="I10" s="42">
        <f>J10+K10</f>
        <v>55691909.409999996</v>
      </c>
      <c r="J10" s="42">
        <f>J11+J12+J13+J14</f>
        <v>52290347.809999995</v>
      </c>
      <c r="K10" s="42">
        <f>K11+K12+K13+K14</f>
        <v>3401561.6</v>
      </c>
      <c r="L10" s="42">
        <f>L11+L12+L13+L14</f>
        <v>0</v>
      </c>
      <c r="M10" s="80">
        <f t="shared" ref="M10:M73" si="11">IFERROR((I10/E10),"")</f>
        <v>1.2228691435654453</v>
      </c>
      <c r="N10" s="80">
        <f t="shared" ref="N10:N73" si="12">IFERROR((J10/F10),"")</f>
        <v>1.1627284972718146</v>
      </c>
      <c r="O10" s="80" t="s">
        <v>361</v>
      </c>
      <c r="P10" s="80">
        <f t="shared" ref="P10:P73" si="13">IFERROR((L10/H10),"")</f>
        <v>0</v>
      </c>
      <c r="Q10" s="44">
        <f t="shared" ref="Q10:Q73" si="14">I10-E10</f>
        <v>10149907.059999995</v>
      </c>
      <c r="R10" s="44">
        <f t="shared" ref="R10:R73" si="15">J10-F10</f>
        <v>7318243.0299999937</v>
      </c>
      <c r="S10" s="44">
        <f t="shared" ref="S10:S73" si="16">K10-G10</f>
        <v>2831664.0300000003</v>
      </c>
      <c r="T10" s="44">
        <f t="shared" ref="T10:T73" si="17">L10-H10</f>
        <v>-271260</v>
      </c>
      <c r="U10" s="33"/>
    </row>
    <row r="11" spans="1:21" s="34" customFormat="1" ht="36">
      <c r="A11" s="28"/>
      <c r="B11" s="28"/>
      <c r="C11" s="28"/>
      <c r="D11" s="12" t="s">
        <v>209</v>
      </c>
      <c r="E11" s="43">
        <f>F11+G11</f>
        <v>40865883.210000001</v>
      </c>
      <c r="F11" s="43">
        <v>40303969.590000004</v>
      </c>
      <c r="G11" s="43">
        <v>561913.62</v>
      </c>
      <c r="H11" s="43">
        <v>271260</v>
      </c>
      <c r="I11" s="43">
        <f>J11+K11</f>
        <v>50010400.729999997</v>
      </c>
      <c r="J11" s="43">
        <v>46610376.689999998</v>
      </c>
      <c r="K11" s="43">
        <f>3349979.06+50044.98</f>
        <v>3400024.04</v>
      </c>
      <c r="L11" s="43"/>
      <c r="M11" s="13">
        <f t="shared" si="11"/>
        <v>1.2237689926584605</v>
      </c>
      <c r="N11" s="13">
        <f t="shared" si="12"/>
        <v>1.1564711159757501</v>
      </c>
      <c r="O11" s="13" t="s">
        <v>362</v>
      </c>
      <c r="P11" s="13">
        <f t="shared" si="13"/>
        <v>0</v>
      </c>
      <c r="Q11" s="46">
        <f t="shared" si="14"/>
        <v>9144517.5199999958</v>
      </c>
      <c r="R11" s="46">
        <f t="shared" si="15"/>
        <v>6306407.099999994</v>
      </c>
      <c r="S11" s="46">
        <f t="shared" si="16"/>
        <v>2838110.42</v>
      </c>
      <c r="T11" s="46">
        <f t="shared" si="17"/>
        <v>-271260</v>
      </c>
    </row>
    <row r="12" spans="1:21" s="34" customFormat="1" ht="54">
      <c r="A12" s="28"/>
      <c r="B12" s="28"/>
      <c r="C12" s="28"/>
      <c r="D12" s="12" t="s">
        <v>216</v>
      </c>
      <c r="E12" s="43">
        <f t="shared" ref="E12:E31" si="18">F12+G12</f>
        <v>1821405.67</v>
      </c>
      <c r="F12" s="43">
        <v>1819942.72</v>
      </c>
      <c r="G12" s="43">
        <v>1462.95</v>
      </c>
      <c r="H12" s="43"/>
      <c r="I12" s="43">
        <f t="shared" ref="I12:I13" si="19">J12+K12</f>
        <v>2352282.7400000002</v>
      </c>
      <c r="J12" s="43">
        <v>2350745.1800000002</v>
      </c>
      <c r="K12" s="43">
        <v>1537.56</v>
      </c>
      <c r="L12" s="43"/>
      <c r="M12" s="13">
        <f t="shared" si="11"/>
        <v>1.2914655854782753</v>
      </c>
      <c r="N12" s="13">
        <f t="shared" si="12"/>
        <v>1.2916588825388968</v>
      </c>
      <c r="O12" s="13">
        <f t="shared" ref="O10:O73" si="20">IFERROR((K12/G12),"")</f>
        <v>1.0509996924023377</v>
      </c>
      <c r="P12" s="13" t="str">
        <f t="shared" si="13"/>
        <v/>
      </c>
      <c r="Q12" s="46">
        <f t="shared" si="14"/>
        <v>530877.0700000003</v>
      </c>
      <c r="R12" s="46">
        <f t="shared" si="15"/>
        <v>530802.4600000002</v>
      </c>
      <c r="S12" s="46">
        <f t="shared" si="16"/>
        <v>74.6099999999999</v>
      </c>
      <c r="T12" s="46">
        <f t="shared" si="17"/>
        <v>0</v>
      </c>
    </row>
    <row r="13" spans="1:21" s="34" customFormat="1" ht="54">
      <c r="A13" s="28"/>
      <c r="B13" s="28"/>
      <c r="C13" s="28"/>
      <c r="D13" s="12" t="s">
        <v>217</v>
      </c>
      <c r="E13" s="43">
        <f t="shared" si="18"/>
        <v>1267213.53</v>
      </c>
      <c r="F13" s="43">
        <v>1267213.53</v>
      </c>
      <c r="G13" s="43"/>
      <c r="H13" s="43"/>
      <c r="I13" s="43">
        <f t="shared" si="19"/>
        <v>1491480.96</v>
      </c>
      <c r="J13" s="43">
        <v>1491480.96</v>
      </c>
      <c r="K13" s="43"/>
      <c r="L13" s="43"/>
      <c r="M13" s="13">
        <f t="shared" si="11"/>
        <v>1.1769768272597279</v>
      </c>
      <c r="N13" s="13">
        <f t="shared" si="12"/>
        <v>1.1769768272597279</v>
      </c>
      <c r="O13" s="13" t="str">
        <f t="shared" si="20"/>
        <v/>
      </c>
      <c r="P13" s="13" t="str">
        <f t="shared" si="13"/>
        <v/>
      </c>
      <c r="Q13" s="46">
        <f t="shared" si="14"/>
        <v>224267.42999999993</v>
      </c>
      <c r="R13" s="46">
        <f t="shared" si="15"/>
        <v>224267.42999999993</v>
      </c>
      <c r="S13" s="46">
        <f t="shared" si="16"/>
        <v>0</v>
      </c>
      <c r="T13" s="46">
        <f t="shared" si="17"/>
        <v>0</v>
      </c>
    </row>
    <row r="14" spans="1:21" s="34" customFormat="1" ht="54">
      <c r="A14" s="28"/>
      <c r="B14" s="28"/>
      <c r="C14" s="28"/>
      <c r="D14" s="12" t="s">
        <v>218</v>
      </c>
      <c r="E14" s="43">
        <f t="shared" si="18"/>
        <v>1587499.94</v>
      </c>
      <c r="F14" s="43">
        <v>1580978.94</v>
      </c>
      <c r="G14" s="43">
        <v>6521</v>
      </c>
      <c r="H14" s="43"/>
      <c r="I14" s="43">
        <f t="shared" ref="I14:I65" si="21">J14+K14</f>
        <v>1837744.98</v>
      </c>
      <c r="J14" s="43">
        <v>1837744.98</v>
      </c>
      <c r="K14" s="43"/>
      <c r="L14" s="43"/>
      <c r="M14" s="13">
        <f t="shared" si="11"/>
        <v>1.1576346768239878</v>
      </c>
      <c r="N14" s="13">
        <f t="shared" si="12"/>
        <v>1.1624095258346705</v>
      </c>
      <c r="O14" s="13">
        <f t="shared" si="20"/>
        <v>0</v>
      </c>
      <c r="P14" s="13" t="str">
        <f t="shared" si="13"/>
        <v/>
      </c>
      <c r="Q14" s="46">
        <f t="shared" si="14"/>
        <v>250245.04000000004</v>
      </c>
      <c r="R14" s="46">
        <f t="shared" si="15"/>
        <v>256766.04000000004</v>
      </c>
      <c r="S14" s="46">
        <f t="shared" si="16"/>
        <v>-6521</v>
      </c>
      <c r="T14" s="46">
        <f t="shared" si="17"/>
        <v>0</v>
      </c>
    </row>
    <row r="15" spans="1:21" s="49" customFormat="1" ht="54">
      <c r="A15" s="25" t="s">
        <v>116</v>
      </c>
      <c r="B15" s="25" t="s">
        <v>117</v>
      </c>
      <c r="C15" s="25" t="s">
        <v>118</v>
      </c>
      <c r="D15" s="26" t="s">
        <v>119</v>
      </c>
      <c r="E15" s="42">
        <f>F15</f>
        <v>8840</v>
      </c>
      <c r="F15" s="42">
        <v>8840</v>
      </c>
      <c r="G15" s="42"/>
      <c r="H15" s="42"/>
      <c r="I15" s="42">
        <f t="shared" si="21"/>
        <v>22200</v>
      </c>
      <c r="J15" s="42">
        <v>22200</v>
      </c>
      <c r="K15" s="42"/>
      <c r="L15" s="42"/>
      <c r="M15" s="80">
        <f t="shared" si="11"/>
        <v>2.5113122171945701</v>
      </c>
      <c r="N15" s="80">
        <f t="shared" si="12"/>
        <v>2.5113122171945701</v>
      </c>
      <c r="O15" s="80" t="str">
        <f t="shared" si="20"/>
        <v/>
      </c>
      <c r="P15" s="80" t="str">
        <f t="shared" si="13"/>
        <v/>
      </c>
      <c r="Q15" s="44">
        <f t="shared" si="14"/>
        <v>13360</v>
      </c>
      <c r="R15" s="44">
        <f t="shared" si="15"/>
        <v>13360</v>
      </c>
      <c r="S15" s="44">
        <f t="shared" si="16"/>
        <v>0</v>
      </c>
      <c r="T15" s="44">
        <f t="shared" si="17"/>
        <v>0</v>
      </c>
    </row>
    <row r="16" spans="1:21" s="49" customFormat="1" ht="36">
      <c r="A16" s="25" t="s">
        <v>120</v>
      </c>
      <c r="B16" s="25" t="s">
        <v>8</v>
      </c>
      <c r="C16" s="25" t="s">
        <v>6</v>
      </c>
      <c r="D16" s="26" t="s">
        <v>121</v>
      </c>
      <c r="E16" s="42">
        <f t="shared" si="18"/>
        <v>716645.41</v>
      </c>
      <c r="F16" s="42">
        <v>716645.41</v>
      </c>
      <c r="G16" s="42"/>
      <c r="H16" s="42"/>
      <c r="I16" s="42">
        <f t="shared" si="21"/>
        <v>932650.79</v>
      </c>
      <c r="J16" s="42">
        <v>932650.79</v>
      </c>
      <c r="K16" s="42"/>
      <c r="L16" s="42"/>
      <c r="M16" s="80">
        <f t="shared" si="11"/>
        <v>1.3014117958280094</v>
      </c>
      <c r="N16" s="80">
        <f t="shared" si="12"/>
        <v>1.3014117958280094</v>
      </c>
      <c r="O16" s="80" t="str">
        <f t="shared" si="20"/>
        <v/>
      </c>
      <c r="P16" s="80" t="str">
        <f t="shared" si="13"/>
        <v/>
      </c>
      <c r="Q16" s="44">
        <f t="shared" si="14"/>
        <v>216005.38</v>
      </c>
      <c r="R16" s="44">
        <f t="shared" si="15"/>
        <v>216005.38</v>
      </c>
      <c r="S16" s="44">
        <f t="shared" si="16"/>
        <v>0</v>
      </c>
      <c r="T16" s="44">
        <f t="shared" si="17"/>
        <v>0</v>
      </c>
    </row>
    <row r="17" spans="1:21" s="49" customFormat="1" ht="36">
      <c r="A17" s="25" t="s">
        <v>66</v>
      </c>
      <c r="B17" s="25" t="s">
        <v>28</v>
      </c>
      <c r="C17" s="25" t="s">
        <v>29</v>
      </c>
      <c r="D17" s="47" t="s">
        <v>160</v>
      </c>
      <c r="E17" s="42">
        <f t="shared" si="18"/>
        <v>21469983.690000001</v>
      </c>
      <c r="F17" s="42">
        <v>21469983.690000001</v>
      </c>
      <c r="G17" s="42"/>
      <c r="H17" s="42"/>
      <c r="I17" s="42">
        <f t="shared" si="21"/>
        <v>17049486</v>
      </c>
      <c r="J17" s="42">
        <v>14558289.68</v>
      </c>
      <c r="K17" s="42">
        <v>2491196.3199999998</v>
      </c>
      <c r="L17" s="42">
        <v>2491196.3199999998</v>
      </c>
      <c r="M17" s="80">
        <f t="shared" si="11"/>
        <v>0.79410800893812872</v>
      </c>
      <c r="N17" s="80">
        <f t="shared" si="12"/>
        <v>0.6780764200943834</v>
      </c>
      <c r="O17" s="80" t="str">
        <f t="shared" si="20"/>
        <v/>
      </c>
      <c r="P17" s="80" t="str">
        <f t="shared" si="13"/>
        <v/>
      </c>
      <c r="Q17" s="44">
        <f t="shared" si="14"/>
        <v>-4420497.6900000013</v>
      </c>
      <c r="R17" s="44">
        <f t="shared" si="15"/>
        <v>-6911694.0100000016</v>
      </c>
      <c r="S17" s="44">
        <f t="shared" si="16"/>
        <v>2491196.3199999998</v>
      </c>
      <c r="T17" s="44">
        <f t="shared" si="17"/>
        <v>2491196.3199999998</v>
      </c>
      <c r="U17" s="33"/>
    </row>
    <row r="18" spans="1:21" s="49" customFormat="1" ht="30" customHeight="1">
      <c r="A18" s="25" t="s">
        <v>67</v>
      </c>
      <c r="B18" s="25" t="s">
        <v>54</v>
      </c>
      <c r="C18" s="25" t="s">
        <v>30</v>
      </c>
      <c r="D18" s="47" t="s">
        <v>222</v>
      </c>
      <c r="E18" s="42">
        <f t="shared" si="18"/>
        <v>4450185.41</v>
      </c>
      <c r="F18" s="42">
        <v>4422885.41</v>
      </c>
      <c r="G18" s="42">
        <v>27300</v>
      </c>
      <c r="H18" s="42">
        <f>G18</f>
        <v>27300</v>
      </c>
      <c r="I18" s="42">
        <f t="shared" si="21"/>
        <v>5789444.9299999997</v>
      </c>
      <c r="J18" s="42">
        <v>5647054.9299999997</v>
      </c>
      <c r="K18" s="42">
        <v>142390</v>
      </c>
      <c r="L18" s="42">
        <v>142390</v>
      </c>
      <c r="M18" s="80">
        <f t="shared" si="11"/>
        <v>1.3009446565957798</v>
      </c>
      <c r="N18" s="80">
        <f t="shared" si="12"/>
        <v>1.2767807452646618</v>
      </c>
      <c r="O18" s="80" t="s">
        <v>359</v>
      </c>
      <c r="P18" s="80" t="s">
        <v>359</v>
      </c>
      <c r="Q18" s="44">
        <f t="shared" si="14"/>
        <v>1339259.5199999996</v>
      </c>
      <c r="R18" s="44">
        <f t="shared" si="15"/>
        <v>1224169.5199999996</v>
      </c>
      <c r="S18" s="44">
        <f t="shared" si="16"/>
        <v>115090</v>
      </c>
      <c r="T18" s="44">
        <f t="shared" si="17"/>
        <v>115090</v>
      </c>
    </row>
    <row r="19" spans="1:21" s="49" customFormat="1" ht="54">
      <c r="A19" s="23" t="s">
        <v>237</v>
      </c>
      <c r="B19" s="23">
        <v>2111</v>
      </c>
      <c r="C19" s="23" t="s">
        <v>238</v>
      </c>
      <c r="D19" s="79" t="s">
        <v>239</v>
      </c>
      <c r="E19" s="42">
        <f t="shared" si="18"/>
        <v>788957.51</v>
      </c>
      <c r="F19" s="42">
        <v>720057.51</v>
      </c>
      <c r="G19" s="42">
        <v>68900</v>
      </c>
      <c r="H19" s="42">
        <f>G19</f>
        <v>68900</v>
      </c>
      <c r="I19" s="42">
        <f t="shared" si="21"/>
        <v>6082607.4199999999</v>
      </c>
      <c r="J19" s="42">
        <v>6082607.4199999999</v>
      </c>
      <c r="K19" s="42"/>
      <c r="L19" s="42"/>
      <c r="M19" s="80" t="s">
        <v>363</v>
      </c>
      <c r="N19" s="80" t="s">
        <v>358</v>
      </c>
      <c r="O19" s="80">
        <f t="shared" si="20"/>
        <v>0</v>
      </c>
      <c r="P19" s="80">
        <f t="shared" si="13"/>
        <v>0</v>
      </c>
      <c r="Q19" s="44">
        <f t="shared" si="14"/>
        <v>5293649.91</v>
      </c>
      <c r="R19" s="44">
        <f t="shared" si="15"/>
        <v>5362549.91</v>
      </c>
      <c r="S19" s="44">
        <f t="shared" si="16"/>
        <v>-68900</v>
      </c>
      <c r="T19" s="44">
        <f t="shared" si="17"/>
        <v>-68900</v>
      </c>
    </row>
    <row r="20" spans="1:21" s="49" customFormat="1" ht="36">
      <c r="A20" s="23" t="s">
        <v>240</v>
      </c>
      <c r="B20" s="23" t="s">
        <v>188</v>
      </c>
      <c r="C20" s="23" t="s">
        <v>128</v>
      </c>
      <c r="D20" s="79" t="s">
        <v>241</v>
      </c>
      <c r="E20" s="42">
        <f t="shared" si="18"/>
        <v>1120781.6399999999</v>
      </c>
      <c r="F20" s="42">
        <v>1120781.6399999999</v>
      </c>
      <c r="G20" s="42"/>
      <c r="H20" s="42"/>
      <c r="I20" s="42">
        <f t="shared" si="21"/>
        <v>1052802.68</v>
      </c>
      <c r="J20" s="42">
        <f>162149.18+890653.5</f>
        <v>1052802.68</v>
      </c>
      <c r="K20" s="42"/>
      <c r="L20" s="42"/>
      <c r="M20" s="80">
        <f t="shared" si="11"/>
        <v>0.93934682941451475</v>
      </c>
      <c r="N20" s="80">
        <f t="shared" si="12"/>
        <v>0.93934682941451475</v>
      </c>
      <c r="O20" s="80" t="str">
        <f t="shared" si="20"/>
        <v/>
      </c>
      <c r="P20" s="80" t="str">
        <f t="shared" si="13"/>
        <v/>
      </c>
      <c r="Q20" s="44">
        <f t="shared" si="14"/>
        <v>-67978.959999999963</v>
      </c>
      <c r="R20" s="44">
        <f t="shared" si="15"/>
        <v>-67978.959999999963</v>
      </c>
      <c r="S20" s="44">
        <f t="shared" si="16"/>
        <v>0</v>
      </c>
      <c r="T20" s="44">
        <f t="shared" si="17"/>
        <v>0</v>
      </c>
    </row>
    <row r="21" spans="1:21" s="49" customFormat="1" ht="36">
      <c r="A21" s="25" t="s">
        <v>298</v>
      </c>
      <c r="B21" s="25" t="s">
        <v>34</v>
      </c>
      <c r="C21" s="25" t="s">
        <v>17</v>
      </c>
      <c r="D21" s="47" t="s">
        <v>43</v>
      </c>
      <c r="E21" s="42">
        <f t="shared" si="18"/>
        <v>36000</v>
      </c>
      <c r="F21" s="42">
        <v>36000</v>
      </c>
      <c r="G21" s="42"/>
      <c r="H21" s="42"/>
      <c r="I21" s="42">
        <f t="shared" si="21"/>
        <v>0</v>
      </c>
      <c r="J21" s="42">
        <v>0</v>
      </c>
      <c r="K21" s="42"/>
      <c r="L21" s="42"/>
      <c r="M21" s="80">
        <f t="shared" si="11"/>
        <v>0</v>
      </c>
      <c r="N21" s="80">
        <f t="shared" si="12"/>
        <v>0</v>
      </c>
      <c r="O21" s="80" t="str">
        <f t="shared" si="20"/>
        <v/>
      </c>
      <c r="P21" s="80" t="str">
        <f t="shared" si="13"/>
        <v/>
      </c>
      <c r="Q21" s="44">
        <f t="shared" si="14"/>
        <v>-36000</v>
      </c>
      <c r="R21" s="44">
        <f t="shared" si="15"/>
        <v>-36000</v>
      </c>
      <c r="S21" s="44">
        <f t="shared" si="16"/>
        <v>0</v>
      </c>
      <c r="T21" s="44">
        <f t="shared" si="17"/>
        <v>0</v>
      </c>
    </row>
    <row r="22" spans="1:21" s="49" customFormat="1" ht="36">
      <c r="A22" s="25" t="s">
        <v>149</v>
      </c>
      <c r="B22" s="25" t="s">
        <v>147</v>
      </c>
      <c r="C22" s="25" t="s">
        <v>4</v>
      </c>
      <c r="D22" s="26" t="s">
        <v>148</v>
      </c>
      <c r="E22" s="42">
        <f t="shared" si="18"/>
        <v>3060500</v>
      </c>
      <c r="F22" s="42">
        <v>3060500</v>
      </c>
      <c r="G22" s="42"/>
      <c r="H22" s="42"/>
      <c r="I22" s="42">
        <f t="shared" si="21"/>
        <v>2091500</v>
      </c>
      <c r="J22" s="42">
        <v>2091500</v>
      </c>
      <c r="K22" s="42"/>
      <c r="L22" s="42"/>
      <c r="M22" s="80">
        <f t="shared" si="11"/>
        <v>0.68338506779937913</v>
      </c>
      <c r="N22" s="80">
        <f t="shared" si="12"/>
        <v>0.68338506779937913</v>
      </c>
      <c r="O22" s="80" t="str">
        <f t="shared" si="20"/>
        <v/>
      </c>
      <c r="P22" s="80" t="str">
        <f t="shared" si="13"/>
        <v/>
      </c>
      <c r="Q22" s="44">
        <f t="shared" si="14"/>
        <v>-969000</v>
      </c>
      <c r="R22" s="44">
        <f t="shared" si="15"/>
        <v>-969000</v>
      </c>
      <c r="S22" s="44">
        <f t="shared" si="16"/>
        <v>0</v>
      </c>
      <c r="T22" s="44">
        <f t="shared" si="17"/>
        <v>0</v>
      </c>
    </row>
    <row r="23" spans="1:21" s="49" customFormat="1" ht="33.6" customHeight="1">
      <c r="A23" s="25" t="s">
        <v>68</v>
      </c>
      <c r="B23" s="25" t="s">
        <v>40</v>
      </c>
      <c r="C23" s="25" t="s">
        <v>7</v>
      </c>
      <c r="D23" s="26" t="s">
        <v>55</v>
      </c>
      <c r="E23" s="42">
        <f t="shared" si="18"/>
        <v>4685791.33</v>
      </c>
      <c r="F23" s="42">
        <f>F24+F25+F26</f>
        <v>4685791.33</v>
      </c>
      <c r="G23" s="42">
        <f t="shared" ref="G23:L23" si="22">G24+G25+G26</f>
        <v>0</v>
      </c>
      <c r="H23" s="42">
        <f t="shared" si="22"/>
        <v>0</v>
      </c>
      <c r="I23" s="42">
        <f t="shared" si="21"/>
        <v>6362551.1499999994</v>
      </c>
      <c r="J23" s="42">
        <f>J24+J25+J26</f>
        <v>6362551.1499999994</v>
      </c>
      <c r="K23" s="42">
        <f t="shared" si="22"/>
        <v>0</v>
      </c>
      <c r="L23" s="42">
        <f t="shared" si="22"/>
        <v>0</v>
      </c>
      <c r="M23" s="80">
        <f t="shared" si="11"/>
        <v>1.3578391998091812</v>
      </c>
      <c r="N23" s="80">
        <f t="shared" si="12"/>
        <v>1.3578391998091812</v>
      </c>
      <c r="O23" s="80" t="str">
        <f t="shared" si="20"/>
        <v/>
      </c>
      <c r="P23" s="80" t="str">
        <f t="shared" si="13"/>
        <v/>
      </c>
      <c r="Q23" s="44">
        <f t="shared" si="14"/>
        <v>1676759.8199999994</v>
      </c>
      <c r="R23" s="44">
        <f t="shared" si="15"/>
        <v>1676759.8199999994</v>
      </c>
      <c r="S23" s="44">
        <f t="shared" si="16"/>
        <v>0</v>
      </c>
      <c r="T23" s="44">
        <f t="shared" si="17"/>
        <v>0</v>
      </c>
    </row>
    <row r="24" spans="1:21" s="34" customFormat="1" ht="54">
      <c r="A24" s="28"/>
      <c r="B24" s="28"/>
      <c r="C24" s="28"/>
      <c r="D24" s="12" t="s">
        <v>216</v>
      </c>
      <c r="E24" s="43">
        <f t="shared" si="18"/>
        <v>2386528.7400000002</v>
      </c>
      <c r="F24" s="43">
        <v>2386528.7400000002</v>
      </c>
      <c r="G24" s="43"/>
      <c r="H24" s="43"/>
      <c r="I24" s="43">
        <f t="shared" si="21"/>
        <v>5529273.8499999996</v>
      </c>
      <c r="J24" s="43">
        <v>5529273.8499999996</v>
      </c>
      <c r="K24" s="43"/>
      <c r="L24" s="43"/>
      <c r="M24" s="13">
        <f t="shared" si="11"/>
        <v>2.3168687463617132</v>
      </c>
      <c r="N24" s="13">
        <f t="shared" si="12"/>
        <v>2.3168687463617132</v>
      </c>
      <c r="O24" s="13" t="str">
        <f t="shared" si="20"/>
        <v/>
      </c>
      <c r="P24" s="13" t="str">
        <f t="shared" si="13"/>
        <v/>
      </c>
      <c r="Q24" s="46">
        <f t="shared" si="14"/>
        <v>3142745.1099999994</v>
      </c>
      <c r="R24" s="46">
        <f t="shared" si="15"/>
        <v>3142745.1099999994</v>
      </c>
      <c r="S24" s="46">
        <f t="shared" si="16"/>
        <v>0</v>
      </c>
      <c r="T24" s="46">
        <f t="shared" si="17"/>
        <v>0</v>
      </c>
    </row>
    <row r="25" spans="1:21" s="34" customFormat="1" ht="54">
      <c r="A25" s="28"/>
      <c r="B25" s="28"/>
      <c r="C25" s="28"/>
      <c r="D25" s="12" t="s">
        <v>217</v>
      </c>
      <c r="E25" s="43">
        <f t="shared" si="18"/>
        <v>907011.59</v>
      </c>
      <c r="F25" s="43">
        <v>907011.59</v>
      </c>
      <c r="G25" s="43"/>
      <c r="H25" s="43"/>
      <c r="I25" s="43">
        <f t="shared" si="21"/>
        <v>329627.53999999998</v>
      </c>
      <c r="J25" s="43">
        <v>329627.53999999998</v>
      </c>
      <c r="K25" s="43"/>
      <c r="L25" s="43"/>
      <c r="M25" s="13">
        <f t="shared" si="11"/>
        <v>0.36342153025850527</v>
      </c>
      <c r="N25" s="13">
        <f t="shared" si="12"/>
        <v>0.36342153025850527</v>
      </c>
      <c r="O25" s="13" t="str">
        <f t="shared" si="20"/>
        <v/>
      </c>
      <c r="P25" s="13" t="str">
        <f t="shared" si="13"/>
        <v/>
      </c>
      <c r="Q25" s="46">
        <f t="shared" si="14"/>
        <v>-577384.05000000005</v>
      </c>
      <c r="R25" s="46">
        <f t="shared" si="15"/>
        <v>-577384.05000000005</v>
      </c>
      <c r="S25" s="46">
        <f t="shared" si="16"/>
        <v>0</v>
      </c>
      <c r="T25" s="46">
        <f t="shared" si="17"/>
        <v>0</v>
      </c>
    </row>
    <row r="26" spans="1:21" s="34" customFormat="1" ht="54">
      <c r="A26" s="28"/>
      <c r="B26" s="28"/>
      <c r="C26" s="28"/>
      <c r="D26" s="12" t="s">
        <v>218</v>
      </c>
      <c r="E26" s="43">
        <f t="shared" si="18"/>
        <v>1392251</v>
      </c>
      <c r="F26" s="43">
        <v>1392251</v>
      </c>
      <c r="G26" s="43"/>
      <c r="H26" s="43"/>
      <c r="I26" s="43">
        <f t="shared" si="21"/>
        <v>503649.76</v>
      </c>
      <c r="J26" s="43">
        <v>503649.76</v>
      </c>
      <c r="K26" s="43"/>
      <c r="L26" s="43"/>
      <c r="M26" s="13">
        <f t="shared" si="11"/>
        <v>0.36175212659211592</v>
      </c>
      <c r="N26" s="13">
        <f t="shared" si="12"/>
        <v>0.36175212659211592</v>
      </c>
      <c r="O26" s="13" t="str">
        <f t="shared" si="20"/>
        <v/>
      </c>
      <c r="P26" s="13" t="str">
        <f t="shared" si="13"/>
        <v/>
      </c>
      <c r="Q26" s="46">
        <f t="shared" si="14"/>
        <v>-888601.24</v>
      </c>
      <c r="R26" s="46">
        <f t="shared" si="15"/>
        <v>-888601.24</v>
      </c>
      <c r="S26" s="46">
        <f t="shared" si="16"/>
        <v>0</v>
      </c>
      <c r="T26" s="46">
        <f t="shared" si="17"/>
        <v>0</v>
      </c>
    </row>
    <row r="27" spans="1:21" s="34" customFormat="1" ht="31.8" customHeight="1">
      <c r="A27" s="93" t="s">
        <v>351</v>
      </c>
      <c r="B27" s="94">
        <v>7130</v>
      </c>
      <c r="C27" s="93" t="s">
        <v>352</v>
      </c>
      <c r="D27" s="95" t="s">
        <v>353</v>
      </c>
      <c r="E27" s="43">
        <f t="shared" si="18"/>
        <v>0</v>
      </c>
      <c r="F27" s="43"/>
      <c r="G27" s="43"/>
      <c r="H27" s="43"/>
      <c r="I27" s="43">
        <f t="shared" si="21"/>
        <v>3000</v>
      </c>
      <c r="J27" s="43">
        <v>3000</v>
      </c>
      <c r="K27" s="43"/>
      <c r="L27" s="43"/>
      <c r="M27" s="80" t="str">
        <f t="shared" si="11"/>
        <v/>
      </c>
      <c r="N27" s="80" t="str">
        <f t="shared" si="12"/>
        <v/>
      </c>
      <c r="O27" s="80" t="str">
        <f t="shared" si="20"/>
        <v/>
      </c>
      <c r="P27" s="80" t="str">
        <f t="shared" si="13"/>
        <v/>
      </c>
      <c r="Q27" s="44">
        <f t="shared" si="14"/>
        <v>3000</v>
      </c>
      <c r="R27" s="44">
        <f t="shared" si="15"/>
        <v>3000</v>
      </c>
      <c r="S27" s="44">
        <f t="shared" si="16"/>
        <v>0</v>
      </c>
      <c r="T27" s="44">
        <f t="shared" si="17"/>
        <v>0</v>
      </c>
    </row>
    <row r="28" spans="1:21" s="34" customFormat="1" ht="36">
      <c r="A28" s="60" t="s">
        <v>324</v>
      </c>
      <c r="B28" s="61">
        <v>7350</v>
      </c>
      <c r="C28" s="60" t="s">
        <v>269</v>
      </c>
      <c r="D28" s="51" t="s">
        <v>270</v>
      </c>
      <c r="E28" s="43">
        <f t="shared" si="18"/>
        <v>0</v>
      </c>
      <c r="F28" s="43"/>
      <c r="G28" s="43"/>
      <c r="H28" s="43"/>
      <c r="I28" s="43">
        <f t="shared" si="21"/>
        <v>259999</v>
      </c>
      <c r="J28" s="43"/>
      <c r="K28" s="43">
        <v>259999</v>
      </c>
      <c r="L28" s="43">
        <v>259999</v>
      </c>
      <c r="M28" s="80" t="str">
        <f t="shared" si="11"/>
        <v/>
      </c>
      <c r="N28" s="80" t="str">
        <f t="shared" si="12"/>
        <v/>
      </c>
      <c r="O28" s="80" t="str">
        <f t="shared" si="20"/>
        <v/>
      </c>
      <c r="P28" s="80" t="str">
        <f t="shared" si="13"/>
        <v/>
      </c>
      <c r="Q28" s="44">
        <f t="shared" si="14"/>
        <v>259999</v>
      </c>
      <c r="R28" s="44">
        <f t="shared" si="15"/>
        <v>0</v>
      </c>
      <c r="S28" s="44">
        <f t="shared" si="16"/>
        <v>259999</v>
      </c>
      <c r="T28" s="44">
        <f t="shared" si="17"/>
        <v>259999</v>
      </c>
    </row>
    <row r="29" spans="1:21" s="34" customFormat="1" ht="36">
      <c r="A29" s="24" t="s">
        <v>335</v>
      </c>
      <c r="B29" s="24" t="s">
        <v>233</v>
      </c>
      <c r="C29" s="24" t="s">
        <v>20</v>
      </c>
      <c r="D29" s="79" t="s">
        <v>234</v>
      </c>
      <c r="E29" s="43">
        <f t="shared" si="18"/>
        <v>15940</v>
      </c>
      <c r="F29" s="43">
        <v>15940</v>
      </c>
      <c r="G29" s="43"/>
      <c r="H29" s="43"/>
      <c r="I29" s="43">
        <f t="shared" si="21"/>
        <v>0</v>
      </c>
      <c r="J29" s="43"/>
      <c r="K29" s="43"/>
      <c r="L29" s="43"/>
      <c r="M29" s="80">
        <f t="shared" si="11"/>
        <v>0</v>
      </c>
      <c r="N29" s="80">
        <f t="shared" si="12"/>
        <v>0</v>
      </c>
      <c r="O29" s="80" t="str">
        <f t="shared" si="20"/>
        <v/>
      </c>
      <c r="P29" s="80" t="str">
        <f t="shared" si="13"/>
        <v/>
      </c>
      <c r="Q29" s="44">
        <f t="shared" si="14"/>
        <v>-15940</v>
      </c>
      <c r="R29" s="44">
        <f t="shared" si="15"/>
        <v>-15940</v>
      </c>
      <c r="S29" s="44">
        <f t="shared" si="16"/>
        <v>0</v>
      </c>
      <c r="T29" s="44">
        <f t="shared" si="17"/>
        <v>0</v>
      </c>
    </row>
    <row r="30" spans="1:21" s="34" customFormat="1" ht="36">
      <c r="A30" s="23" t="s">
        <v>265</v>
      </c>
      <c r="B30" s="23" t="s">
        <v>266</v>
      </c>
      <c r="C30" s="23" t="s">
        <v>20</v>
      </c>
      <c r="D30" s="79" t="s">
        <v>267</v>
      </c>
      <c r="E30" s="42">
        <f t="shared" si="18"/>
        <v>70700</v>
      </c>
      <c r="F30" s="42">
        <v>70700</v>
      </c>
      <c r="G30" s="42"/>
      <c r="H30" s="42"/>
      <c r="I30" s="42">
        <f t="shared" si="21"/>
        <v>105295</v>
      </c>
      <c r="J30" s="42">
        <v>105295</v>
      </c>
      <c r="K30" s="42"/>
      <c r="L30" s="42"/>
      <c r="M30" s="80">
        <f t="shared" si="11"/>
        <v>1.4893210749646393</v>
      </c>
      <c r="N30" s="80">
        <f t="shared" si="12"/>
        <v>1.4893210749646393</v>
      </c>
      <c r="O30" s="80" t="str">
        <f t="shared" si="20"/>
        <v/>
      </c>
      <c r="P30" s="80" t="str">
        <f t="shared" si="13"/>
        <v/>
      </c>
      <c r="Q30" s="44">
        <f t="shared" si="14"/>
        <v>34595</v>
      </c>
      <c r="R30" s="44">
        <f t="shared" si="15"/>
        <v>34595</v>
      </c>
      <c r="S30" s="44">
        <f t="shared" si="16"/>
        <v>0</v>
      </c>
      <c r="T30" s="44">
        <f t="shared" si="17"/>
        <v>0</v>
      </c>
    </row>
    <row r="31" spans="1:21" s="49" customFormat="1" ht="54">
      <c r="A31" s="24" t="s">
        <v>101</v>
      </c>
      <c r="B31" s="23">
        <v>8110</v>
      </c>
      <c r="C31" s="24" t="s">
        <v>5</v>
      </c>
      <c r="D31" s="79" t="s">
        <v>136</v>
      </c>
      <c r="E31" s="42">
        <f t="shared" si="18"/>
        <v>221500</v>
      </c>
      <c r="F31" s="42">
        <v>221500</v>
      </c>
      <c r="G31" s="42"/>
      <c r="H31" s="42"/>
      <c r="I31" s="42">
        <f t="shared" si="21"/>
        <v>37442.1</v>
      </c>
      <c r="J31" s="42">
        <v>37442.1</v>
      </c>
      <c r="K31" s="42"/>
      <c r="L31" s="42"/>
      <c r="M31" s="80">
        <f t="shared" si="11"/>
        <v>0.16903882618510158</v>
      </c>
      <c r="N31" s="80">
        <f t="shared" si="12"/>
        <v>0.16903882618510158</v>
      </c>
      <c r="O31" s="80" t="str">
        <f t="shared" si="20"/>
        <v/>
      </c>
      <c r="P31" s="80" t="str">
        <f t="shared" si="13"/>
        <v/>
      </c>
      <c r="Q31" s="44">
        <f t="shared" si="14"/>
        <v>-184057.9</v>
      </c>
      <c r="R31" s="44">
        <f t="shared" si="15"/>
        <v>-184057.9</v>
      </c>
      <c r="S31" s="44">
        <f t="shared" si="16"/>
        <v>0</v>
      </c>
      <c r="T31" s="44">
        <f t="shared" si="17"/>
        <v>0</v>
      </c>
    </row>
    <row r="32" spans="1:21" s="49" customFormat="1" ht="36">
      <c r="A32" s="25" t="s">
        <v>185</v>
      </c>
      <c r="B32" s="25" t="s">
        <v>186</v>
      </c>
      <c r="C32" s="25" t="s">
        <v>5</v>
      </c>
      <c r="D32" s="47" t="s">
        <v>187</v>
      </c>
      <c r="E32" s="42">
        <f t="shared" ref="E32:E37" si="23">F32+G32</f>
        <v>14820400.42</v>
      </c>
      <c r="F32" s="42">
        <v>13950280.42</v>
      </c>
      <c r="G32" s="42">
        <v>870120</v>
      </c>
      <c r="H32" s="42">
        <f>870120</f>
        <v>870120</v>
      </c>
      <c r="I32" s="42">
        <f t="shared" ref="I32:I37" si="24">J32+K32</f>
        <v>14021397.130000001</v>
      </c>
      <c r="J32" s="42">
        <v>13985447.130000001</v>
      </c>
      <c r="K32" s="42">
        <v>35950</v>
      </c>
      <c r="L32" s="42">
        <v>35950</v>
      </c>
      <c r="M32" s="80">
        <f t="shared" si="11"/>
        <v>0.94608760442654771</v>
      </c>
      <c r="N32" s="80">
        <f t="shared" si="12"/>
        <v>1.0025208604372988</v>
      </c>
      <c r="O32" s="80">
        <f t="shared" si="20"/>
        <v>4.1316140302487016E-2</v>
      </c>
      <c r="P32" s="80">
        <f t="shared" si="13"/>
        <v>4.1316140302487016E-2</v>
      </c>
      <c r="Q32" s="44">
        <f t="shared" si="14"/>
        <v>-799003.28999999911</v>
      </c>
      <c r="R32" s="44">
        <f t="shared" si="15"/>
        <v>35166.710000000894</v>
      </c>
      <c r="S32" s="44">
        <f t="shared" si="16"/>
        <v>-834170</v>
      </c>
      <c r="T32" s="44">
        <f t="shared" si="17"/>
        <v>-834170</v>
      </c>
    </row>
    <row r="33" spans="1:20" s="49" customFormat="1" ht="36">
      <c r="A33" s="24" t="s">
        <v>275</v>
      </c>
      <c r="B33" s="23">
        <v>8220</v>
      </c>
      <c r="C33" s="23" t="s">
        <v>221</v>
      </c>
      <c r="D33" s="79" t="s">
        <v>276</v>
      </c>
      <c r="E33" s="42">
        <f t="shared" si="23"/>
        <v>317910.03999999998</v>
      </c>
      <c r="F33" s="42">
        <v>317910.03999999998</v>
      </c>
      <c r="G33" s="42"/>
      <c r="H33" s="42"/>
      <c r="I33" s="42">
        <f t="shared" si="24"/>
        <v>124020</v>
      </c>
      <c r="J33" s="42">
        <v>124020</v>
      </c>
      <c r="K33" s="42"/>
      <c r="L33" s="42"/>
      <c r="M33" s="80">
        <f t="shared" si="11"/>
        <v>0.39011035952183204</v>
      </c>
      <c r="N33" s="80">
        <f t="shared" si="12"/>
        <v>0.39011035952183204</v>
      </c>
      <c r="O33" s="80" t="str">
        <f t="shared" si="20"/>
        <v/>
      </c>
      <c r="P33" s="80" t="str">
        <f t="shared" si="13"/>
        <v/>
      </c>
      <c r="Q33" s="44">
        <f t="shared" si="14"/>
        <v>-193890.03999999998</v>
      </c>
      <c r="R33" s="44">
        <f t="shared" si="15"/>
        <v>-193890.03999999998</v>
      </c>
      <c r="S33" s="44">
        <f t="shared" si="16"/>
        <v>0</v>
      </c>
      <c r="T33" s="44">
        <f t="shared" si="17"/>
        <v>0</v>
      </c>
    </row>
    <row r="34" spans="1:20" s="49" customFormat="1" ht="26.4" customHeight="1">
      <c r="A34" s="25" t="s">
        <v>230</v>
      </c>
      <c r="B34" s="25" t="s">
        <v>231</v>
      </c>
      <c r="C34" s="25" t="s">
        <v>221</v>
      </c>
      <c r="D34" s="26" t="s">
        <v>232</v>
      </c>
      <c r="E34" s="42">
        <f t="shared" si="23"/>
        <v>4244328</v>
      </c>
      <c r="F34" s="42">
        <v>4244328</v>
      </c>
      <c r="G34" s="42"/>
      <c r="H34" s="42"/>
      <c r="I34" s="42">
        <f t="shared" si="24"/>
        <v>1430036.4</v>
      </c>
      <c r="J34" s="42">
        <v>1430036.4</v>
      </c>
      <c r="K34" s="42"/>
      <c r="L34" s="42"/>
      <c r="M34" s="80">
        <f t="shared" si="11"/>
        <v>0.33692881417270293</v>
      </c>
      <c r="N34" s="80">
        <f t="shared" si="12"/>
        <v>0.33692881417270293</v>
      </c>
      <c r="O34" s="80" t="str">
        <f t="shared" si="20"/>
        <v/>
      </c>
      <c r="P34" s="80" t="str">
        <f t="shared" si="13"/>
        <v/>
      </c>
      <c r="Q34" s="44">
        <f t="shared" si="14"/>
        <v>-2814291.6</v>
      </c>
      <c r="R34" s="44">
        <f t="shared" si="15"/>
        <v>-2814291.6</v>
      </c>
      <c r="S34" s="44">
        <f t="shared" si="16"/>
        <v>0</v>
      </c>
      <c r="T34" s="44">
        <f t="shared" si="17"/>
        <v>0</v>
      </c>
    </row>
    <row r="35" spans="1:20" s="49" customFormat="1" ht="25.95" customHeight="1">
      <c r="A35" s="60" t="s">
        <v>326</v>
      </c>
      <c r="B35" s="61">
        <v>8240</v>
      </c>
      <c r="C35" s="60" t="s">
        <v>221</v>
      </c>
      <c r="D35" s="51" t="s">
        <v>245</v>
      </c>
      <c r="E35" s="42">
        <f t="shared" si="23"/>
        <v>0</v>
      </c>
      <c r="F35" s="42"/>
      <c r="G35" s="42"/>
      <c r="H35" s="42"/>
      <c r="I35" s="42">
        <f t="shared" si="24"/>
        <v>1276500</v>
      </c>
      <c r="J35" s="42"/>
      <c r="K35" s="42">
        <v>1276500</v>
      </c>
      <c r="L35" s="42">
        <v>1276500</v>
      </c>
      <c r="M35" s="80" t="str">
        <f t="shared" si="11"/>
        <v/>
      </c>
      <c r="N35" s="80" t="str">
        <f t="shared" si="12"/>
        <v/>
      </c>
      <c r="O35" s="80" t="str">
        <f t="shared" si="20"/>
        <v/>
      </c>
      <c r="P35" s="80" t="str">
        <f t="shared" si="13"/>
        <v/>
      </c>
      <c r="Q35" s="44">
        <f t="shared" si="14"/>
        <v>1276500</v>
      </c>
      <c r="R35" s="44">
        <f t="shared" si="15"/>
        <v>0</v>
      </c>
      <c r="S35" s="44">
        <f t="shared" si="16"/>
        <v>1276500</v>
      </c>
      <c r="T35" s="44">
        <f t="shared" si="17"/>
        <v>1276500</v>
      </c>
    </row>
    <row r="36" spans="1:20" s="49" customFormat="1" ht="36">
      <c r="A36" s="60" t="s">
        <v>325</v>
      </c>
      <c r="B36" s="61">
        <v>8340</v>
      </c>
      <c r="C36" s="61" t="s">
        <v>291</v>
      </c>
      <c r="D36" s="51" t="s">
        <v>292</v>
      </c>
      <c r="E36" s="42">
        <f t="shared" si="23"/>
        <v>0</v>
      </c>
      <c r="F36" s="42"/>
      <c r="G36" s="42"/>
      <c r="H36" s="42"/>
      <c r="I36" s="42">
        <f t="shared" si="24"/>
        <v>20000</v>
      </c>
      <c r="J36" s="42"/>
      <c r="K36" s="42">
        <v>20000</v>
      </c>
      <c r="L36" s="42"/>
      <c r="M36" s="80" t="str">
        <f t="shared" si="11"/>
        <v/>
      </c>
      <c r="N36" s="80" t="str">
        <f t="shared" si="12"/>
        <v/>
      </c>
      <c r="O36" s="80" t="str">
        <f t="shared" si="20"/>
        <v/>
      </c>
      <c r="P36" s="80" t="str">
        <f t="shared" si="13"/>
        <v/>
      </c>
      <c r="Q36" s="44">
        <f t="shared" si="14"/>
        <v>20000</v>
      </c>
      <c r="R36" s="44">
        <f t="shared" si="15"/>
        <v>0</v>
      </c>
      <c r="S36" s="44">
        <f t="shared" si="16"/>
        <v>20000</v>
      </c>
      <c r="T36" s="44">
        <f t="shared" si="17"/>
        <v>0</v>
      </c>
    </row>
    <row r="37" spans="1:20" s="49" customFormat="1" ht="36">
      <c r="A37" s="62" t="s">
        <v>312</v>
      </c>
      <c r="B37" s="63">
        <v>8775</v>
      </c>
      <c r="C37" s="62" t="s">
        <v>6</v>
      </c>
      <c r="D37" s="52" t="s">
        <v>313</v>
      </c>
      <c r="E37" s="42">
        <f t="shared" si="23"/>
        <v>0</v>
      </c>
      <c r="F37" s="42"/>
      <c r="G37" s="42"/>
      <c r="H37" s="42"/>
      <c r="I37" s="42">
        <f t="shared" si="24"/>
        <v>515422.48</v>
      </c>
      <c r="J37" s="42">
        <f>515422.48</f>
        <v>515422.48</v>
      </c>
      <c r="K37" s="42"/>
      <c r="L37" s="42"/>
      <c r="M37" s="80" t="str">
        <f t="shared" si="11"/>
        <v/>
      </c>
      <c r="N37" s="80" t="str">
        <f t="shared" si="12"/>
        <v/>
      </c>
      <c r="O37" s="80" t="str">
        <f t="shared" si="20"/>
        <v/>
      </c>
      <c r="P37" s="80" t="str">
        <f t="shared" si="13"/>
        <v/>
      </c>
      <c r="Q37" s="44">
        <f t="shared" si="14"/>
        <v>515422.48</v>
      </c>
      <c r="R37" s="44">
        <f t="shared" si="15"/>
        <v>515422.48</v>
      </c>
      <c r="S37" s="44">
        <f t="shared" si="16"/>
        <v>0</v>
      </c>
      <c r="T37" s="44">
        <f t="shared" si="17"/>
        <v>0</v>
      </c>
    </row>
    <row r="38" spans="1:20" s="32" customFormat="1" ht="34.799999999999997">
      <c r="A38" s="27" t="s">
        <v>56</v>
      </c>
      <c r="B38" s="27"/>
      <c r="C38" s="27"/>
      <c r="D38" s="10" t="s">
        <v>259</v>
      </c>
      <c r="E38" s="41">
        <f t="shared" ref="E38:L38" si="25">E39</f>
        <v>257995256.88999999</v>
      </c>
      <c r="F38" s="41">
        <f t="shared" si="25"/>
        <v>251289657.10999998</v>
      </c>
      <c r="G38" s="41">
        <f t="shared" si="25"/>
        <v>6705599.7800000003</v>
      </c>
      <c r="H38" s="41">
        <f t="shared" si="25"/>
        <v>758161.42</v>
      </c>
      <c r="I38" s="41">
        <f t="shared" si="25"/>
        <v>298686630.53000003</v>
      </c>
      <c r="J38" s="41">
        <f t="shared" si="25"/>
        <v>282677729.66000003</v>
      </c>
      <c r="K38" s="41">
        <f t="shared" si="25"/>
        <v>16008900.870000001</v>
      </c>
      <c r="L38" s="41">
        <f t="shared" si="25"/>
        <v>2777105.09</v>
      </c>
      <c r="M38" s="11">
        <f t="shared" si="11"/>
        <v>1.157721402054106</v>
      </c>
      <c r="N38" s="11">
        <f t="shared" si="12"/>
        <v>1.1249079365660488</v>
      </c>
      <c r="O38" s="11">
        <f t="shared" si="20"/>
        <v>2.387392835126823</v>
      </c>
      <c r="P38" s="11" t="s">
        <v>364</v>
      </c>
      <c r="Q38" s="45">
        <f t="shared" si="14"/>
        <v>40691373.640000045</v>
      </c>
      <c r="R38" s="45">
        <f t="shared" si="15"/>
        <v>31388072.550000042</v>
      </c>
      <c r="S38" s="45">
        <f t="shared" si="16"/>
        <v>9303301.0899999999</v>
      </c>
      <c r="T38" s="45">
        <f t="shared" si="17"/>
        <v>2018943.67</v>
      </c>
    </row>
    <row r="39" spans="1:20" s="32" customFormat="1" ht="34.799999999999997">
      <c r="A39" s="27" t="s">
        <v>57</v>
      </c>
      <c r="B39" s="27"/>
      <c r="C39" s="27"/>
      <c r="D39" s="10" t="s">
        <v>260</v>
      </c>
      <c r="E39" s="41">
        <f t="shared" ref="E39:E44" si="26">F39+G39</f>
        <v>257995256.88999999</v>
      </c>
      <c r="F39" s="41">
        <f>F40+F41+F42+F43+F44+F45+F46+F47+F49+F50+F51+F54+F57+F58+F53+F48+F56+F59+F52+F55</f>
        <v>251289657.10999998</v>
      </c>
      <c r="G39" s="41">
        <f t="shared" ref="G39:H39" si="27">G40+G41+G42+G43+G44+G45+G46+G47+G49+G50+G51+G54+G57+G58+G53+G48+G56+G59+G52+G55</f>
        <v>6705599.7800000003</v>
      </c>
      <c r="H39" s="41">
        <f t="shared" si="27"/>
        <v>758161.42</v>
      </c>
      <c r="I39" s="41">
        <f t="shared" si="21"/>
        <v>298686630.53000003</v>
      </c>
      <c r="J39" s="41">
        <f>J40+J41+J42+J43+J44+J45+J46+J47+J49+J50+J51+J54+J57+J58+J53+J48+J56+J59+J52+J55</f>
        <v>282677729.66000003</v>
      </c>
      <c r="K39" s="41">
        <f t="shared" ref="K39:L39" si="28">K40+K41+K42+K43+K44+K45+K46+K47+K49+K50+K51+K54+K57+K58+K53+K48+K56+K59+K52+K55</f>
        <v>16008900.870000001</v>
      </c>
      <c r="L39" s="41">
        <f t="shared" si="28"/>
        <v>2777105.09</v>
      </c>
      <c r="M39" s="11">
        <f t="shared" si="11"/>
        <v>1.157721402054106</v>
      </c>
      <c r="N39" s="11">
        <f t="shared" si="12"/>
        <v>1.1249079365660488</v>
      </c>
      <c r="O39" s="11">
        <f t="shared" si="20"/>
        <v>2.387392835126823</v>
      </c>
      <c r="P39" s="11" t="s">
        <v>364</v>
      </c>
      <c r="Q39" s="45">
        <f t="shared" si="14"/>
        <v>40691373.640000045</v>
      </c>
      <c r="R39" s="45">
        <f t="shared" si="15"/>
        <v>31388072.550000042</v>
      </c>
      <c r="S39" s="45">
        <f t="shared" si="16"/>
        <v>9303301.0899999999</v>
      </c>
      <c r="T39" s="45">
        <f t="shared" si="17"/>
        <v>2018943.67</v>
      </c>
    </row>
    <row r="40" spans="1:20" s="49" customFormat="1" ht="54">
      <c r="A40" s="25" t="s">
        <v>59</v>
      </c>
      <c r="B40" s="25" t="s">
        <v>58</v>
      </c>
      <c r="C40" s="25" t="s">
        <v>3</v>
      </c>
      <c r="D40" s="21" t="s">
        <v>235</v>
      </c>
      <c r="E40" s="42">
        <f t="shared" si="26"/>
        <v>2467318.65</v>
      </c>
      <c r="F40" s="42">
        <v>2467318.65</v>
      </c>
      <c r="G40" s="42"/>
      <c r="H40" s="42"/>
      <c r="I40" s="42">
        <f>J40+K40</f>
        <v>3218727.47</v>
      </c>
      <c r="J40" s="42">
        <v>3218727.47</v>
      </c>
      <c r="K40" s="42"/>
      <c r="L40" s="42"/>
      <c r="M40" s="80">
        <f t="shared" si="11"/>
        <v>1.3045447007827708</v>
      </c>
      <c r="N40" s="80">
        <f t="shared" si="12"/>
        <v>1.3045447007827708</v>
      </c>
      <c r="O40" s="80" t="str">
        <f t="shared" si="20"/>
        <v/>
      </c>
      <c r="P40" s="80" t="str">
        <f t="shared" si="13"/>
        <v/>
      </c>
      <c r="Q40" s="44">
        <f t="shared" si="14"/>
        <v>751408.8200000003</v>
      </c>
      <c r="R40" s="44">
        <f t="shared" si="15"/>
        <v>751408.8200000003</v>
      </c>
      <c r="S40" s="44">
        <f t="shared" si="16"/>
        <v>0</v>
      </c>
      <c r="T40" s="44">
        <f t="shared" si="17"/>
        <v>0</v>
      </c>
    </row>
    <row r="41" spans="1:20" s="49" customFormat="1" ht="36">
      <c r="A41" s="25" t="s">
        <v>227</v>
      </c>
      <c r="B41" s="25" t="s">
        <v>8</v>
      </c>
      <c r="C41" s="25" t="s">
        <v>6</v>
      </c>
      <c r="D41" s="21" t="s">
        <v>121</v>
      </c>
      <c r="E41" s="42">
        <f t="shared" si="26"/>
        <v>134476.5</v>
      </c>
      <c r="F41" s="42">
        <v>134476.5</v>
      </c>
      <c r="G41" s="42"/>
      <c r="H41" s="42"/>
      <c r="I41" s="42">
        <f t="shared" si="21"/>
        <v>49900</v>
      </c>
      <c r="J41" s="42">
        <v>49900</v>
      </c>
      <c r="K41" s="42"/>
      <c r="L41" s="42"/>
      <c r="M41" s="80">
        <f t="shared" si="11"/>
        <v>0.37106855101077141</v>
      </c>
      <c r="N41" s="80">
        <f t="shared" si="12"/>
        <v>0.37106855101077141</v>
      </c>
      <c r="O41" s="80" t="str">
        <f t="shared" si="20"/>
        <v/>
      </c>
      <c r="P41" s="80" t="str">
        <f t="shared" si="13"/>
        <v/>
      </c>
      <c r="Q41" s="44">
        <f t="shared" si="14"/>
        <v>-84576.5</v>
      </c>
      <c r="R41" s="44">
        <f t="shared" si="15"/>
        <v>-84576.5</v>
      </c>
      <c r="S41" s="44">
        <f t="shared" si="16"/>
        <v>0</v>
      </c>
      <c r="T41" s="44">
        <f t="shared" si="17"/>
        <v>0</v>
      </c>
    </row>
    <row r="42" spans="1:20" s="49" customFormat="1" ht="33" customHeight="1">
      <c r="A42" s="25" t="s">
        <v>60</v>
      </c>
      <c r="B42" s="25" t="s">
        <v>9</v>
      </c>
      <c r="C42" s="25" t="s">
        <v>10</v>
      </c>
      <c r="D42" s="47" t="s">
        <v>61</v>
      </c>
      <c r="E42" s="42">
        <f t="shared" si="26"/>
        <v>57977405.75</v>
      </c>
      <c r="F42" s="42">
        <v>57439054.280000001</v>
      </c>
      <c r="G42" s="44">
        <v>538351.47</v>
      </c>
      <c r="H42" s="44"/>
      <c r="I42" s="42">
        <f t="shared" si="21"/>
        <v>60539928.420000002</v>
      </c>
      <c r="J42" s="42">
        <v>58977196.590000004</v>
      </c>
      <c r="K42" s="42">
        <f>123548.22+1151901+287282.61</f>
        <v>1562731.83</v>
      </c>
      <c r="L42" s="42">
        <v>287282.61</v>
      </c>
      <c r="M42" s="80">
        <f t="shared" si="11"/>
        <v>1.0441986431929995</v>
      </c>
      <c r="N42" s="80">
        <f t="shared" si="12"/>
        <v>1.0267786844557358</v>
      </c>
      <c r="O42" s="80">
        <f t="shared" si="20"/>
        <v>2.9028096273239492</v>
      </c>
      <c r="P42" s="80" t="str">
        <f t="shared" si="13"/>
        <v/>
      </c>
      <c r="Q42" s="44">
        <f t="shared" si="14"/>
        <v>2562522.6700000018</v>
      </c>
      <c r="R42" s="44">
        <f t="shared" si="15"/>
        <v>1538142.3100000024</v>
      </c>
      <c r="S42" s="44">
        <f t="shared" si="16"/>
        <v>1024380.3600000001</v>
      </c>
      <c r="T42" s="44">
        <f t="shared" si="17"/>
        <v>287282.61</v>
      </c>
    </row>
    <row r="43" spans="1:20" s="49" customFormat="1" ht="54">
      <c r="A43" s="25" t="s">
        <v>189</v>
      </c>
      <c r="B43" s="25" t="s">
        <v>191</v>
      </c>
      <c r="C43" s="25" t="s">
        <v>12</v>
      </c>
      <c r="D43" s="21" t="s">
        <v>255</v>
      </c>
      <c r="E43" s="42">
        <f t="shared" si="26"/>
        <v>49168202.219999999</v>
      </c>
      <c r="F43" s="42">
        <v>45339664.909999996</v>
      </c>
      <c r="G43" s="44">
        <v>3828537.31</v>
      </c>
      <c r="H43" s="44">
        <v>758161.42</v>
      </c>
      <c r="I43" s="42">
        <f t="shared" si="21"/>
        <v>57953794.75</v>
      </c>
      <c r="J43" s="42">
        <v>52079215.850000001</v>
      </c>
      <c r="K43" s="44">
        <f>4017999.8+56579.1+1800000</f>
        <v>5874578.9000000004</v>
      </c>
      <c r="L43" s="44">
        <v>1800000</v>
      </c>
      <c r="M43" s="80">
        <f t="shared" si="11"/>
        <v>1.1786844369596721</v>
      </c>
      <c r="N43" s="80">
        <f t="shared" si="12"/>
        <v>1.1486458039197716</v>
      </c>
      <c r="O43" s="80">
        <f t="shared" si="20"/>
        <v>1.5344186106416708</v>
      </c>
      <c r="P43" s="80">
        <f t="shared" si="13"/>
        <v>2.3741645941308911</v>
      </c>
      <c r="Q43" s="44">
        <f t="shared" si="14"/>
        <v>8785592.5300000012</v>
      </c>
      <c r="R43" s="44">
        <f t="shared" si="15"/>
        <v>6739550.9400000051</v>
      </c>
      <c r="S43" s="44">
        <f t="shared" si="16"/>
        <v>2046041.5900000003</v>
      </c>
      <c r="T43" s="44">
        <f t="shared" si="17"/>
        <v>1041838.58</v>
      </c>
    </row>
    <row r="44" spans="1:20" s="49" customFormat="1" ht="90">
      <c r="A44" s="25" t="s">
        <v>190</v>
      </c>
      <c r="B44" s="25" t="s">
        <v>192</v>
      </c>
      <c r="C44" s="25" t="s">
        <v>14</v>
      </c>
      <c r="D44" s="21" t="s">
        <v>256</v>
      </c>
      <c r="E44" s="42">
        <f t="shared" si="26"/>
        <v>3668475.08</v>
      </c>
      <c r="F44" s="42">
        <v>3441987.08</v>
      </c>
      <c r="G44" s="44">
        <v>226488</v>
      </c>
      <c r="H44" s="44"/>
      <c r="I44" s="42">
        <f t="shared" si="21"/>
        <v>7390156.5</v>
      </c>
      <c r="J44" s="42">
        <v>7083859.5300000003</v>
      </c>
      <c r="K44" s="44">
        <f>302396.97+3900</f>
        <v>306296.96999999997</v>
      </c>
      <c r="L44" s="44"/>
      <c r="M44" s="80">
        <f t="shared" si="11"/>
        <v>2.0145036667388236</v>
      </c>
      <c r="N44" s="80">
        <f t="shared" si="12"/>
        <v>2.0580726671408658</v>
      </c>
      <c r="O44" s="80">
        <f t="shared" si="20"/>
        <v>1.3523761523789339</v>
      </c>
      <c r="P44" s="80" t="str">
        <f t="shared" si="13"/>
        <v/>
      </c>
      <c r="Q44" s="44">
        <f t="shared" si="14"/>
        <v>3721681.42</v>
      </c>
      <c r="R44" s="44">
        <f t="shared" si="15"/>
        <v>3641872.45</v>
      </c>
      <c r="S44" s="44">
        <f t="shared" si="16"/>
        <v>79808.969999999972</v>
      </c>
      <c r="T44" s="44">
        <f t="shared" si="17"/>
        <v>0</v>
      </c>
    </row>
    <row r="45" spans="1:20" s="49" customFormat="1" ht="54">
      <c r="A45" s="25" t="s">
        <v>196</v>
      </c>
      <c r="B45" s="25" t="s">
        <v>197</v>
      </c>
      <c r="C45" s="25" t="s">
        <v>12</v>
      </c>
      <c r="D45" s="21" t="s">
        <v>257</v>
      </c>
      <c r="E45" s="42">
        <f t="shared" ref="E45:E46" si="29">F45+G45</f>
        <v>87647511.239999995</v>
      </c>
      <c r="F45" s="42">
        <v>87647511.239999995</v>
      </c>
      <c r="G45" s="44"/>
      <c r="H45" s="44"/>
      <c r="I45" s="42">
        <f t="shared" si="21"/>
        <v>107224201.69</v>
      </c>
      <c r="J45" s="42">
        <f>107099123.75+125077.94</f>
        <v>107224201.69</v>
      </c>
      <c r="K45" s="44"/>
      <c r="L45" s="44"/>
      <c r="M45" s="80">
        <f t="shared" si="11"/>
        <v>1.2233570602637456</v>
      </c>
      <c r="N45" s="80">
        <f t="shared" si="12"/>
        <v>1.2233570602637456</v>
      </c>
      <c r="O45" s="80" t="str">
        <f t="shared" si="20"/>
        <v/>
      </c>
      <c r="P45" s="80" t="str">
        <f t="shared" si="13"/>
        <v/>
      </c>
      <c r="Q45" s="44">
        <f t="shared" si="14"/>
        <v>19576690.450000003</v>
      </c>
      <c r="R45" s="44">
        <f t="shared" si="15"/>
        <v>19576690.450000003</v>
      </c>
      <c r="S45" s="44">
        <f t="shared" si="16"/>
        <v>0</v>
      </c>
      <c r="T45" s="44">
        <f t="shared" si="17"/>
        <v>0</v>
      </c>
    </row>
    <row r="46" spans="1:20" s="49" customFormat="1" ht="90">
      <c r="A46" s="25" t="s">
        <v>198</v>
      </c>
      <c r="B46" s="25" t="s">
        <v>199</v>
      </c>
      <c r="C46" s="25" t="s">
        <v>14</v>
      </c>
      <c r="D46" s="21" t="s">
        <v>258</v>
      </c>
      <c r="E46" s="42">
        <f t="shared" si="29"/>
        <v>7205379.3399999999</v>
      </c>
      <c r="F46" s="42">
        <v>7205379.3399999999</v>
      </c>
      <c r="G46" s="44"/>
      <c r="H46" s="44"/>
      <c r="I46" s="42">
        <f t="shared" si="21"/>
        <v>9319098.9900000002</v>
      </c>
      <c r="J46" s="42">
        <v>9319098.9900000002</v>
      </c>
      <c r="K46" s="44"/>
      <c r="L46" s="44"/>
      <c r="M46" s="80">
        <f t="shared" si="11"/>
        <v>1.2933530006207834</v>
      </c>
      <c r="N46" s="80">
        <f t="shared" si="12"/>
        <v>1.2933530006207834</v>
      </c>
      <c r="O46" s="80" t="str">
        <f t="shared" si="20"/>
        <v/>
      </c>
      <c r="P46" s="80" t="str">
        <f t="shared" si="13"/>
        <v/>
      </c>
      <c r="Q46" s="44">
        <f t="shared" si="14"/>
        <v>2113719.6500000004</v>
      </c>
      <c r="R46" s="44">
        <f t="shared" si="15"/>
        <v>2113719.6500000004</v>
      </c>
      <c r="S46" s="44">
        <f t="shared" si="16"/>
        <v>0</v>
      </c>
      <c r="T46" s="44">
        <f t="shared" si="17"/>
        <v>0</v>
      </c>
    </row>
    <row r="47" spans="1:20" s="49" customFormat="1" ht="54">
      <c r="A47" s="25" t="s">
        <v>62</v>
      </c>
      <c r="B47" s="25" t="s">
        <v>32</v>
      </c>
      <c r="C47" s="25" t="s">
        <v>15</v>
      </c>
      <c r="D47" s="21" t="s">
        <v>226</v>
      </c>
      <c r="E47" s="42">
        <f t="shared" ref="E47:E59" si="30">F47+G47</f>
        <v>14602314.859999999</v>
      </c>
      <c r="F47" s="42">
        <v>14174058.859999999</v>
      </c>
      <c r="G47" s="44">
        <v>428256</v>
      </c>
      <c r="H47" s="44"/>
      <c r="I47" s="42">
        <f t="shared" si="21"/>
        <v>15228865.630000001</v>
      </c>
      <c r="J47" s="42">
        <v>15117989.140000001</v>
      </c>
      <c r="K47" s="44">
        <f>57908+52968.49</f>
        <v>110876.48999999999</v>
      </c>
      <c r="L47" s="44"/>
      <c r="M47" s="80">
        <f t="shared" si="11"/>
        <v>1.0429076332079585</v>
      </c>
      <c r="N47" s="80">
        <f t="shared" si="12"/>
        <v>1.0665956229844527</v>
      </c>
      <c r="O47" s="80">
        <f t="shared" si="20"/>
        <v>0.25890236213853396</v>
      </c>
      <c r="P47" s="80" t="str">
        <f t="shared" si="13"/>
        <v/>
      </c>
      <c r="Q47" s="44">
        <f t="shared" si="14"/>
        <v>626550.77000000142</v>
      </c>
      <c r="R47" s="44">
        <f t="shared" si="15"/>
        <v>943930.28000000119</v>
      </c>
      <c r="S47" s="44">
        <f t="shared" si="16"/>
        <v>-317379.51</v>
      </c>
      <c r="T47" s="44">
        <f t="shared" si="17"/>
        <v>0</v>
      </c>
    </row>
    <row r="48" spans="1:20" s="49" customFormat="1" ht="36">
      <c r="A48" s="23" t="s">
        <v>277</v>
      </c>
      <c r="B48" s="23" t="s">
        <v>278</v>
      </c>
      <c r="C48" s="23" t="s">
        <v>279</v>
      </c>
      <c r="D48" s="79" t="s">
        <v>280</v>
      </c>
      <c r="E48" s="42">
        <f t="shared" si="30"/>
        <v>3640</v>
      </c>
      <c r="F48" s="42">
        <v>3640</v>
      </c>
      <c r="G48" s="44"/>
      <c r="H48" s="44"/>
      <c r="I48" s="42">
        <f t="shared" si="21"/>
        <v>10400</v>
      </c>
      <c r="J48" s="42">
        <v>10400</v>
      </c>
      <c r="K48" s="44"/>
      <c r="L48" s="44"/>
      <c r="M48" s="80">
        <f t="shared" si="11"/>
        <v>2.8571428571428572</v>
      </c>
      <c r="N48" s="80">
        <f t="shared" si="12"/>
        <v>2.8571428571428572</v>
      </c>
      <c r="O48" s="80" t="str">
        <f t="shared" si="20"/>
        <v/>
      </c>
      <c r="P48" s="80" t="str">
        <f t="shared" si="13"/>
        <v/>
      </c>
      <c r="Q48" s="44">
        <f t="shared" si="14"/>
        <v>6760</v>
      </c>
      <c r="R48" s="44">
        <f t="shared" si="15"/>
        <v>6760</v>
      </c>
      <c r="S48" s="44">
        <f t="shared" si="16"/>
        <v>0</v>
      </c>
      <c r="T48" s="44">
        <f t="shared" si="17"/>
        <v>0</v>
      </c>
    </row>
    <row r="49" spans="1:20" s="49" customFormat="1" ht="43.95" customHeight="1">
      <c r="A49" s="25" t="s">
        <v>200</v>
      </c>
      <c r="B49" s="25" t="s">
        <v>201</v>
      </c>
      <c r="C49" s="25" t="s">
        <v>16</v>
      </c>
      <c r="D49" s="21" t="s">
        <v>153</v>
      </c>
      <c r="E49" s="42">
        <f t="shared" si="30"/>
        <v>13720699.48</v>
      </c>
      <c r="F49" s="42">
        <v>12036732.48</v>
      </c>
      <c r="G49" s="44">
        <v>1683967</v>
      </c>
      <c r="H49" s="44"/>
      <c r="I49" s="42">
        <f t="shared" si="21"/>
        <v>19836207.239999998</v>
      </c>
      <c r="J49" s="42">
        <v>12391653.039999999</v>
      </c>
      <c r="K49" s="44">
        <f>7444554.2</f>
        <v>7444554.2000000002</v>
      </c>
      <c r="L49" s="44"/>
      <c r="M49" s="80">
        <f t="shared" si="11"/>
        <v>1.4457139935842394</v>
      </c>
      <c r="N49" s="80">
        <f t="shared" si="12"/>
        <v>1.0294864541178204</v>
      </c>
      <c r="O49" s="80" t="s">
        <v>364</v>
      </c>
      <c r="P49" s="80" t="str">
        <f t="shared" si="13"/>
        <v/>
      </c>
      <c r="Q49" s="44">
        <f t="shared" si="14"/>
        <v>6115507.7599999979</v>
      </c>
      <c r="R49" s="44">
        <f t="shared" si="15"/>
        <v>354920.55999999866</v>
      </c>
      <c r="S49" s="44">
        <f t="shared" si="16"/>
        <v>5760587.2000000002</v>
      </c>
      <c r="T49" s="44">
        <f t="shared" si="17"/>
        <v>0</v>
      </c>
    </row>
    <row r="50" spans="1:20" s="49" customFormat="1" ht="64.2" customHeight="1">
      <c r="A50" s="25" t="s">
        <v>202</v>
      </c>
      <c r="B50" s="25" t="s">
        <v>203</v>
      </c>
      <c r="C50" s="25" t="s">
        <v>16</v>
      </c>
      <c r="D50" s="21" t="s">
        <v>204</v>
      </c>
      <c r="E50" s="42">
        <f t="shared" si="30"/>
        <v>410455.9</v>
      </c>
      <c r="F50" s="42">
        <v>410455.9</v>
      </c>
      <c r="G50" s="44"/>
      <c r="H50" s="44"/>
      <c r="I50" s="42">
        <f t="shared" si="21"/>
        <v>267324.13</v>
      </c>
      <c r="J50" s="42">
        <v>267324.13</v>
      </c>
      <c r="K50" s="44"/>
      <c r="L50" s="44"/>
      <c r="M50" s="80">
        <f t="shared" si="11"/>
        <v>0.65128587504772129</v>
      </c>
      <c r="N50" s="80">
        <f t="shared" si="12"/>
        <v>0.65128587504772129</v>
      </c>
      <c r="O50" s="80" t="str">
        <f t="shared" si="20"/>
        <v/>
      </c>
      <c r="P50" s="80" t="str">
        <f t="shared" si="13"/>
        <v/>
      </c>
      <c r="Q50" s="44">
        <f t="shared" si="14"/>
        <v>-143131.77000000002</v>
      </c>
      <c r="R50" s="44">
        <f t="shared" si="15"/>
        <v>-143131.77000000002</v>
      </c>
      <c r="S50" s="44">
        <f t="shared" si="16"/>
        <v>0</v>
      </c>
      <c r="T50" s="44">
        <f t="shared" si="17"/>
        <v>0</v>
      </c>
    </row>
    <row r="51" spans="1:20" s="49" customFormat="1" ht="54">
      <c r="A51" s="25" t="s">
        <v>205</v>
      </c>
      <c r="B51" s="25" t="s">
        <v>206</v>
      </c>
      <c r="C51" s="25" t="s">
        <v>16</v>
      </c>
      <c r="D51" s="21" t="s">
        <v>207</v>
      </c>
      <c r="E51" s="42">
        <f t="shared" si="30"/>
        <v>1484006.88</v>
      </c>
      <c r="F51" s="42">
        <v>1484006.88</v>
      </c>
      <c r="G51" s="44"/>
      <c r="H51" s="44"/>
      <c r="I51" s="42">
        <f t="shared" si="21"/>
        <v>1427813.76</v>
      </c>
      <c r="J51" s="42">
        <v>1427813.76</v>
      </c>
      <c r="K51" s="44"/>
      <c r="L51" s="44"/>
      <c r="M51" s="80">
        <f t="shared" si="11"/>
        <v>0.96213419172288484</v>
      </c>
      <c r="N51" s="80">
        <f t="shared" si="12"/>
        <v>0.96213419172288484</v>
      </c>
      <c r="O51" s="80" t="str">
        <f t="shared" si="20"/>
        <v/>
      </c>
      <c r="P51" s="80" t="str">
        <f t="shared" si="13"/>
        <v/>
      </c>
      <c r="Q51" s="44">
        <f t="shared" si="14"/>
        <v>-56193.119999999879</v>
      </c>
      <c r="R51" s="44">
        <f t="shared" si="15"/>
        <v>-56193.119999999879</v>
      </c>
      <c r="S51" s="44">
        <f t="shared" si="16"/>
        <v>0</v>
      </c>
      <c r="T51" s="44">
        <f t="shared" si="17"/>
        <v>0</v>
      </c>
    </row>
    <row r="52" spans="1:20" s="49" customFormat="1" ht="126">
      <c r="A52" s="64" t="s">
        <v>314</v>
      </c>
      <c r="B52" s="65">
        <v>1154</v>
      </c>
      <c r="C52" s="64" t="s">
        <v>16</v>
      </c>
      <c r="D52" s="53" t="s">
        <v>315</v>
      </c>
      <c r="E52" s="42">
        <f t="shared" si="30"/>
        <v>0</v>
      </c>
      <c r="F52" s="42"/>
      <c r="G52" s="44"/>
      <c r="H52" s="44"/>
      <c r="I52" s="42">
        <f t="shared" si="21"/>
        <v>245454.99</v>
      </c>
      <c r="J52" s="42">
        <v>245454.99</v>
      </c>
      <c r="K52" s="44"/>
      <c r="L52" s="44"/>
      <c r="M52" s="80" t="str">
        <f t="shared" si="11"/>
        <v/>
      </c>
      <c r="N52" s="80" t="str">
        <f t="shared" si="12"/>
        <v/>
      </c>
      <c r="O52" s="80" t="str">
        <f t="shared" si="20"/>
        <v/>
      </c>
      <c r="P52" s="80" t="str">
        <f t="shared" si="13"/>
        <v/>
      </c>
      <c r="Q52" s="44">
        <f t="shared" si="14"/>
        <v>245454.99</v>
      </c>
      <c r="R52" s="44">
        <f t="shared" si="15"/>
        <v>245454.99</v>
      </c>
      <c r="S52" s="44">
        <f t="shared" si="16"/>
        <v>0</v>
      </c>
      <c r="T52" s="44">
        <f t="shared" si="17"/>
        <v>0</v>
      </c>
    </row>
    <row r="53" spans="1:20" s="49" customFormat="1" ht="36">
      <c r="A53" s="24" t="s">
        <v>295</v>
      </c>
      <c r="B53" s="24">
        <v>1160</v>
      </c>
      <c r="C53" s="23" t="s">
        <v>16</v>
      </c>
      <c r="D53" s="79" t="s">
        <v>251</v>
      </c>
      <c r="E53" s="42">
        <f t="shared" ref="E53" si="31">F53+G53</f>
        <v>2515090.48</v>
      </c>
      <c r="F53" s="42">
        <v>2515090.48</v>
      </c>
      <c r="G53" s="44"/>
      <c r="H53" s="44"/>
      <c r="I53" s="42">
        <f t="shared" si="21"/>
        <v>2753605.14</v>
      </c>
      <c r="J53" s="42">
        <v>2753605.14</v>
      </c>
      <c r="K53" s="44"/>
      <c r="L53" s="44"/>
      <c r="M53" s="80">
        <f t="shared" si="11"/>
        <v>1.0948334312012504</v>
      </c>
      <c r="N53" s="80">
        <f t="shared" si="12"/>
        <v>1.0948334312012504</v>
      </c>
      <c r="O53" s="80" t="str">
        <f t="shared" si="20"/>
        <v/>
      </c>
      <c r="P53" s="80" t="str">
        <f t="shared" si="13"/>
        <v/>
      </c>
      <c r="Q53" s="44">
        <f t="shared" si="14"/>
        <v>238514.66000000015</v>
      </c>
      <c r="R53" s="44">
        <f t="shared" si="15"/>
        <v>238514.66000000015</v>
      </c>
      <c r="S53" s="44">
        <f t="shared" si="16"/>
        <v>0</v>
      </c>
      <c r="T53" s="44">
        <f t="shared" si="17"/>
        <v>0</v>
      </c>
    </row>
    <row r="54" spans="1:20" s="49" customFormat="1" ht="72">
      <c r="A54" s="25" t="s">
        <v>223</v>
      </c>
      <c r="B54" s="25" t="s">
        <v>224</v>
      </c>
      <c r="C54" s="25" t="s">
        <v>16</v>
      </c>
      <c r="D54" s="26" t="s">
        <v>225</v>
      </c>
      <c r="E54" s="42">
        <f t="shared" si="30"/>
        <v>181111.43</v>
      </c>
      <c r="F54" s="42">
        <v>181111.43</v>
      </c>
      <c r="G54" s="42"/>
      <c r="H54" s="42"/>
      <c r="I54" s="42">
        <f t="shared" si="21"/>
        <v>216561.31</v>
      </c>
      <c r="J54" s="42">
        <v>216561.31</v>
      </c>
      <c r="K54" s="42"/>
      <c r="L54" s="42"/>
      <c r="M54" s="80">
        <f t="shared" si="11"/>
        <v>1.1957351891042989</v>
      </c>
      <c r="N54" s="80">
        <f t="shared" si="12"/>
        <v>1.1957351891042989</v>
      </c>
      <c r="O54" s="80" t="str">
        <f t="shared" si="20"/>
        <v/>
      </c>
      <c r="P54" s="80" t="str">
        <f t="shared" si="13"/>
        <v/>
      </c>
      <c r="Q54" s="44">
        <f t="shared" si="14"/>
        <v>35449.880000000005</v>
      </c>
      <c r="R54" s="44">
        <f t="shared" si="15"/>
        <v>35449.880000000005</v>
      </c>
      <c r="S54" s="44">
        <f t="shared" si="16"/>
        <v>0</v>
      </c>
      <c r="T54" s="44">
        <f t="shared" si="17"/>
        <v>0</v>
      </c>
    </row>
    <row r="55" spans="1:20" s="49" customFormat="1" ht="90">
      <c r="A55" s="66" t="s">
        <v>316</v>
      </c>
      <c r="B55" s="66" t="s">
        <v>317</v>
      </c>
      <c r="C55" s="66" t="s">
        <v>16</v>
      </c>
      <c r="D55" s="54" t="s">
        <v>318</v>
      </c>
      <c r="E55" s="42">
        <f t="shared" si="30"/>
        <v>0</v>
      </c>
      <c r="F55" s="42"/>
      <c r="G55" s="42"/>
      <c r="H55" s="42"/>
      <c r="I55" s="42">
        <f t="shared" si="21"/>
        <v>97284</v>
      </c>
      <c r="J55" s="42">
        <v>97284</v>
      </c>
      <c r="K55" s="42"/>
      <c r="L55" s="42"/>
      <c r="M55" s="80" t="str">
        <f t="shared" si="11"/>
        <v/>
      </c>
      <c r="N55" s="80" t="str">
        <f t="shared" si="12"/>
        <v/>
      </c>
      <c r="O55" s="80" t="str">
        <f t="shared" si="20"/>
        <v/>
      </c>
      <c r="P55" s="80" t="str">
        <f t="shared" si="13"/>
        <v/>
      </c>
      <c r="Q55" s="44">
        <f t="shared" si="14"/>
        <v>97284</v>
      </c>
      <c r="R55" s="44">
        <f t="shared" si="15"/>
        <v>97284</v>
      </c>
      <c r="S55" s="44">
        <f t="shared" si="16"/>
        <v>0</v>
      </c>
      <c r="T55" s="44">
        <f t="shared" si="17"/>
        <v>0</v>
      </c>
    </row>
    <row r="56" spans="1:20" s="49" customFormat="1" ht="90">
      <c r="A56" s="23" t="s">
        <v>299</v>
      </c>
      <c r="B56" s="23" t="s">
        <v>300</v>
      </c>
      <c r="C56" s="23" t="s">
        <v>17</v>
      </c>
      <c r="D56" s="79" t="s">
        <v>301</v>
      </c>
      <c r="E56" s="42">
        <f t="shared" si="30"/>
        <v>2251972.73</v>
      </c>
      <c r="F56" s="42">
        <v>2251972.73</v>
      </c>
      <c r="G56" s="42"/>
      <c r="H56" s="42"/>
      <c r="I56" s="42">
        <f t="shared" si="21"/>
        <v>3016013.47</v>
      </c>
      <c r="J56" s="42">
        <v>3016013.47</v>
      </c>
      <c r="K56" s="42"/>
      <c r="L56" s="42"/>
      <c r="M56" s="80">
        <f t="shared" si="11"/>
        <v>1.3392761954093468</v>
      </c>
      <c r="N56" s="80">
        <f t="shared" si="12"/>
        <v>1.3392761954093468</v>
      </c>
      <c r="O56" s="80" t="str">
        <f t="shared" si="20"/>
        <v/>
      </c>
      <c r="P56" s="80" t="str">
        <f t="shared" si="13"/>
        <v/>
      </c>
      <c r="Q56" s="44">
        <f t="shared" si="14"/>
        <v>764040.74000000022</v>
      </c>
      <c r="R56" s="44">
        <f t="shared" si="15"/>
        <v>764040.74000000022</v>
      </c>
      <c r="S56" s="44">
        <f t="shared" si="16"/>
        <v>0</v>
      </c>
      <c r="T56" s="44">
        <f t="shared" si="17"/>
        <v>0</v>
      </c>
    </row>
    <row r="57" spans="1:20" s="49" customFormat="1" ht="45.6" customHeight="1">
      <c r="A57" s="25" t="s">
        <v>150</v>
      </c>
      <c r="B57" s="25" t="s">
        <v>147</v>
      </c>
      <c r="C57" s="25" t="s">
        <v>4</v>
      </c>
      <c r="D57" s="21" t="s">
        <v>148</v>
      </c>
      <c r="E57" s="42">
        <f t="shared" si="30"/>
        <v>7268272.6399999997</v>
      </c>
      <c r="F57" s="42">
        <v>7268272.6399999997</v>
      </c>
      <c r="G57" s="42"/>
      <c r="H57" s="42"/>
      <c r="I57" s="42">
        <f t="shared" si="21"/>
        <v>1433953.17</v>
      </c>
      <c r="J57" s="42">
        <v>1433953.17</v>
      </c>
      <c r="K57" s="42"/>
      <c r="L57" s="42"/>
      <c r="M57" s="80">
        <f t="shared" si="11"/>
        <v>0.19728940300181144</v>
      </c>
      <c r="N57" s="80">
        <f t="shared" si="12"/>
        <v>0.19728940300181144</v>
      </c>
      <c r="O57" s="80" t="str">
        <f t="shared" si="20"/>
        <v/>
      </c>
      <c r="P57" s="80" t="str">
        <f t="shared" si="13"/>
        <v/>
      </c>
      <c r="Q57" s="44">
        <f t="shared" si="14"/>
        <v>-5834319.4699999997</v>
      </c>
      <c r="R57" s="44">
        <f t="shared" si="15"/>
        <v>-5834319.4699999997</v>
      </c>
      <c r="S57" s="44">
        <f t="shared" si="16"/>
        <v>0</v>
      </c>
      <c r="T57" s="44">
        <f t="shared" si="17"/>
        <v>0</v>
      </c>
    </row>
    <row r="58" spans="1:20" s="49" customFormat="1" ht="54">
      <c r="A58" s="25" t="s">
        <v>69</v>
      </c>
      <c r="B58" s="25" t="s">
        <v>47</v>
      </c>
      <c r="C58" s="25" t="s">
        <v>18</v>
      </c>
      <c r="D58" s="47" t="s">
        <v>19</v>
      </c>
      <c r="E58" s="42">
        <f t="shared" si="30"/>
        <v>6202653.75</v>
      </c>
      <c r="F58" s="42">
        <v>6202653.75</v>
      </c>
      <c r="G58" s="44"/>
      <c r="H58" s="44"/>
      <c r="I58" s="42">
        <f t="shared" si="21"/>
        <v>7588078.3499999996</v>
      </c>
      <c r="J58" s="42">
        <v>7568038.3499999996</v>
      </c>
      <c r="K58" s="44">
        <v>20040</v>
      </c>
      <c r="L58" s="44"/>
      <c r="M58" s="80">
        <f t="shared" si="11"/>
        <v>1.2233599771710617</v>
      </c>
      <c r="N58" s="80">
        <f t="shared" si="12"/>
        <v>1.2201291019992853</v>
      </c>
      <c r="O58" s="80" t="str">
        <f t="shared" si="20"/>
        <v/>
      </c>
      <c r="P58" s="80" t="str">
        <f t="shared" si="13"/>
        <v/>
      </c>
      <c r="Q58" s="44">
        <f t="shared" si="14"/>
        <v>1385424.5999999996</v>
      </c>
      <c r="R58" s="44">
        <f t="shared" si="15"/>
        <v>1365384.5999999996</v>
      </c>
      <c r="S58" s="44">
        <f t="shared" si="16"/>
        <v>20040</v>
      </c>
      <c r="T58" s="44">
        <f t="shared" si="17"/>
        <v>0</v>
      </c>
    </row>
    <row r="59" spans="1:20" s="49" customFormat="1" ht="54">
      <c r="A59" s="24" t="s">
        <v>302</v>
      </c>
      <c r="B59" s="23">
        <v>8110</v>
      </c>
      <c r="C59" s="24" t="s">
        <v>5</v>
      </c>
      <c r="D59" s="79" t="s">
        <v>136</v>
      </c>
      <c r="E59" s="42">
        <f t="shared" si="30"/>
        <v>1086269.96</v>
      </c>
      <c r="F59" s="42">
        <v>1086269.96</v>
      </c>
      <c r="G59" s="44"/>
      <c r="H59" s="44"/>
      <c r="I59" s="42">
        <f t="shared" si="21"/>
        <v>869261.52</v>
      </c>
      <c r="J59" s="42">
        <v>179439.04</v>
      </c>
      <c r="K59" s="44">
        <v>689822.48</v>
      </c>
      <c r="L59" s="44">
        <v>689822.48</v>
      </c>
      <c r="M59" s="80">
        <f t="shared" si="11"/>
        <v>0.80022605062189145</v>
      </c>
      <c r="N59" s="80">
        <f t="shared" si="12"/>
        <v>0.16518825578127927</v>
      </c>
      <c r="O59" s="80" t="str">
        <f t="shared" si="20"/>
        <v/>
      </c>
      <c r="P59" s="80" t="str">
        <f t="shared" si="13"/>
        <v/>
      </c>
      <c r="Q59" s="44">
        <f t="shared" si="14"/>
        <v>-217008.43999999994</v>
      </c>
      <c r="R59" s="44">
        <f t="shared" si="15"/>
        <v>-906830.91999999993</v>
      </c>
      <c r="S59" s="44">
        <f t="shared" si="16"/>
        <v>689822.48</v>
      </c>
      <c r="T59" s="44">
        <f t="shared" si="17"/>
        <v>689822.48</v>
      </c>
    </row>
    <row r="60" spans="1:20" s="32" customFormat="1" ht="52.2">
      <c r="A60" s="27" t="s">
        <v>70</v>
      </c>
      <c r="B60" s="27"/>
      <c r="C60" s="27"/>
      <c r="D60" s="10" t="s">
        <v>210</v>
      </c>
      <c r="E60" s="41">
        <f t="shared" ref="E60:L60" si="32">E61</f>
        <v>64843691.729999997</v>
      </c>
      <c r="F60" s="41">
        <f t="shared" si="32"/>
        <v>56165696.399999999</v>
      </c>
      <c r="G60" s="41">
        <f t="shared" si="32"/>
        <v>8677995.3300000001</v>
      </c>
      <c r="H60" s="41">
        <f t="shared" si="32"/>
        <v>4653291.82</v>
      </c>
      <c r="I60" s="41">
        <f t="shared" si="32"/>
        <v>70814684.429999992</v>
      </c>
      <c r="J60" s="41">
        <f t="shared" si="32"/>
        <v>63504959.229999997</v>
      </c>
      <c r="K60" s="41">
        <f t="shared" si="32"/>
        <v>7309725.2000000002</v>
      </c>
      <c r="L60" s="41">
        <f t="shared" si="32"/>
        <v>6600229.0200000005</v>
      </c>
      <c r="M60" s="11">
        <f t="shared" si="11"/>
        <v>1.0920828617356082</v>
      </c>
      <c r="N60" s="11">
        <f t="shared" si="12"/>
        <v>1.1306716252164195</v>
      </c>
      <c r="O60" s="11">
        <f t="shared" si="20"/>
        <v>0.8423287777915871</v>
      </c>
      <c r="P60" s="11">
        <f t="shared" si="13"/>
        <v>1.4183999790496697</v>
      </c>
      <c r="Q60" s="45">
        <f t="shared" si="14"/>
        <v>5970992.6999999955</v>
      </c>
      <c r="R60" s="45">
        <f t="shared" si="15"/>
        <v>7339262.8299999982</v>
      </c>
      <c r="S60" s="45">
        <f t="shared" si="16"/>
        <v>-1368270.13</v>
      </c>
      <c r="T60" s="45">
        <f t="shared" si="17"/>
        <v>1946937.2000000002</v>
      </c>
    </row>
    <row r="61" spans="1:20" s="32" customFormat="1" ht="52.2">
      <c r="A61" s="27" t="s">
        <v>71</v>
      </c>
      <c r="B61" s="27"/>
      <c r="C61" s="27"/>
      <c r="D61" s="10" t="s">
        <v>210</v>
      </c>
      <c r="E61" s="41">
        <f t="shared" ref="E61:E71" si="33">F61+G61</f>
        <v>64843691.729999997</v>
      </c>
      <c r="F61" s="41">
        <f>F62+F63+F64+F65+F67+F68+F69+F71+F72+F73+F74+F78+F66+F77+F79+F70+F75+F76</f>
        <v>56165696.399999999</v>
      </c>
      <c r="G61" s="41">
        <f t="shared" ref="G61:H61" si="34">G62+G63+G64+G65+G67+G68+G69+G71+G72+G73+G74+G78+G66+G77+G79+G70+G75+G76</f>
        <v>8677995.3300000001</v>
      </c>
      <c r="H61" s="41">
        <f t="shared" si="34"/>
        <v>4653291.82</v>
      </c>
      <c r="I61" s="41">
        <f t="shared" ref="I61" si="35">J61+K61</f>
        <v>70814684.429999992</v>
      </c>
      <c r="J61" s="41">
        <f>J62+J63+J64+J65+J67+J68+J69+J71+J72+J73+J74+J78+J66+J77+J79+J70+J75+J76</f>
        <v>63504959.229999997</v>
      </c>
      <c r="K61" s="41">
        <f>K62+K63+K64+K65+K67+K68+K69+K71+K72+K73+K74+K78+K66+K77+K79+K70+K75+K76</f>
        <v>7309725.2000000002</v>
      </c>
      <c r="L61" s="41">
        <f>L62+L63+L64+L65+L67+L68+L69+L71+L72+L73+L74+L78+L66+L77+L79+L70+L75+L76</f>
        <v>6600229.0200000005</v>
      </c>
      <c r="M61" s="11">
        <f t="shared" si="11"/>
        <v>1.0920828617356082</v>
      </c>
      <c r="N61" s="11">
        <f t="shared" si="12"/>
        <v>1.1306716252164195</v>
      </c>
      <c r="O61" s="11">
        <f t="shared" si="20"/>
        <v>0.8423287777915871</v>
      </c>
      <c r="P61" s="11">
        <f t="shared" si="13"/>
        <v>1.4183999790496697</v>
      </c>
      <c r="Q61" s="45">
        <f t="shared" si="14"/>
        <v>5970992.6999999955</v>
      </c>
      <c r="R61" s="45">
        <f t="shared" si="15"/>
        <v>7339262.8299999982</v>
      </c>
      <c r="S61" s="45">
        <f t="shared" si="16"/>
        <v>-1368270.13</v>
      </c>
      <c r="T61" s="45">
        <f t="shared" si="17"/>
        <v>1946937.2000000002</v>
      </c>
    </row>
    <row r="62" spans="1:20" s="49" customFormat="1" ht="54">
      <c r="A62" s="25" t="s">
        <v>72</v>
      </c>
      <c r="B62" s="25" t="s">
        <v>58</v>
      </c>
      <c r="C62" s="25" t="s">
        <v>3</v>
      </c>
      <c r="D62" s="26" t="s">
        <v>235</v>
      </c>
      <c r="E62" s="42">
        <f t="shared" si="33"/>
        <v>10272073.529999999</v>
      </c>
      <c r="F62" s="42">
        <v>10212613.529999999</v>
      </c>
      <c r="G62" s="42">
        <v>59460</v>
      </c>
      <c r="H62" s="42">
        <f>G62</f>
        <v>59460</v>
      </c>
      <c r="I62" s="42">
        <f t="shared" si="21"/>
        <v>12289833.99</v>
      </c>
      <c r="J62" s="42">
        <v>12289833.99</v>
      </c>
      <c r="K62" s="42"/>
      <c r="L62" s="42"/>
      <c r="M62" s="80">
        <f t="shared" si="11"/>
        <v>1.1964316604731315</v>
      </c>
      <c r="N62" s="80">
        <f t="shared" si="12"/>
        <v>1.2033975391214085</v>
      </c>
      <c r="O62" s="80">
        <f t="shared" si="20"/>
        <v>0</v>
      </c>
      <c r="P62" s="80">
        <f t="shared" si="13"/>
        <v>0</v>
      </c>
      <c r="Q62" s="44">
        <f t="shared" si="14"/>
        <v>2017760.4600000009</v>
      </c>
      <c r="R62" s="44">
        <f t="shared" si="15"/>
        <v>2077220.4600000009</v>
      </c>
      <c r="S62" s="44">
        <f t="shared" si="16"/>
        <v>-59460</v>
      </c>
      <c r="T62" s="44">
        <f t="shared" si="17"/>
        <v>-59460</v>
      </c>
    </row>
    <row r="63" spans="1:20" s="49" customFormat="1" ht="36">
      <c r="A63" s="25" t="s">
        <v>164</v>
      </c>
      <c r="B63" s="25" t="s">
        <v>8</v>
      </c>
      <c r="C63" s="25" t="s">
        <v>6</v>
      </c>
      <c r="D63" s="14" t="s">
        <v>108</v>
      </c>
      <c r="E63" s="42">
        <f t="shared" si="33"/>
        <v>136721.4</v>
      </c>
      <c r="F63" s="42">
        <v>136721.4</v>
      </c>
      <c r="G63" s="42"/>
      <c r="H63" s="42"/>
      <c r="I63" s="42">
        <f t="shared" si="21"/>
        <v>94505</v>
      </c>
      <c r="J63" s="42">
        <v>94505</v>
      </c>
      <c r="K63" s="42"/>
      <c r="L63" s="42"/>
      <c r="M63" s="80">
        <f t="shared" si="11"/>
        <v>0.69122317354854479</v>
      </c>
      <c r="N63" s="80">
        <f t="shared" si="12"/>
        <v>0.69122317354854479</v>
      </c>
      <c r="O63" s="80" t="str">
        <f t="shared" si="20"/>
        <v/>
      </c>
      <c r="P63" s="80" t="str">
        <f t="shared" si="13"/>
        <v/>
      </c>
      <c r="Q63" s="44">
        <f t="shared" si="14"/>
        <v>-42216.399999999994</v>
      </c>
      <c r="R63" s="44">
        <f t="shared" si="15"/>
        <v>-42216.399999999994</v>
      </c>
      <c r="S63" s="44">
        <f t="shared" si="16"/>
        <v>0</v>
      </c>
      <c r="T63" s="44">
        <f t="shared" si="17"/>
        <v>0</v>
      </c>
    </row>
    <row r="64" spans="1:20" s="49" customFormat="1" ht="36">
      <c r="A64" s="25" t="s">
        <v>113</v>
      </c>
      <c r="B64" s="25" t="s">
        <v>31</v>
      </c>
      <c r="C64" s="25" t="s">
        <v>13</v>
      </c>
      <c r="D64" s="47" t="s">
        <v>112</v>
      </c>
      <c r="E64" s="42">
        <f t="shared" si="33"/>
        <v>78455.41</v>
      </c>
      <c r="F64" s="42">
        <v>78455.41</v>
      </c>
      <c r="G64" s="42"/>
      <c r="H64" s="42"/>
      <c r="I64" s="42">
        <f t="shared" si="21"/>
        <v>750418.74</v>
      </c>
      <c r="J64" s="42">
        <v>750418.74</v>
      </c>
      <c r="K64" s="42"/>
      <c r="L64" s="42"/>
      <c r="M64" s="80">
        <f t="shared" si="11"/>
        <v>9.5649075060598108</v>
      </c>
      <c r="N64" s="80">
        <f t="shared" si="12"/>
        <v>9.5649075060598108</v>
      </c>
      <c r="O64" s="80" t="str">
        <f t="shared" si="20"/>
        <v/>
      </c>
      <c r="P64" s="80" t="str">
        <f t="shared" si="13"/>
        <v/>
      </c>
      <c r="Q64" s="44">
        <f t="shared" si="14"/>
        <v>671963.33</v>
      </c>
      <c r="R64" s="44">
        <f t="shared" si="15"/>
        <v>671963.33</v>
      </c>
      <c r="S64" s="44">
        <f t="shared" si="16"/>
        <v>0</v>
      </c>
      <c r="T64" s="44">
        <f t="shared" si="17"/>
        <v>0</v>
      </c>
    </row>
    <row r="65" spans="1:20" s="49" customFormat="1" ht="36">
      <c r="A65" s="25" t="s">
        <v>114</v>
      </c>
      <c r="B65" s="25" t="s">
        <v>115</v>
      </c>
      <c r="C65" s="25" t="s">
        <v>32</v>
      </c>
      <c r="D65" s="47" t="s">
        <v>33</v>
      </c>
      <c r="E65" s="42">
        <f t="shared" si="33"/>
        <v>8939.65</v>
      </c>
      <c r="F65" s="42">
        <v>8939.65</v>
      </c>
      <c r="G65" s="42"/>
      <c r="H65" s="42"/>
      <c r="I65" s="42">
        <f t="shared" si="21"/>
        <v>3433.36</v>
      </c>
      <c r="J65" s="42">
        <v>3433.36</v>
      </c>
      <c r="K65" s="42"/>
      <c r="L65" s="42"/>
      <c r="M65" s="80">
        <f t="shared" si="11"/>
        <v>0.38405977862668006</v>
      </c>
      <c r="N65" s="80">
        <f t="shared" si="12"/>
        <v>0.38405977862668006</v>
      </c>
      <c r="O65" s="80" t="str">
        <f t="shared" si="20"/>
        <v/>
      </c>
      <c r="P65" s="80" t="str">
        <f t="shared" si="13"/>
        <v/>
      </c>
      <c r="Q65" s="44">
        <f t="shared" si="14"/>
        <v>-5506.2899999999991</v>
      </c>
      <c r="R65" s="44">
        <f t="shared" si="15"/>
        <v>-5506.2899999999991</v>
      </c>
      <c r="S65" s="44">
        <f t="shared" si="16"/>
        <v>0</v>
      </c>
      <c r="T65" s="44">
        <f t="shared" si="17"/>
        <v>0</v>
      </c>
    </row>
    <row r="66" spans="1:20" s="49" customFormat="1" ht="54">
      <c r="A66" s="25" t="s">
        <v>171</v>
      </c>
      <c r="B66" s="25" t="s">
        <v>169</v>
      </c>
      <c r="C66" s="25" t="s">
        <v>32</v>
      </c>
      <c r="D66" s="15" t="s">
        <v>170</v>
      </c>
      <c r="E66" s="42">
        <f t="shared" si="33"/>
        <v>149764.54999999999</v>
      </c>
      <c r="F66" s="42">
        <v>149764.54999999999</v>
      </c>
      <c r="G66" s="42"/>
      <c r="H66" s="42"/>
      <c r="I66" s="42">
        <f t="shared" ref="I66:I144" si="36">J66+K66</f>
        <v>228673.81</v>
      </c>
      <c r="J66" s="42">
        <v>228673.81</v>
      </c>
      <c r="K66" s="42"/>
      <c r="L66" s="42"/>
      <c r="M66" s="80">
        <f t="shared" si="11"/>
        <v>1.5268887730774741</v>
      </c>
      <c r="N66" s="80">
        <f t="shared" si="12"/>
        <v>1.5268887730774741</v>
      </c>
      <c r="O66" s="80" t="str">
        <f t="shared" si="20"/>
        <v/>
      </c>
      <c r="P66" s="80" t="str">
        <f t="shared" si="13"/>
        <v/>
      </c>
      <c r="Q66" s="44">
        <f t="shared" si="14"/>
        <v>78909.260000000009</v>
      </c>
      <c r="R66" s="44">
        <f t="shared" si="15"/>
        <v>78909.260000000009</v>
      </c>
      <c r="S66" s="44">
        <f t="shared" si="16"/>
        <v>0</v>
      </c>
      <c r="T66" s="44">
        <f t="shared" si="17"/>
        <v>0</v>
      </c>
    </row>
    <row r="67" spans="1:20" s="49" customFormat="1" ht="36">
      <c r="A67" s="25" t="s">
        <v>172</v>
      </c>
      <c r="B67" s="25" t="s">
        <v>173</v>
      </c>
      <c r="C67" s="25" t="s">
        <v>13</v>
      </c>
      <c r="D67" s="47" t="s">
        <v>174</v>
      </c>
      <c r="E67" s="42">
        <f t="shared" si="33"/>
        <v>83818</v>
      </c>
      <c r="F67" s="44">
        <v>83818</v>
      </c>
      <c r="G67" s="44"/>
      <c r="H67" s="44"/>
      <c r="I67" s="42">
        <f t="shared" si="36"/>
        <v>47347</v>
      </c>
      <c r="J67" s="44">
        <v>47347</v>
      </c>
      <c r="K67" s="44"/>
      <c r="L67" s="44"/>
      <c r="M67" s="80">
        <f t="shared" si="11"/>
        <v>0.56487866568040279</v>
      </c>
      <c r="N67" s="80">
        <f t="shared" si="12"/>
        <v>0.56487866568040279</v>
      </c>
      <c r="O67" s="80" t="str">
        <f t="shared" si="20"/>
        <v/>
      </c>
      <c r="P67" s="80" t="str">
        <f t="shared" si="13"/>
        <v/>
      </c>
      <c r="Q67" s="44">
        <f t="shared" si="14"/>
        <v>-36471</v>
      </c>
      <c r="R67" s="44">
        <f t="shared" si="15"/>
        <v>-36471</v>
      </c>
      <c r="S67" s="44">
        <f t="shared" si="16"/>
        <v>0</v>
      </c>
      <c r="T67" s="44">
        <f t="shared" si="17"/>
        <v>0</v>
      </c>
    </row>
    <row r="68" spans="1:20" s="49" customFormat="1" ht="72">
      <c r="A68" s="25" t="s">
        <v>123</v>
      </c>
      <c r="B68" s="25" t="s">
        <v>122</v>
      </c>
      <c r="C68" s="25" t="s">
        <v>11</v>
      </c>
      <c r="D68" s="47" t="s">
        <v>137</v>
      </c>
      <c r="E68" s="42">
        <f t="shared" si="33"/>
        <v>11419398.57</v>
      </c>
      <c r="F68" s="42">
        <v>11419398.57</v>
      </c>
      <c r="G68" s="42"/>
      <c r="H68" s="42"/>
      <c r="I68" s="42">
        <f t="shared" si="36"/>
        <v>11885255.26</v>
      </c>
      <c r="J68" s="42">
        <v>11862255.26</v>
      </c>
      <c r="K68" s="42">
        <v>23000</v>
      </c>
      <c r="L68" s="42"/>
      <c r="M68" s="80">
        <f t="shared" si="11"/>
        <v>1.0407952036304131</v>
      </c>
      <c r="N68" s="80">
        <f t="shared" si="12"/>
        <v>1.0387810870498411</v>
      </c>
      <c r="O68" s="80" t="str">
        <f t="shared" si="20"/>
        <v/>
      </c>
      <c r="P68" s="80" t="str">
        <f t="shared" si="13"/>
        <v/>
      </c>
      <c r="Q68" s="44">
        <f t="shared" si="14"/>
        <v>465856.68999999948</v>
      </c>
      <c r="R68" s="44">
        <f t="shared" si="15"/>
        <v>442856.68999999948</v>
      </c>
      <c r="S68" s="44">
        <f t="shared" si="16"/>
        <v>23000</v>
      </c>
      <c r="T68" s="44">
        <f t="shared" si="17"/>
        <v>0</v>
      </c>
    </row>
    <row r="69" spans="1:20" s="49" customFormat="1" ht="36">
      <c r="A69" s="25" t="s">
        <v>74</v>
      </c>
      <c r="B69" s="25" t="s">
        <v>73</v>
      </c>
      <c r="C69" s="25" t="s">
        <v>17</v>
      </c>
      <c r="D69" s="47" t="s">
        <v>75</v>
      </c>
      <c r="E69" s="42">
        <f t="shared" si="33"/>
        <v>4785548.33</v>
      </c>
      <c r="F69" s="42">
        <v>4785548.33</v>
      </c>
      <c r="G69" s="42"/>
      <c r="H69" s="42"/>
      <c r="I69" s="42">
        <f t="shared" si="36"/>
        <v>5995636.3799999999</v>
      </c>
      <c r="J69" s="42">
        <v>5973669.3799999999</v>
      </c>
      <c r="K69" s="42">
        <f>21967</f>
        <v>21967</v>
      </c>
      <c r="L69" s="42"/>
      <c r="M69" s="80">
        <f t="shared" si="11"/>
        <v>1.2528629880120759</v>
      </c>
      <c r="N69" s="80">
        <f t="shared" si="12"/>
        <v>1.2482727094305617</v>
      </c>
      <c r="O69" s="80" t="str">
        <f t="shared" si="20"/>
        <v/>
      </c>
      <c r="P69" s="80" t="str">
        <f t="shared" si="13"/>
        <v/>
      </c>
      <c r="Q69" s="44">
        <f t="shared" si="14"/>
        <v>1210088.0499999998</v>
      </c>
      <c r="R69" s="44">
        <f t="shared" si="15"/>
        <v>1188121.0499999998</v>
      </c>
      <c r="S69" s="44">
        <f t="shared" si="16"/>
        <v>21967</v>
      </c>
      <c r="T69" s="44">
        <f t="shared" si="17"/>
        <v>0</v>
      </c>
    </row>
    <row r="70" spans="1:20" s="49" customFormat="1">
      <c r="A70" s="96" t="s">
        <v>336</v>
      </c>
      <c r="B70" s="96" t="s">
        <v>337</v>
      </c>
      <c r="C70" s="96" t="s">
        <v>17</v>
      </c>
      <c r="D70" s="97" t="s">
        <v>338</v>
      </c>
      <c r="E70" s="42">
        <f t="shared" si="33"/>
        <v>458000</v>
      </c>
      <c r="F70" s="42">
        <v>458000</v>
      </c>
      <c r="G70" s="42"/>
      <c r="H70" s="42"/>
      <c r="I70" s="42">
        <f t="shared" si="36"/>
        <v>271500</v>
      </c>
      <c r="J70" s="42">
        <v>271500</v>
      </c>
      <c r="K70" s="42"/>
      <c r="L70" s="42"/>
      <c r="M70" s="80">
        <f t="shared" si="11"/>
        <v>0.59279475982532748</v>
      </c>
      <c r="N70" s="80">
        <f t="shared" si="12"/>
        <v>0.59279475982532748</v>
      </c>
      <c r="O70" s="80" t="str">
        <f t="shared" si="20"/>
        <v/>
      </c>
      <c r="P70" s="80" t="str">
        <f t="shared" si="13"/>
        <v/>
      </c>
      <c r="Q70" s="44">
        <f t="shared" si="14"/>
        <v>-186500</v>
      </c>
      <c r="R70" s="44">
        <f t="shared" si="15"/>
        <v>-186500</v>
      </c>
      <c r="S70" s="44">
        <f t="shared" si="16"/>
        <v>0</v>
      </c>
      <c r="T70" s="44">
        <f t="shared" si="17"/>
        <v>0</v>
      </c>
    </row>
    <row r="71" spans="1:20" s="49" customFormat="1" ht="108">
      <c r="A71" s="25" t="s">
        <v>138</v>
      </c>
      <c r="B71" s="25" t="s">
        <v>139</v>
      </c>
      <c r="C71" s="25" t="s">
        <v>9</v>
      </c>
      <c r="D71" s="47" t="s">
        <v>140</v>
      </c>
      <c r="E71" s="42">
        <f t="shared" si="33"/>
        <v>1795515.54</v>
      </c>
      <c r="F71" s="42">
        <v>1795515.54</v>
      </c>
      <c r="G71" s="42"/>
      <c r="H71" s="42"/>
      <c r="I71" s="42">
        <f t="shared" si="36"/>
        <v>2064623.27</v>
      </c>
      <c r="J71" s="42">
        <v>2064623.27</v>
      </c>
      <c r="K71" s="42"/>
      <c r="L71" s="42"/>
      <c r="M71" s="80">
        <f t="shared" si="11"/>
        <v>1.1498776947371896</v>
      </c>
      <c r="N71" s="80">
        <f t="shared" si="12"/>
        <v>1.1498776947371896</v>
      </c>
      <c r="O71" s="80" t="str">
        <f t="shared" si="20"/>
        <v/>
      </c>
      <c r="P71" s="80" t="str">
        <f t="shared" si="13"/>
        <v/>
      </c>
      <c r="Q71" s="44">
        <f t="shared" si="14"/>
        <v>269107.73</v>
      </c>
      <c r="R71" s="44">
        <f t="shared" si="15"/>
        <v>269107.73</v>
      </c>
      <c r="S71" s="44">
        <f t="shared" si="16"/>
        <v>0</v>
      </c>
      <c r="T71" s="44">
        <f t="shared" si="17"/>
        <v>0</v>
      </c>
    </row>
    <row r="72" spans="1:20" s="49" customFormat="1" ht="72">
      <c r="A72" s="25" t="s">
        <v>175</v>
      </c>
      <c r="B72" s="25" t="s">
        <v>176</v>
      </c>
      <c r="C72" s="25" t="s">
        <v>9</v>
      </c>
      <c r="D72" s="47" t="s">
        <v>177</v>
      </c>
      <c r="E72" s="42">
        <f t="shared" ref="E72:E79" si="37">F72+G72</f>
        <v>24334.05</v>
      </c>
      <c r="F72" s="42">
        <v>24334.05</v>
      </c>
      <c r="G72" s="42"/>
      <c r="H72" s="42"/>
      <c r="I72" s="42">
        <f t="shared" si="36"/>
        <v>27368.9</v>
      </c>
      <c r="J72" s="42">
        <v>27368.9</v>
      </c>
      <c r="K72" s="42"/>
      <c r="L72" s="42"/>
      <c r="M72" s="80">
        <f t="shared" si="11"/>
        <v>1.124716189865641</v>
      </c>
      <c r="N72" s="80">
        <f t="shared" si="12"/>
        <v>1.124716189865641</v>
      </c>
      <c r="O72" s="80" t="str">
        <f t="shared" si="20"/>
        <v/>
      </c>
      <c r="P72" s="80" t="str">
        <f t="shared" si="13"/>
        <v/>
      </c>
      <c r="Q72" s="44">
        <f t="shared" si="14"/>
        <v>3034.8500000000022</v>
      </c>
      <c r="R72" s="44">
        <f t="shared" si="15"/>
        <v>3034.8500000000022</v>
      </c>
      <c r="S72" s="44">
        <f t="shared" si="16"/>
        <v>0</v>
      </c>
      <c r="T72" s="44">
        <f t="shared" si="17"/>
        <v>0</v>
      </c>
    </row>
    <row r="73" spans="1:20" s="49" customFormat="1" ht="90">
      <c r="A73" s="25" t="s">
        <v>141</v>
      </c>
      <c r="B73" s="25" t="s">
        <v>142</v>
      </c>
      <c r="C73" s="25" t="s">
        <v>27</v>
      </c>
      <c r="D73" s="47" t="s">
        <v>143</v>
      </c>
      <c r="E73" s="42">
        <f t="shared" si="37"/>
        <v>801757.99</v>
      </c>
      <c r="F73" s="42">
        <v>801757.99</v>
      </c>
      <c r="G73" s="42"/>
      <c r="H73" s="42"/>
      <c r="I73" s="42">
        <f t="shared" si="36"/>
        <v>789835.65</v>
      </c>
      <c r="J73" s="42">
        <v>789835.65</v>
      </c>
      <c r="K73" s="42"/>
      <c r="L73" s="42"/>
      <c r="M73" s="80">
        <f t="shared" si="11"/>
        <v>0.98512975218369825</v>
      </c>
      <c r="N73" s="80">
        <f t="shared" si="12"/>
        <v>0.98512975218369825</v>
      </c>
      <c r="O73" s="80" t="str">
        <f t="shared" si="20"/>
        <v/>
      </c>
      <c r="P73" s="80" t="str">
        <f t="shared" si="13"/>
        <v/>
      </c>
      <c r="Q73" s="44">
        <f t="shared" si="14"/>
        <v>-11922.339999999967</v>
      </c>
      <c r="R73" s="44">
        <f t="shared" si="15"/>
        <v>-11922.339999999967</v>
      </c>
      <c r="S73" s="44">
        <f t="shared" si="16"/>
        <v>0</v>
      </c>
      <c r="T73" s="44">
        <f t="shared" si="17"/>
        <v>0</v>
      </c>
    </row>
    <row r="74" spans="1:20" s="49" customFormat="1" ht="54">
      <c r="A74" s="25" t="s">
        <v>144</v>
      </c>
      <c r="B74" s="25" t="s">
        <v>145</v>
      </c>
      <c r="C74" s="25" t="s">
        <v>13</v>
      </c>
      <c r="D74" s="47" t="s">
        <v>146</v>
      </c>
      <c r="E74" s="42">
        <f t="shared" si="37"/>
        <v>34268.01</v>
      </c>
      <c r="F74" s="42">
        <v>34268.01</v>
      </c>
      <c r="G74" s="42"/>
      <c r="H74" s="42"/>
      <c r="I74" s="42">
        <f t="shared" si="36"/>
        <v>35123.620000000003</v>
      </c>
      <c r="J74" s="42">
        <v>35123.620000000003</v>
      </c>
      <c r="K74" s="42"/>
      <c r="L74" s="42"/>
      <c r="M74" s="80">
        <f t="shared" ref="M74:M137" si="38">IFERROR((I74/E74),"")</f>
        <v>1.0249681846129963</v>
      </c>
      <c r="N74" s="80">
        <f t="shared" ref="N74:N137" si="39">IFERROR((J74/F74),"")</f>
        <v>1.0249681846129963</v>
      </c>
      <c r="O74" s="80" t="str">
        <f t="shared" ref="O74:O137" si="40">IFERROR((K74/G74),"")</f>
        <v/>
      </c>
      <c r="P74" s="80" t="str">
        <f t="shared" ref="P74:P137" si="41">IFERROR((L74/H74),"")</f>
        <v/>
      </c>
      <c r="Q74" s="44">
        <f t="shared" ref="Q74:Q137" si="42">I74-E74</f>
        <v>855.61000000000058</v>
      </c>
      <c r="R74" s="44">
        <f t="shared" ref="R74:R137" si="43">J74-F74</f>
        <v>855.61000000000058</v>
      </c>
      <c r="S74" s="44">
        <f t="shared" ref="S74:S137" si="44">K74-G74</f>
        <v>0</v>
      </c>
      <c r="T74" s="44">
        <f t="shared" ref="T74:T137" si="45">L74-H74</f>
        <v>0</v>
      </c>
    </row>
    <row r="75" spans="1:20" s="49" customFormat="1" ht="409.6">
      <c r="A75" s="98" t="s">
        <v>339</v>
      </c>
      <c r="B75" s="99">
        <v>3221</v>
      </c>
      <c r="C75" s="99">
        <v>1060</v>
      </c>
      <c r="D75" s="100" t="s">
        <v>340</v>
      </c>
      <c r="E75" s="42">
        <f t="shared" si="37"/>
        <v>2353299.9500000002</v>
      </c>
      <c r="F75" s="42"/>
      <c r="G75" s="42">
        <v>2353299.9500000002</v>
      </c>
      <c r="H75" s="42">
        <f>G75</f>
        <v>2353299.9500000002</v>
      </c>
      <c r="I75" s="42">
        <f t="shared" si="36"/>
        <v>1859157.58</v>
      </c>
      <c r="J75" s="42"/>
      <c r="K75" s="42">
        <v>1859157.58</v>
      </c>
      <c r="L75" s="42">
        <f>K75</f>
        <v>1859157.58</v>
      </c>
      <c r="M75" s="80">
        <f t="shared" si="38"/>
        <v>0.79002151000768084</v>
      </c>
      <c r="N75" s="80" t="str">
        <f t="shared" si="39"/>
        <v/>
      </c>
      <c r="O75" s="80">
        <f t="shared" si="40"/>
        <v>0.79002151000768084</v>
      </c>
      <c r="P75" s="80">
        <f t="shared" si="41"/>
        <v>0.79002151000768084</v>
      </c>
      <c r="Q75" s="44">
        <f t="shared" si="42"/>
        <v>-494142.37000000011</v>
      </c>
      <c r="R75" s="44">
        <f t="shared" si="43"/>
        <v>0</v>
      </c>
      <c r="S75" s="44">
        <f t="shared" si="44"/>
        <v>-494142.37000000011</v>
      </c>
      <c r="T75" s="44">
        <f t="shared" si="45"/>
        <v>-494142.37000000011</v>
      </c>
    </row>
    <row r="76" spans="1:20" s="49" customFormat="1" ht="288">
      <c r="A76" s="98" t="s">
        <v>341</v>
      </c>
      <c r="B76" s="99">
        <v>3223</v>
      </c>
      <c r="C76" s="99">
        <v>1060</v>
      </c>
      <c r="D76" s="100" t="s">
        <v>342</v>
      </c>
      <c r="E76" s="42">
        <f t="shared" si="37"/>
        <v>2240531.87</v>
      </c>
      <c r="F76" s="42"/>
      <c r="G76" s="42">
        <v>2240531.87</v>
      </c>
      <c r="H76" s="42">
        <f>G76</f>
        <v>2240531.87</v>
      </c>
      <c r="I76" s="42">
        <f t="shared" si="36"/>
        <v>4741071.4400000004</v>
      </c>
      <c r="J76" s="42"/>
      <c r="K76" s="42">
        <v>4741071.4400000004</v>
      </c>
      <c r="L76" s="42">
        <v>4741071.4400000004</v>
      </c>
      <c r="M76" s="80">
        <f t="shared" si="38"/>
        <v>2.1160473115698193</v>
      </c>
      <c r="N76" s="80" t="str">
        <f t="shared" si="39"/>
        <v/>
      </c>
      <c r="O76" s="80">
        <f t="shared" si="40"/>
        <v>2.1160473115698193</v>
      </c>
      <c r="P76" s="80">
        <f t="shared" si="41"/>
        <v>2.1160473115698193</v>
      </c>
      <c r="Q76" s="44">
        <f t="shared" si="42"/>
        <v>2500539.5700000003</v>
      </c>
      <c r="R76" s="44">
        <f t="shared" si="43"/>
        <v>0</v>
      </c>
      <c r="S76" s="44">
        <f t="shared" si="44"/>
        <v>2500539.5700000003</v>
      </c>
      <c r="T76" s="44">
        <f t="shared" si="45"/>
        <v>2500539.5700000003</v>
      </c>
    </row>
    <row r="77" spans="1:20" s="49" customFormat="1" ht="54">
      <c r="A77" s="24" t="s">
        <v>242</v>
      </c>
      <c r="B77" s="23">
        <v>3230</v>
      </c>
      <c r="C77" s="23">
        <v>1070</v>
      </c>
      <c r="D77" s="79" t="s">
        <v>243</v>
      </c>
      <c r="E77" s="42">
        <f t="shared" si="37"/>
        <v>2768919.7399999998</v>
      </c>
      <c r="F77" s="42">
        <v>273663.65000000002</v>
      </c>
      <c r="G77" s="42">
        <v>2495256.09</v>
      </c>
      <c r="H77" s="42"/>
      <c r="I77" s="42">
        <f t="shared" si="36"/>
        <v>692095.5</v>
      </c>
      <c r="J77" s="42">
        <v>122680</v>
      </c>
      <c r="K77" s="42">
        <f>569415.5</f>
        <v>569415.5</v>
      </c>
      <c r="L77" s="42"/>
      <c r="M77" s="80">
        <f t="shared" si="38"/>
        <v>0.24995144857467053</v>
      </c>
      <c r="N77" s="80">
        <f t="shared" si="39"/>
        <v>0.44828752375406816</v>
      </c>
      <c r="O77" s="80">
        <f t="shared" si="40"/>
        <v>0.22819922262969011</v>
      </c>
      <c r="P77" s="80" t="str">
        <f t="shared" si="41"/>
        <v/>
      </c>
      <c r="Q77" s="44">
        <f t="shared" si="42"/>
        <v>-2076824.2399999998</v>
      </c>
      <c r="R77" s="44">
        <f t="shared" si="43"/>
        <v>-150983.65000000002</v>
      </c>
      <c r="S77" s="44">
        <f t="shared" si="44"/>
        <v>-1925840.5899999999</v>
      </c>
      <c r="T77" s="44">
        <f t="shared" si="45"/>
        <v>0</v>
      </c>
    </row>
    <row r="78" spans="1:20" s="49" customFormat="1" ht="36">
      <c r="A78" s="25" t="s">
        <v>151</v>
      </c>
      <c r="B78" s="25" t="s">
        <v>147</v>
      </c>
      <c r="C78" s="25" t="s">
        <v>4</v>
      </c>
      <c r="D78" s="47" t="s">
        <v>148</v>
      </c>
      <c r="E78" s="42">
        <f t="shared" si="37"/>
        <v>27336345.140000001</v>
      </c>
      <c r="F78" s="42">
        <v>25806897.719999999</v>
      </c>
      <c r="G78" s="42">
        <v>1529447.42</v>
      </c>
      <c r="H78" s="42"/>
      <c r="I78" s="42">
        <f t="shared" si="36"/>
        <v>29038804.93</v>
      </c>
      <c r="J78" s="42">
        <f>28463254.45+480436.8</f>
        <v>28943691.25</v>
      </c>
      <c r="K78" s="42">
        <f>95113.68</f>
        <v>95113.68</v>
      </c>
      <c r="L78" s="42"/>
      <c r="M78" s="80">
        <f t="shared" si="38"/>
        <v>1.0622782519492289</v>
      </c>
      <c r="N78" s="80">
        <f t="shared" si="39"/>
        <v>1.1215486481185621</v>
      </c>
      <c r="O78" s="80">
        <f t="shared" si="40"/>
        <v>6.2188264046370421E-2</v>
      </c>
      <c r="P78" s="80" t="str">
        <f t="shared" si="41"/>
        <v/>
      </c>
      <c r="Q78" s="44">
        <f t="shared" si="42"/>
        <v>1702459.7899999991</v>
      </c>
      <c r="R78" s="44">
        <f t="shared" si="43"/>
        <v>3136793.5300000012</v>
      </c>
      <c r="S78" s="44">
        <f t="shared" si="44"/>
        <v>-1434333.74</v>
      </c>
      <c r="T78" s="44">
        <f t="shared" si="45"/>
        <v>0</v>
      </c>
    </row>
    <row r="79" spans="1:20" s="49" customFormat="1" ht="54">
      <c r="A79" s="24" t="s">
        <v>303</v>
      </c>
      <c r="B79" s="24" t="s">
        <v>304</v>
      </c>
      <c r="C79" s="24" t="s">
        <v>5</v>
      </c>
      <c r="D79" s="79" t="s">
        <v>136</v>
      </c>
      <c r="E79" s="42">
        <f t="shared" si="37"/>
        <v>96000</v>
      </c>
      <c r="F79" s="42">
        <v>96000</v>
      </c>
      <c r="G79" s="42"/>
      <c r="H79" s="42"/>
      <c r="I79" s="42">
        <f t="shared" si="36"/>
        <v>0</v>
      </c>
      <c r="J79" s="42"/>
      <c r="K79" s="42"/>
      <c r="L79" s="42"/>
      <c r="M79" s="80">
        <f t="shared" si="38"/>
        <v>0</v>
      </c>
      <c r="N79" s="80">
        <f t="shared" si="39"/>
        <v>0</v>
      </c>
      <c r="O79" s="80" t="str">
        <f t="shared" si="40"/>
        <v/>
      </c>
      <c r="P79" s="80" t="str">
        <f t="shared" si="41"/>
        <v/>
      </c>
      <c r="Q79" s="44">
        <f t="shared" si="42"/>
        <v>-96000</v>
      </c>
      <c r="R79" s="44">
        <f t="shared" si="43"/>
        <v>-96000</v>
      </c>
      <c r="S79" s="44">
        <f t="shared" si="44"/>
        <v>0</v>
      </c>
      <c r="T79" s="44">
        <f t="shared" si="45"/>
        <v>0</v>
      </c>
    </row>
    <row r="80" spans="1:20" s="32" customFormat="1" ht="52.2">
      <c r="A80" s="29" t="s">
        <v>281</v>
      </c>
      <c r="B80" s="38" t="s">
        <v>282</v>
      </c>
      <c r="C80" s="38" t="s">
        <v>282</v>
      </c>
      <c r="D80" s="20" t="s">
        <v>283</v>
      </c>
      <c r="E80" s="41">
        <f t="shared" ref="E80:L80" si="46">E81</f>
        <v>599080.92000000004</v>
      </c>
      <c r="F80" s="41">
        <f t="shared" si="46"/>
        <v>564080.92000000004</v>
      </c>
      <c r="G80" s="41">
        <f t="shared" si="46"/>
        <v>35000</v>
      </c>
      <c r="H80" s="41">
        <f t="shared" si="46"/>
        <v>35000</v>
      </c>
      <c r="I80" s="41">
        <f>J80+K80</f>
        <v>1822753.82</v>
      </c>
      <c r="J80" s="41">
        <f t="shared" si="46"/>
        <v>1822753.82</v>
      </c>
      <c r="K80" s="41">
        <f t="shared" si="46"/>
        <v>0</v>
      </c>
      <c r="L80" s="41">
        <f t="shared" si="46"/>
        <v>0</v>
      </c>
      <c r="M80" s="11" t="s">
        <v>360</v>
      </c>
      <c r="N80" s="11" t="s">
        <v>360</v>
      </c>
      <c r="O80" s="11">
        <f t="shared" si="40"/>
        <v>0</v>
      </c>
      <c r="P80" s="11">
        <f t="shared" si="41"/>
        <v>0</v>
      </c>
      <c r="Q80" s="45">
        <f t="shared" si="42"/>
        <v>1223672.8999999999</v>
      </c>
      <c r="R80" s="45">
        <f t="shared" si="43"/>
        <v>1258672.8999999999</v>
      </c>
      <c r="S80" s="45">
        <f t="shared" si="44"/>
        <v>-35000</v>
      </c>
      <c r="T80" s="45">
        <f t="shared" si="45"/>
        <v>-35000</v>
      </c>
    </row>
    <row r="81" spans="1:20" s="32" customFormat="1" ht="52.2">
      <c r="A81" s="29" t="s">
        <v>284</v>
      </c>
      <c r="B81" s="38" t="s">
        <v>282</v>
      </c>
      <c r="C81" s="38" t="s">
        <v>282</v>
      </c>
      <c r="D81" s="20" t="s">
        <v>283</v>
      </c>
      <c r="E81" s="41">
        <f t="shared" ref="E81:E83" si="47">F81+G81</f>
        <v>599080.92000000004</v>
      </c>
      <c r="F81" s="41">
        <f>F82+F83</f>
        <v>564080.92000000004</v>
      </c>
      <c r="G81" s="41">
        <f>G82+G83</f>
        <v>35000</v>
      </c>
      <c r="H81" s="41">
        <f>H82+H83</f>
        <v>35000</v>
      </c>
      <c r="I81" s="41">
        <f t="shared" ref="I81:I83" si="48">J81+K81</f>
        <v>1822753.82</v>
      </c>
      <c r="J81" s="41">
        <f t="shared" ref="J81:L81" si="49">J82+J83</f>
        <v>1822753.82</v>
      </c>
      <c r="K81" s="41">
        <f t="shared" si="49"/>
        <v>0</v>
      </c>
      <c r="L81" s="41">
        <f t="shared" si="49"/>
        <v>0</v>
      </c>
      <c r="M81" s="11" t="s">
        <v>360</v>
      </c>
      <c r="N81" s="11" t="s">
        <v>360</v>
      </c>
      <c r="O81" s="11">
        <f t="shared" si="40"/>
        <v>0</v>
      </c>
      <c r="P81" s="11">
        <f t="shared" si="41"/>
        <v>0</v>
      </c>
      <c r="Q81" s="45">
        <f t="shared" si="42"/>
        <v>1223672.8999999999</v>
      </c>
      <c r="R81" s="45">
        <f t="shared" si="43"/>
        <v>1258672.8999999999</v>
      </c>
      <c r="S81" s="45">
        <f t="shared" si="44"/>
        <v>-35000</v>
      </c>
      <c r="T81" s="45">
        <f t="shared" si="45"/>
        <v>-35000</v>
      </c>
    </row>
    <row r="82" spans="1:20" s="49" customFormat="1" ht="54">
      <c r="A82" s="24" t="s">
        <v>285</v>
      </c>
      <c r="B82" s="23" t="s">
        <v>58</v>
      </c>
      <c r="C82" s="23" t="s">
        <v>3</v>
      </c>
      <c r="D82" s="79" t="s">
        <v>235</v>
      </c>
      <c r="E82" s="42">
        <f t="shared" si="47"/>
        <v>591081.04</v>
      </c>
      <c r="F82" s="42">
        <v>556081.04</v>
      </c>
      <c r="G82" s="42">
        <v>35000</v>
      </c>
      <c r="H82" s="42">
        <v>35000</v>
      </c>
      <c r="I82" s="42">
        <f t="shared" si="48"/>
        <v>1747261.82</v>
      </c>
      <c r="J82" s="42">
        <v>1747261.82</v>
      </c>
      <c r="K82" s="42"/>
      <c r="L82" s="42"/>
      <c r="M82" s="80" t="s">
        <v>360</v>
      </c>
      <c r="N82" s="80" t="s">
        <v>360</v>
      </c>
      <c r="O82" s="80">
        <f t="shared" si="40"/>
        <v>0</v>
      </c>
      <c r="P82" s="80">
        <f t="shared" si="41"/>
        <v>0</v>
      </c>
      <c r="Q82" s="44">
        <f t="shared" si="42"/>
        <v>1156180.78</v>
      </c>
      <c r="R82" s="44">
        <f t="shared" si="43"/>
        <v>1191180.78</v>
      </c>
      <c r="S82" s="44">
        <f t="shared" si="44"/>
        <v>-35000</v>
      </c>
      <c r="T82" s="44">
        <f t="shared" si="45"/>
        <v>-35000</v>
      </c>
    </row>
    <row r="83" spans="1:20" s="49" customFormat="1" ht="36">
      <c r="A83" s="24" t="s">
        <v>286</v>
      </c>
      <c r="B83" s="23" t="s">
        <v>34</v>
      </c>
      <c r="C83" s="23" t="s">
        <v>17</v>
      </c>
      <c r="D83" s="79" t="s">
        <v>43</v>
      </c>
      <c r="E83" s="42">
        <f t="shared" si="47"/>
        <v>7999.88</v>
      </c>
      <c r="F83" s="42">
        <v>7999.88</v>
      </c>
      <c r="G83" s="42"/>
      <c r="H83" s="42"/>
      <c r="I83" s="42">
        <f t="shared" si="48"/>
        <v>75492</v>
      </c>
      <c r="J83" s="42">
        <v>75492</v>
      </c>
      <c r="K83" s="42"/>
      <c r="L83" s="42"/>
      <c r="M83" s="80" t="s">
        <v>356</v>
      </c>
      <c r="N83" s="80" t="s">
        <v>356</v>
      </c>
      <c r="O83" s="80" t="str">
        <f t="shared" si="40"/>
        <v/>
      </c>
      <c r="P83" s="80" t="str">
        <f t="shared" si="41"/>
        <v/>
      </c>
      <c r="Q83" s="44">
        <f t="shared" si="42"/>
        <v>67492.12</v>
      </c>
      <c r="R83" s="44">
        <f t="shared" si="43"/>
        <v>67492.12</v>
      </c>
      <c r="S83" s="44">
        <f t="shared" si="44"/>
        <v>0</v>
      </c>
      <c r="T83" s="44">
        <f t="shared" si="45"/>
        <v>0</v>
      </c>
    </row>
    <row r="84" spans="1:20" s="32" customFormat="1" ht="34.799999999999997">
      <c r="A84" s="27" t="s">
        <v>76</v>
      </c>
      <c r="B84" s="27"/>
      <c r="C84" s="27"/>
      <c r="D84" s="10" t="s">
        <v>211</v>
      </c>
      <c r="E84" s="41">
        <f t="shared" ref="E84:L84" si="50">E85</f>
        <v>34130004.25</v>
      </c>
      <c r="F84" s="41">
        <f t="shared" si="50"/>
        <v>33507141.850000001</v>
      </c>
      <c r="G84" s="41">
        <f t="shared" si="50"/>
        <v>622862.4</v>
      </c>
      <c r="H84" s="41">
        <f t="shared" si="50"/>
        <v>94000</v>
      </c>
      <c r="I84" s="41">
        <f t="shared" si="50"/>
        <v>38125968.25</v>
      </c>
      <c r="J84" s="41">
        <f t="shared" si="50"/>
        <v>37504034.560000002</v>
      </c>
      <c r="K84" s="41">
        <f t="shared" si="50"/>
        <v>621933.68999999994</v>
      </c>
      <c r="L84" s="41">
        <f t="shared" si="50"/>
        <v>0</v>
      </c>
      <c r="M84" s="11">
        <f t="shared" si="38"/>
        <v>1.1170806768944366</v>
      </c>
      <c r="N84" s="11">
        <f t="shared" si="39"/>
        <v>1.1192847998761792</v>
      </c>
      <c r="O84" s="11">
        <f t="shared" si="40"/>
        <v>0.99850896441974968</v>
      </c>
      <c r="P84" s="11">
        <f t="shared" si="41"/>
        <v>0</v>
      </c>
      <c r="Q84" s="45">
        <f t="shared" si="42"/>
        <v>3995964</v>
      </c>
      <c r="R84" s="45">
        <f t="shared" si="43"/>
        <v>3996892.7100000009</v>
      </c>
      <c r="S84" s="45">
        <f t="shared" si="44"/>
        <v>-928.71000000007916</v>
      </c>
      <c r="T84" s="45">
        <f t="shared" si="45"/>
        <v>-94000</v>
      </c>
    </row>
    <row r="85" spans="1:20" s="32" customFormat="1" ht="34.799999999999997">
      <c r="A85" s="27" t="s">
        <v>77</v>
      </c>
      <c r="B85" s="27"/>
      <c r="C85" s="27"/>
      <c r="D85" s="10" t="s">
        <v>211</v>
      </c>
      <c r="E85" s="41">
        <f t="shared" ref="E85:E94" si="51">F85+G85</f>
        <v>34130004.25</v>
      </c>
      <c r="F85" s="41">
        <f>F86+F88+F90+F91+F92+F93+F94+F87+F89</f>
        <v>33507141.850000001</v>
      </c>
      <c r="G85" s="41">
        <f t="shared" ref="G85:H85" si="52">G86+G88+G90+G91+G92+G93+G94+G87+G89</f>
        <v>622862.4</v>
      </c>
      <c r="H85" s="41">
        <f t="shared" si="52"/>
        <v>94000</v>
      </c>
      <c r="I85" s="41">
        <f t="shared" si="36"/>
        <v>38125968.25</v>
      </c>
      <c r="J85" s="41">
        <f>J86+J88+J90+J91+J92+J93+J94+J87+J89</f>
        <v>37504034.560000002</v>
      </c>
      <c r="K85" s="41">
        <f t="shared" ref="K85:L85" si="53">K86+K88+K90+K91+K92+K93+K94+K87+K89</f>
        <v>621933.68999999994</v>
      </c>
      <c r="L85" s="41">
        <f t="shared" si="53"/>
        <v>0</v>
      </c>
      <c r="M85" s="11">
        <f t="shared" si="38"/>
        <v>1.1170806768944366</v>
      </c>
      <c r="N85" s="11">
        <f t="shared" si="39"/>
        <v>1.1192847998761792</v>
      </c>
      <c r="O85" s="11">
        <f t="shared" si="40"/>
        <v>0.99850896441974968</v>
      </c>
      <c r="P85" s="11">
        <f t="shared" si="41"/>
        <v>0</v>
      </c>
      <c r="Q85" s="45">
        <f t="shared" si="42"/>
        <v>3995964</v>
      </c>
      <c r="R85" s="45">
        <f t="shared" si="43"/>
        <v>3996892.7100000009</v>
      </c>
      <c r="S85" s="45">
        <f t="shared" si="44"/>
        <v>-928.71000000007916</v>
      </c>
      <c r="T85" s="45">
        <f t="shared" si="45"/>
        <v>-94000</v>
      </c>
    </row>
    <row r="86" spans="1:20" s="49" customFormat="1" ht="54">
      <c r="A86" s="25" t="s">
        <v>78</v>
      </c>
      <c r="B86" s="25" t="s">
        <v>58</v>
      </c>
      <c r="C86" s="25" t="s">
        <v>3</v>
      </c>
      <c r="D86" s="26" t="s">
        <v>235</v>
      </c>
      <c r="E86" s="42">
        <f t="shared" si="51"/>
        <v>598722.81999999995</v>
      </c>
      <c r="F86" s="42">
        <v>598722.81999999995</v>
      </c>
      <c r="G86" s="42"/>
      <c r="H86" s="42"/>
      <c r="I86" s="42">
        <f t="shared" si="36"/>
        <v>696566.11</v>
      </c>
      <c r="J86" s="42">
        <v>696566.11</v>
      </c>
      <c r="K86" s="42"/>
      <c r="L86" s="42"/>
      <c r="M86" s="80">
        <f t="shared" si="38"/>
        <v>1.1634200112833515</v>
      </c>
      <c r="N86" s="80">
        <f t="shared" si="39"/>
        <v>1.1634200112833515</v>
      </c>
      <c r="O86" s="80" t="str">
        <f t="shared" si="40"/>
        <v/>
      </c>
      <c r="P86" s="80" t="str">
        <f t="shared" si="41"/>
        <v/>
      </c>
      <c r="Q86" s="44">
        <f t="shared" si="42"/>
        <v>97843.290000000037</v>
      </c>
      <c r="R86" s="44">
        <f t="shared" si="43"/>
        <v>97843.290000000037</v>
      </c>
      <c r="S86" s="44">
        <f t="shared" si="44"/>
        <v>0</v>
      </c>
      <c r="T86" s="44">
        <f t="shared" si="45"/>
        <v>0</v>
      </c>
    </row>
    <row r="87" spans="1:20" s="49" customFormat="1" ht="36">
      <c r="A87" s="23" t="s">
        <v>263</v>
      </c>
      <c r="B87" s="23" t="s">
        <v>8</v>
      </c>
      <c r="C87" s="23" t="s">
        <v>6</v>
      </c>
      <c r="D87" s="79" t="s">
        <v>108</v>
      </c>
      <c r="E87" s="42">
        <f t="shared" si="51"/>
        <v>149904</v>
      </c>
      <c r="F87" s="42">
        <v>149904</v>
      </c>
      <c r="G87" s="42"/>
      <c r="H87" s="42"/>
      <c r="I87" s="42">
        <f t="shared" si="36"/>
        <v>94810</v>
      </c>
      <c r="J87" s="42">
        <v>94810</v>
      </c>
      <c r="K87" s="42"/>
      <c r="L87" s="42"/>
      <c r="M87" s="80">
        <f t="shared" si="38"/>
        <v>0.63247144839363856</v>
      </c>
      <c r="N87" s="80">
        <f t="shared" si="39"/>
        <v>0.63247144839363856</v>
      </c>
      <c r="O87" s="80" t="str">
        <f t="shared" si="40"/>
        <v/>
      </c>
      <c r="P87" s="80" t="str">
        <f t="shared" si="41"/>
        <v/>
      </c>
      <c r="Q87" s="44">
        <f t="shared" si="42"/>
        <v>-55094</v>
      </c>
      <c r="R87" s="44">
        <f t="shared" si="43"/>
        <v>-55094</v>
      </c>
      <c r="S87" s="44">
        <f t="shared" si="44"/>
        <v>0</v>
      </c>
      <c r="T87" s="44">
        <f t="shared" si="45"/>
        <v>0</v>
      </c>
    </row>
    <row r="88" spans="1:20" s="49" customFormat="1" ht="36">
      <c r="A88" s="25" t="s">
        <v>194</v>
      </c>
      <c r="B88" s="25" t="s">
        <v>195</v>
      </c>
      <c r="C88" s="25" t="s">
        <v>15</v>
      </c>
      <c r="D88" s="16" t="s">
        <v>193</v>
      </c>
      <c r="E88" s="42">
        <f t="shared" si="51"/>
        <v>15800238.859999999</v>
      </c>
      <c r="F88" s="42">
        <v>15610216.689999999</v>
      </c>
      <c r="G88" s="44">
        <v>190022.17</v>
      </c>
      <c r="H88" s="44"/>
      <c r="I88" s="42">
        <f t="shared" si="36"/>
        <v>18042228.699999999</v>
      </c>
      <c r="J88" s="42">
        <v>17561254.289999999</v>
      </c>
      <c r="K88" s="44">
        <f>298964.41+182010</f>
        <v>480974.41</v>
      </c>
      <c r="L88" s="44"/>
      <c r="M88" s="80">
        <f t="shared" si="38"/>
        <v>1.1418959459958442</v>
      </c>
      <c r="N88" s="80">
        <f t="shared" si="39"/>
        <v>1.1249846583647904</v>
      </c>
      <c r="O88" s="80">
        <f t="shared" si="40"/>
        <v>2.5311489180446678</v>
      </c>
      <c r="P88" s="80" t="str">
        <f t="shared" si="41"/>
        <v/>
      </c>
      <c r="Q88" s="44">
        <f t="shared" si="42"/>
        <v>2241989.84</v>
      </c>
      <c r="R88" s="44">
        <f t="shared" si="43"/>
        <v>1951037.5999999996</v>
      </c>
      <c r="S88" s="44">
        <f t="shared" si="44"/>
        <v>290952.24</v>
      </c>
      <c r="T88" s="44">
        <f t="shared" si="45"/>
        <v>0</v>
      </c>
    </row>
    <row r="89" spans="1:20" s="49" customFormat="1" ht="90">
      <c r="A89" s="69">
        <v>1013140</v>
      </c>
      <c r="B89" s="69">
        <v>3140</v>
      </c>
      <c r="C89" s="69">
        <v>1040</v>
      </c>
      <c r="D89" s="55" t="s">
        <v>301</v>
      </c>
      <c r="E89" s="42">
        <f t="shared" si="51"/>
        <v>120000</v>
      </c>
      <c r="F89" s="42">
        <v>120000</v>
      </c>
      <c r="G89" s="44"/>
      <c r="H89" s="44"/>
      <c r="I89" s="42">
        <f t="shared" si="36"/>
        <v>149320</v>
      </c>
      <c r="J89" s="42">
        <v>149320</v>
      </c>
      <c r="K89" s="44"/>
      <c r="L89" s="44"/>
      <c r="M89" s="80">
        <f t="shared" si="38"/>
        <v>1.2443333333333333</v>
      </c>
      <c r="N89" s="80">
        <f t="shared" si="39"/>
        <v>1.2443333333333333</v>
      </c>
      <c r="O89" s="80" t="str">
        <f t="shared" si="40"/>
        <v/>
      </c>
      <c r="P89" s="80" t="str">
        <f t="shared" si="41"/>
        <v/>
      </c>
      <c r="Q89" s="44">
        <f t="shared" si="42"/>
        <v>29320</v>
      </c>
      <c r="R89" s="44">
        <f t="shared" si="43"/>
        <v>29320</v>
      </c>
      <c r="S89" s="44">
        <f t="shared" si="44"/>
        <v>0</v>
      </c>
      <c r="T89" s="44">
        <f t="shared" si="45"/>
        <v>0</v>
      </c>
    </row>
    <row r="90" spans="1:20" s="49" customFormat="1">
      <c r="A90" s="25" t="s">
        <v>80</v>
      </c>
      <c r="B90" s="25" t="s">
        <v>79</v>
      </c>
      <c r="C90" s="25" t="s">
        <v>36</v>
      </c>
      <c r="D90" s="47" t="s">
        <v>81</v>
      </c>
      <c r="E90" s="42">
        <f t="shared" si="51"/>
        <v>5583935.9800000004</v>
      </c>
      <c r="F90" s="42">
        <v>5467147.9800000004</v>
      </c>
      <c r="G90" s="44">
        <v>116788</v>
      </c>
      <c r="H90" s="44">
        <v>74000</v>
      </c>
      <c r="I90" s="42">
        <f t="shared" si="36"/>
        <v>6480643.9100000001</v>
      </c>
      <c r="J90" s="42">
        <v>6417337.4100000001</v>
      </c>
      <c r="K90" s="44">
        <v>63306.5</v>
      </c>
      <c r="L90" s="44"/>
      <c r="M90" s="80">
        <f t="shared" si="38"/>
        <v>1.1605870721318692</v>
      </c>
      <c r="N90" s="80">
        <f t="shared" si="39"/>
        <v>1.1737998374062668</v>
      </c>
      <c r="O90" s="80">
        <f t="shared" si="40"/>
        <v>0.54206339692434158</v>
      </c>
      <c r="P90" s="80">
        <f t="shared" si="41"/>
        <v>0</v>
      </c>
      <c r="Q90" s="44">
        <f t="shared" si="42"/>
        <v>896707.9299999997</v>
      </c>
      <c r="R90" s="44">
        <f t="shared" si="43"/>
        <v>950189.4299999997</v>
      </c>
      <c r="S90" s="44">
        <f t="shared" si="44"/>
        <v>-53481.5</v>
      </c>
      <c r="T90" s="44">
        <f t="shared" si="45"/>
        <v>-74000</v>
      </c>
    </row>
    <row r="91" spans="1:20" s="49" customFormat="1">
      <c r="A91" s="25" t="s">
        <v>83</v>
      </c>
      <c r="B91" s="25" t="s">
        <v>82</v>
      </c>
      <c r="C91" s="25" t="s">
        <v>36</v>
      </c>
      <c r="D91" s="47" t="s">
        <v>84</v>
      </c>
      <c r="E91" s="42">
        <f t="shared" si="51"/>
        <v>2616995</v>
      </c>
      <c r="F91" s="42">
        <v>2570472.02</v>
      </c>
      <c r="G91" s="44">
        <v>46522.979999999996</v>
      </c>
      <c r="H91" s="44"/>
      <c r="I91" s="42">
        <f t="shared" si="36"/>
        <v>2739360.19</v>
      </c>
      <c r="J91" s="42">
        <v>2721682.77</v>
      </c>
      <c r="K91" s="44">
        <v>17677.419999999998</v>
      </c>
      <c r="L91" s="44"/>
      <c r="M91" s="80">
        <f t="shared" si="38"/>
        <v>1.0467578998049289</v>
      </c>
      <c r="N91" s="80">
        <f t="shared" si="39"/>
        <v>1.058826063393602</v>
      </c>
      <c r="O91" s="80">
        <f t="shared" si="40"/>
        <v>0.37997179028514511</v>
      </c>
      <c r="P91" s="80" t="str">
        <f t="shared" si="41"/>
        <v/>
      </c>
      <c r="Q91" s="44">
        <f t="shared" si="42"/>
        <v>122365.18999999994</v>
      </c>
      <c r="R91" s="44">
        <f t="shared" si="43"/>
        <v>151210.75</v>
      </c>
      <c r="S91" s="44">
        <f t="shared" si="44"/>
        <v>-28845.559999999998</v>
      </c>
      <c r="T91" s="44">
        <f t="shared" si="45"/>
        <v>0</v>
      </c>
    </row>
    <row r="92" spans="1:20" s="49" customFormat="1" ht="54">
      <c r="A92" s="25" t="s">
        <v>85</v>
      </c>
      <c r="B92" s="25" t="s">
        <v>35</v>
      </c>
      <c r="C92" s="25" t="s">
        <v>37</v>
      </c>
      <c r="D92" s="47" t="s">
        <v>86</v>
      </c>
      <c r="E92" s="42">
        <f t="shared" si="51"/>
        <v>7511736.0099999998</v>
      </c>
      <c r="F92" s="42">
        <v>7242206.7599999998</v>
      </c>
      <c r="G92" s="44">
        <v>269529.25</v>
      </c>
      <c r="H92" s="44">
        <v>20000</v>
      </c>
      <c r="I92" s="42">
        <f t="shared" si="36"/>
        <v>8055676.8900000006</v>
      </c>
      <c r="J92" s="42">
        <v>7995701.5300000003</v>
      </c>
      <c r="K92" s="44">
        <v>59975.360000000001</v>
      </c>
      <c r="L92" s="44"/>
      <c r="M92" s="80">
        <f t="shared" si="38"/>
        <v>1.0724121400533617</v>
      </c>
      <c r="N92" s="80">
        <f t="shared" si="39"/>
        <v>1.1040421510970504</v>
      </c>
      <c r="O92" s="80">
        <f t="shared" si="40"/>
        <v>0.22251892883610963</v>
      </c>
      <c r="P92" s="80">
        <f t="shared" si="41"/>
        <v>0</v>
      </c>
      <c r="Q92" s="44">
        <f t="shared" si="42"/>
        <v>543940.88000000082</v>
      </c>
      <c r="R92" s="44">
        <f t="shared" si="43"/>
        <v>753494.77000000048</v>
      </c>
      <c r="S92" s="44">
        <f t="shared" si="44"/>
        <v>-209553.89</v>
      </c>
      <c r="T92" s="44">
        <f t="shared" si="45"/>
        <v>-20000</v>
      </c>
    </row>
    <row r="93" spans="1:20" s="49" customFormat="1" ht="36">
      <c r="A93" s="25" t="s">
        <v>152</v>
      </c>
      <c r="B93" s="25" t="s">
        <v>131</v>
      </c>
      <c r="C93" s="25" t="s">
        <v>38</v>
      </c>
      <c r="D93" s="47" t="s">
        <v>132</v>
      </c>
      <c r="E93" s="42">
        <f t="shared" si="51"/>
        <v>1554786.58</v>
      </c>
      <c r="F93" s="42">
        <v>1554786.58</v>
      </c>
      <c r="G93" s="44"/>
      <c r="H93" s="44"/>
      <c r="I93" s="42">
        <f t="shared" si="36"/>
        <v>1709518.45</v>
      </c>
      <c r="J93" s="42">
        <v>1709518.45</v>
      </c>
      <c r="K93" s="44"/>
      <c r="L93" s="44"/>
      <c r="M93" s="80">
        <f t="shared" si="38"/>
        <v>1.0995196845601791</v>
      </c>
      <c r="N93" s="80">
        <f t="shared" si="39"/>
        <v>1.0995196845601791</v>
      </c>
      <c r="O93" s="80" t="str">
        <f t="shared" si="40"/>
        <v/>
      </c>
      <c r="P93" s="80" t="str">
        <f t="shared" si="41"/>
        <v/>
      </c>
      <c r="Q93" s="44">
        <f t="shared" si="42"/>
        <v>154731.86999999988</v>
      </c>
      <c r="R93" s="44">
        <f t="shared" si="43"/>
        <v>154731.86999999988</v>
      </c>
      <c r="S93" s="44">
        <f t="shared" si="44"/>
        <v>0</v>
      </c>
      <c r="T93" s="44">
        <f t="shared" si="45"/>
        <v>0</v>
      </c>
    </row>
    <row r="94" spans="1:20" s="49" customFormat="1">
      <c r="A94" s="25" t="s">
        <v>129</v>
      </c>
      <c r="B94" s="25" t="s">
        <v>130</v>
      </c>
      <c r="C94" s="25" t="s">
        <v>38</v>
      </c>
      <c r="D94" s="47" t="s">
        <v>133</v>
      </c>
      <c r="E94" s="42">
        <f t="shared" si="51"/>
        <v>193685</v>
      </c>
      <c r="F94" s="42">
        <v>193685</v>
      </c>
      <c r="G94" s="44"/>
      <c r="H94" s="44"/>
      <c r="I94" s="42">
        <f t="shared" si="36"/>
        <v>157844</v>
      </c>
      <c r="J94" s="42">
        <v>157844</v>
      </c>
      <c r="K94" s="44"/>
      <c r="L94" s="44"/>
      <c r="M94" s="80">
        <f t="shared" si="38"/>
        <v>0.81495211296693082</v>
      </c>
      <c r="N94" s="80">
        <f t="shared" si="39"/>
        <v>0.81495211296693082</v>
      </c>
      <c r="O94" s="80" t="str">
        <f t="shared" si="40"/>
        <v/>
      </c>
      <c r="P94" s="80" t="str">
        <f t="shared" si="41"/>
        <v/>
      </c>
      <c r="Q94" s="44">
        <f t="shared" si="42"/>
        <v>-35841</v>
      </c>
      <c r="R94" s="44">
        <f t="shared" si="43"/>
        <v>-35841</v>
      </c>
      <c r="S94" s="44">
        <f t="shared" si="44"/>
        <v>0</v>
      </c>
      <c r="T94" s="44">
        <f t="shared" si="45"/>
        <v>0</v>
      </c>
    </row>
    <row r="95" spans="1:20" s="32" customFormat="1" ht="52.2">
      <c r="A95" s="27" t="s">
        <v>21</v>
      </c>
      <c r="B95" s="27"/>
      <c r="C95" s="27"/>
      <c r="D95" s="10" t="s">
        <v>261</v>
      </c>
      <c r="E95" s="41">
        <f t="shared" ref="E95:L95" si="54">E96</f>
        <v>4425618.8999999994</v>
      </c>
      <c r="F95" s="41">
        <f t="shared" si="54"/>
        <v>3968887.4099999997</v>
      </c>
      <c r="G95" s="41">
        <f t="shared" si="54"/>
        <v>456731.49</v>
      </c>
      <c r="H95" s="41">
        <f t="shared" si="54"/>
        <v>99950</v>
      </c>
      <c r="I95" s="41">
        <f t="shared" si="54"/>
        <v>4962360.33</v>
      </c>
      <c r="J95" s="41">
        <f t="shared" si="54"/>
        <v>4962360.33</v>
      </c>
      <c r="K95" s="41">
        <f t="shared" si="54"/>
        <v>0</v>
      </c>
      <c r="L95" s="41">
        <f t="shared" si="54"/>
        <v>0</v>
      </c>
      <c r="M95" s="11">
        <f t="shared" si="38"/>
        <v>1.1212805354749369</v>
      </c>
      <c r="N95" s="11">
        <f t="shared" si="39"/>
        <v>1.2503152186924851</v>
      </c>
      <c r="O95" s="11">
        <f t="shared" si="40"/>
        <v>0</v>
      </c>
      <c r="P95" s="11">
        <f t="shared" si="41"/>
        <v>0</v>
      </c>
      <c r="Q95" s="45">
        <f t="shared" si="42"/>
        <v>536741.43000000063</v>
      </c>
      <c r="R95" s="45">
        <f t="shared" si="43"/>
        <v>993472.92000000039</v>
      </c>
      <c r="S95" s="45">
        <f t="shared" si="44"/>
        <v>-456731.49</v>
      </c>
      <c r="T95" s="45">
        <f t="shared" si="45"/>
        <v>-99950</v>
      </c>
    </row>
    <row r="96" spans="1:20" s="32" customFormat="1" ht="52.2">
      <c r="A96" s="27" t="s">
        <v>22</v>
      </c>
      <c r="B96" s="27"/>
      <c r="C96" s="27"/>
      <c r="D96" s="10" t="s">
        <v>262</v>
      </c>
      <c r="E96" s="41">
        <f t="shared" ref="E96:E103" si="55">F96+G96</f>
        <v>4425618.8999999994</v>
      </c>
      <c r="F96" s="41">
        <f>F97+F99+F100+F101+F103+F98+F102</f>
        <v>3968887.4099999997</v>
      </c>
      <c r="G96" s="41">
        <f t="shared" ref="G96:H96" si="56">G97+G99+G100+G101+G103+G98+G102</f>
        <v>456731.49</v>
      </c>
      <c r="H96" s="41">
        <f t="shared" si="56"/>
        <v>99950</v>
      </c>
      <c r="I96" s="41">
        <f t="shared" si="36"/>
        <v>4962360.33</v>
      </c>
      <c r="J96" s="41">
        <f>J97+J99+J100+J101+J103+J98+J102</f>
        <v>4962360.33</v>
      </c>
      <c r="K96" s="41">
        <f t="shared" ref="K96:L96" si="57">K97+K99+K100+K101+K103+K98+K102</f>
        <v>0</v>
      </c>
      <c r="L96" s="41">
        <f t="shared" si="57"/>
        <v>0</v>
      </c>
      <c r="M96" s="11">
        <f t="shared" si="38"/>
        <v>1.1212805354749369</v>
      </c>
      <c r="N96" s="11">
        <f t="shared" si="39"/>
        <v>1.2503152186924851</v>
      </c>
      <c r="O96" s="11">
        <f t="shared" si="40"/>
        <v>0</v>
      </c>
      <c r="P96" s="11">
        <f t="shared" si="41"/>
        <v>0</v>
      </c>
      <c r="Q96" s="45">
        <f t="shared" si="42"/>
        <v>536741.43000000063</v>
      </c>
      <c r="R96" s="45">
        <f t="shared" si="43"/>
        <v>993472.92000000039</v>
      </c>
      <c r="S96" s="45">
        <f t="shared" si="44"/>
        <v>-456731.49</v>
      </c>
      <c r="T96" s="45">
        <f t="shared" si="45"/>
        <v>-99950</v>
      </c>
    </row>
    <row r="97" spans="1:20" s="49" customFormat="1" ht="54">
      <c r="A97" s="25" t="s">
        <v>87</v>
      </c>
      <c r="B97" s="25" t="s">
        <v>58</v>
      </c>
      <c r="C97" s="25" t="s">
        <v>3</v>
      </c>
      <c r="D97" s="26" t="s">
        <v>235</v>
      </c>
      <c r="E97" s="42">
        <f t="shared" si="55"/>
        <v>1367659.71</v>
      </c>
      <c r="F97" s="77">
        <v>1267709.71</v>
      </c>
      <c r="G97" s="78">
        <v>99950</v>
      </c>
      <c r="H97" s="78">
        <v>99950</v>
      </c>
      <c r="I97" s="42">
        <f t="shared" si="36"/>
        <v>1500356.44</v>
      </c>
      <c r="J97" s="44">
        <v>1500356.44</v>
      </c>
      <c r="K97" s="42"/>
      <c r="L97" s="42"/>
      <c r="M97" s="80">
        <f t="shared" si="38"/>
        <v>1.0970246685120233</v>
      </c>
      <c r="N97" s="80">
        <f t="shared" si="39"/>
        <v>1.1835173527226512</v>
      </c>
      <c r="O97" s="80">
        <f t="shared" si="40"/>
        <v>0</v>
      </c>
      <c r="P97" s="80">
        <f t="shared" si="41"/>
        <v>0</v>
      </c>
      <c r="Q97" s="44">
        <f t="shared" si="42"/>
        <v>132696.72999999998</v>
      </c>
      <c r="R97" s="44">
        <f t="shared" si="43"/>
        <v>232646.72999999998</v>
      </c>
      <c r="S97" s="44">
        <f t="shared" si="44"/>
        <v>-99950</v>
      </c>
      <c r="T97" s="44">
        <f t="shared" si="45"/>
        <v>-99950</v>
      </c>
    </row>
    <row r="98" spans="1:20" s="49" customFormat="1" ht="36">
      <c r="A98" s="23" t="s">
        <v>264</v>
      </c>
      <c r="B98" s="23" t="s">
        <v>8</v>
      </c>
      <c r="C98" s="23" t="s">
        <v>6</v>
      </c>
      <c r="D98" s="79" t="s">
        <v>108</v>
      </c>
      <c r="E98" s="42">
        <f t="shared" si="55"/>
        <v>218641.23</v>
      </c>
      <c r="F98" s="77">
        <v>218641.23</v>
      </c>
      <c r="G98" s="78"/>
      <c r="H98" s="78"/>
      <c r="I98" s="42">
        <f t="shared" si="36"/>
        <v>64630</v>
      </c>
      <c r="J98" s="44">
        <v>64630</v>
      </c>
      <c r="K98" s="42"/>
      <c r="L98" s="42"/>
      <c r="M98" s="80">
        <f t="shared" si="38"/>
        <v>0.29559841023580041</v>
      </c>
      <c r="N98" s="80">
        <f t="shared" si="39"/>
        <v>0.29559841023580041</v>
      </c>
      <c r="O98" s="80" t="str">
        <f t="shared" si="40"/>
        <v/>
      </c>
      <c r="P98" s="80" t="str">
        <f t="shared" si="41"/>
        <v/>
      </c>
      <c r="Q98" s="44">
        <f t="shared" si="42"/>
        <v>-154011.23000000001</v>
      </c>
      <c r="R98" s="44">
        <f t="shared" si="43"/>
        <v>-154011.23000000001</v>
      </c>
      <c r="S98" s="44">
        <f t="shared" si="44"/>
        <v>0</v>
      </c>
      <c r="T98" s="44">
        <f t="shared" si="45"/>
        <v>0</v>
      </c>
    </row>
    <row r="99" spans="1:20" s="49" customFormat="1">
      <c r="A99" s="25" t="s">
        <v>89</v>
      </c>
      <c r="B99" s="25" t="s">
        <v>88</v>
      </c>
      <c r="C99" s="25" t="s">
        <v>17</v>
      </c>
      <c r="D99" s="47" t="s">
        <v>48</v>
      </c>
      <c r="E99" s="42">
        <f t="shared" si="55"/>
        <v>1103987.28</v>
      </c>
      <c r="F99" s="78">
        <v>747205.79</v>
      </c>
      <c r="G99" s="78">
        <v>356781.49</v>
      </c>
      <c r="H99" s="78"/>
      <c r="I99" s="42">
        <f t="shared" si="36"/>
        <v>1173220.6200000001</v>
      </c>
      <c r="J99" s="42">
        <f>489667.6+683553.02</f>
        <v>1173220.6200000001</v>
      </c>
      <c r="K99" s="42"/>
      <c r="L99" s="42"/>
      <c r="M99" s="80">
        <f t="shared" si="38"/>
        <v>1.0627120812478927</v>
      </c>
      <c r="N99" s="80">
        <f t="shared" si="39"/>
        <v>1.5701439090829317</v>
      </c>
      <c r="O99" s="80">
        <f t="shared" si="40"/>
        <v>0</v>
      </c>
      <c r="P99" s="80" t="str">
        <f t="shared" si="41"/>
        <v/>
      </c>
      <c r="Q99" s="44">
        <f t="shared" si="42"/>
        <v>69233.340000000084</v>
      </c>
      <c r="R99" s="44">
        <f t="shared" si="43"/>
        <v>426014.83000000007</v>
      </c>
      <c r="S99" s="44">
        <f t="shared" si="44"/>
        <v>-356781.49</v>
      </c>
      <c r="T99" s="44">
        <f t="shared" si="45"/>
        <v>0</v>
      </c>
    </row>
    <row r="100" spans="1:20" s="49" customFormat="1" ht="36">
      <c r="A100" s="25" t="s">
        <v>24</v>
      </c>
      <c r="B100" s="25" t="s">
        <v>23</v>
      </c>
      <c r="C100" s="25" t="s">
        <v>18</v>
      </c>
      <c r="D100" s="47" t="s">
        <v>42</v>
      </c>
      <c r="E100" s="42">
        <f t="shared" si="55"/>
        <v>477692.83</v>
      </c>
      <c r="F100" s="78">
        <v>477692.83</v>
      </c>
      <c r="G100" s="78"/>
      <c r="H100" s="78"/>
      <c r="I100" s="42">
        <f t="shared" si="36"/>
        <v>534634.64</v>
      </c>
      <c r="J100" s="42">
        <v>534634.64</v>
      </c>
      <c r="K100" s="42"/>
      <c r="L100" s="42"/>
      <c r="M100" s="80">
        <f t="shared" si="38"/>
        <v>1.1192017263478709</v>
      </c>
      <c r="N100" s="80">
        <f t="shared" si="39"/>
        <v>1.1192017263478709</v>
      </c>
      <c r="O100" s="80" t="str">
        <f t="shared" si="40"/>
        <v/>
      </c>
      <c r="P100" s="80" t="str">
        <f t="shared" si="41"/>
        <v/>
      </c>
      <c r="Q100" s="44">
        <f t="shared" si="42"/>
        <v>56941.81</v>
      </c>
      <c r="R100" s="44">
        <f t="shared" si="43"/>
        <v>56941.81</v>
      </c>
      <c r="S100" s="44">
        <f t="shared" si="44"/>
        <v>0</v>
      </c>
      <c r="T100" s="44">
        <f t="shared" si="45"/>
        <v>0</v>
      </c>
    </row>
    <row r="101" spans="1:20" s="49" customFormat="1" ht="36">
      <c r="A101" s="25" t="s">
        <v>44</v>
      </c>
      <c r="B101" s="25" t="s">
        <v>45</v>
      </c>
      <c r="C101" s="25" t="s">
        <v>18</v>
      </c>
      <c r="D101" s="47" t="s">
        <v>46</v>
      </c>
      <c r="E101" s="42">
        <f t="shared" si="55"/>
        <v>120519.76</v>
      </c>
      <c r="F101" s="78">
        <v>120519.76</v>
      </c>
      <c r="G101" s="78"/>
      <c r="H101" s="78"/>
      <c r="I101" s="42">
        <f t="shared" si="36"/>
        <v>226490.63</v>
      </c>
      <c r="J101" s="42">
        <v>226490.63</v>
      </c>
      <c r="K101" s="42"/>
      <c r="L101" s="42"/>
      <c r="M101" s="80">
        <f t="shared" si="38"/>
        <v>1.8792821193802578</v>
      </c>
      <c r="N101" s="80">
        <f t="shared" si="39"/>
        <v>1.8792821193802578</v>
      </c>
      <c r="O101" s="80" t="str">
        <f t="shared" si="40"/>
        <v/>
      </c>
      <c r="P101" s="80" t="str">
        <f t="shared" si="41"/>
        <v/>
      </c>
      <c r="Q101" s="44">
        <f t="shared" si="42"/>
        <v>105970.87000000001</v>
      </c>
      <c r="R101" s="44">
        <f t="shared" si="43"/>
        <v>105970.87000000001</v>
      </c>
      <c r="S101" s="44">
        <f t="shared" si="44"/>
        <v>0</v>
      </c>
      <c r="T101" s="44">
        <f t="shared" si="45"/>
        <v>0</v>
      </c>
    </row>
    <row r="102" spans="1:20" s="49" customFormat="1" ht="54">
      <c r="A102" s="76" t="s">
        <v>319</v>
      </c>
      <c r="B102" s="76" t="s">
        <v>320</v>
      </c>
      <c r="C102" s="76" t="s">
        <v>18</v>
      </c>
      <c r="D102" s="75" t="s">
        <v>329</v>
      </c>
      <c r="E102" s="42">
        <f t="shared" si="55"/>
        <v>29426.400000000001</v>
      </c>
      <c r="F102" s="78">
        <v>29426.400000000001</v>
      </c>
      <c r="G102" s="78"/>
      <c r="H102" s="78"/>
      <c r="I102" s="42">
        <f t="shared" si="36"/>
        <v>51972</v>
      </c>
      <c r="J102" s="42">
        <v>51972</v>
      </c>
      <c r="K102" s="42"/>
      <c r="L102" s="42"/>
      <c r="M102" s="80">
        <f t="shared" si="38"/>
        <v>1.7661691542288556</v>
      </c>
      <c r="N102" s="80">
        <f t="shared" si="39"/>
        <v>1.7661691542288556</v>
      </c>
      <c r="O102" s="80" t="str">
        <f t="shared" si="40"/>
        <v/>
      </c>
      <c r="P102" s="80" t="str">
        <f t="shared" si="41"/>
        <v/>
      </c>
      <c r="Q102" s="44">
        <f t="shared" si="42"/>
        <v>22545.599999999999</v>
      </c>
      <c r="R102" s="44">
        <f t="shared" si="43"/>
        <v>22545.599999999999</v>
      </c>
      <c r="S102" s="44">
        <f t="shared" si="44"/>
        <v>0</v>
      </c>
      <c r="T102" s="44">
        <f t="shared" si="45"/>
        <v>0</v>
      </c>
    </row>
    <row r="103" spans="1:20" s="49" customFormat="1" ht="72">
      <c r="A103" s="25" t="s">
        <v>49</v>
      </c>
      <c r="B103" s="25" t="s">
        <v>50</v>
      </c>
      <c r="C103" s="25" t="s">
        <v>18</v>
      </c>
      <c r="D103" s="26" t="s">
        <v>51</v>
      </c>
      <c r="E103" s="42">
        <f t="shared" si="55"/>
        <v>1107691.69</v>
      </c>
      <c r="F103" s="78">
        <v>1107691.69</v>
      </c>
      <c r="G103" s="78"/>
      <c r="H103" s="78"/>
      <c r="I103" s="42">
        <f t="shared" si="36"/>
        <v>1411056</v>
      </c>
      <c r="J103" s="42">
        <v>1411056</v>
      </c>
      <c r="K103" s="42"/>
      <c r="L103" s="42"/>
      <c r="M103" s="80">
        <f t="shared" si="38"/>
        <v>1.2738707103598477</v>
      </c>
      <c r="N103" s="80">
        <f t="shared" si="39"/>
        <v>1.2738707103598477</v>
      </c>
      <c r="O103" s="80" t="str">
        <f t="shared" si="40"/>
        <v/>
      </c>
      <c r="P103" s="80" t="str">
        <f t="shared" si="41"/>
        <v/>
      </c>
      <c r="Q103" s="44">
        <f t="shared" si="42"/>
        <v>303364.31000000006</v>
      </c>
      <c r="R103" s="44">
        <f t="shared" si="43"/>
        <v>303364.31000000006</v>
      </c>
      <c r="S103" s="44">
        <f t="shared" si="44"/>
        <v>0</v>
      </c>
      <c r="T103" s="44">
        <f t="shared" si="45"/>
        <v>0</v>
      </c>
    </row>
    <row r="104" spans="1:20" s="32" customFormat="1" ht="52.2">
      <c r="A104" s="27" t="s">
        <v>90</v>
      </c>
      <c r="B104" s="27"/>
      <c r="C104" s="27"/>
      <c r="D104" s="10" t="s">
        <v>220</v>
      </c>
      <c r="E104" s="41">
        <f t="shared" ref="E104:L104" si="58">E105</f>
        <v>123111965.65000001</v>
      </c>
      <c r="F104" s="41">
        <f t="shared" si="58"/>
        <v>113457573.84</v>
      </c>
      <c r="G104" s="41">
        <f t="shared" si="58"/>
        <v>9654391.8100000005</v>
      </c>
      <c r="H104" s="41">
        <f t="shared" si="58"/>
        <v>5852648.1399999997</v>
      </c>
      <c r="I104" s="41">
        <f t="shared" si="58"/>
        <v>114003906.91</v>
      </c>
      <c r="J104" s="41">
        <f t="shared" si="58"/>
        <v>109581911.64</v>
      </c>
      <c r="K104" s="41">
        <f t="shared" si="58"/>
        <v>4421995.2699999996</v>
      </c>
      <c r="L104" s="41">
        <f t="shared" si="58"/>
        <v>3291798.6399999997</v>
      </c>
      <c r="M104" s="11">
        <f t="shared" si="38"/>
        <v>0.9260180869348339</v>
      </c>
      <c r="N104" s="11">
        <f t="shared" si="39"/>
        <v>0.96584042766976896</v>
      </c>
      <c r="O104" s="11">
        <f t="shared" si="40"/>
        <v>0.45802939812528692</v>
      </c>
      <c r="P104" s="11">
        <f t="shared" si="41"/>
        <v>0.56244601781237435</v>
      </c>
      <c r="Q104" s="45">
        <f t="shared" si="42"/>
        <v>-9108058.7400000095</v>
      </c>
      <c r="R104" s="45">
        <f t="shared" si="43"/>
        <v>-3875662.200000003</v>
      </c>
      <c r="S104" s="45">
        <f t="shared" si="44"/>
        <v>-5232396.540000001</v>
      </c>
      <c r="T104" s="45">
        <f t="shared" si="45"/>
        <v>-2560849.5</v>
      </c>
    </row>
    <row r="105" spans="1:20" s="32" customFormat="1" ht="52.2">
      <c r="A105" s="27" t="s">
        <v>91</v>
      </c>
      <c r="B105" s="27"/>
      <c r="C105" s="27"/>
      <c r="D105" s="10" t="s">
        <v>220</v>
      </c>
      <c r="E105" s="41">
        <f t="shared" ref="E105:E125" si="59">F105+G105</f>
        <v>123111965.65000001</v>
      </c>
      <c r="F105" s="41">
        <f>F106+F108+F111+F114+F115+F117+F120+F122+F110+F113+F119+F123+F124+F112+F125+F107+F109+F116+F118+F121</f>
        <v>113457573.84</v>
      </c>
      <c r="G105" s="41">
        <f t="shared" ref="G105:H105" si="60">G106+G108+G111+G114+G115+G117+G120+G122+G110+G113+G119+G123+G124+G112+G125+G107+G109+G116+G118+G121</f>
        <v>9654391.8100000005</v>
      </c>
      <c r="H105" s="41">
        <f t="shared" si="60"/>
        <v>5852648.1399999997</v>
      </c>
      <c r="I105" s="41">
        <f t="shared" ref="I105" si="61">J105+K105</f>
        <v>114003906.91</v>
      </c>
      <c r="J105" s="41">
        <f>J106+J108+J111+J114+J115+J117+J120+J122+J110+J113+J119+J123+J124+J112+J125+J107+J109+J116+J118+J121</f>
        <v>109581911.64</v>
      </c>
      <c r="K105" s="41">
        <f t="shared" ref="K105:L105" si="62">K106+K108+K111+K114+K115+K117+K120+K122+K110+K113+K119+K123+K124+K112+K125+K107+K109+K116+K118+K121</f>
        <v>4421995.2699999996</v>
      </c>
      <c r="L105" s="41">
        <f t="shared" si="62"/>
        <v>3291798.6399999997</v>
      </c>
      <c r="M105" s="11">
        <f t="shared" si="38"/>
        <v>0.9260180869348339</v>
      </c>
      <c r="N105" s="11">
        <f t="shared" si="39"/>
        <v>0.96584042766976896</v>
      </c>
      <c r="O105" s="11">
        <f t="shared" si="40"/>
        <v>0.45802939812528692</v>
      </c>
      <c r="P105" s="11">
        <f t="shared" si="41"/>
        <v>0.56244601781237435</v>
      </c>
      <c r="Q105" s="45">
        <f t="shared" si="42"/>
        <v>-9108058.7400000095</v>
      </c>
      <c r="R105" s="45">
        <f t="shared" si="43"/>
        <v>-3875662.200000003</v>
      </c>
      <c r="S105" s="45">
        <f t="shared" si="44"/>
        <v>-5232396.540000001</v>
      </c>
      <c r="T105" s="45">
        <f t="shared" si="45"/>
        <v>-2560849.5</v>
      </c>
    </row>
    <row r="106" spans="1:20" s="49" customFormat="1" ht="54">
      <c r="A106" s="25" t="s">
        <v>92</v>
      </c>
      <c r="B106" s="25" t="s">
        <v>58</v>
      </c>
      <c r="C106" s="25" t="s">
        <v>3</v>
      </c>
      <c r="D106" s="26" t="s">
        <v>235</v>
      </c>
      <c r="E106" s="42">
        <f t="shared" si="59"/>
        <v>2680488.09</v>
      </c>
      <c r="F106" s="42">
        <v>2572488.09</v>
      </c>
      <c r="G106" s="42">
        <v>108000</v>
      </c>
      <c r="H106" s="42">
        <v>108000</v>
      </c>
      <c r="I106" s="42">
        <f t="shared" si="36"/>
        <v>2771269.75</v>
      </c>
      <c r="J106" s="42">
        <v>2771269.75</v>
      </c>
      <c r="K106" s="42"/>
      <c r="L106" s="42"/>
      <c r="M106" s="80">
        <f t="shared" si="38"/>
        <v>1.0338675856604906</v>
      </c>
      <c r="N106" s="80">
        <f t="shared" si="39"/>
        <v>1.0772721400626581</v>
      </c>
      <c r="O106" s="80">
        <f t="shared" si="40"/>
        <v>0</v>
      </c>
      <c r="P106" s="80">
        <f t="shared" si="41"/>
        <v>0</v>
      </c>
      <c r="Q106" s="44">
        <f t="shared" si="42"/>
        <v>90781.660000000149</v>
      </c>
      <c r="R106" s="44">
        <f t="shared" si="43"/>
        <v>198781.66000000015</v>
      </c>
      <c r="S106" s="44">
        <f t="shared" si="44"/>
        <v>-108000</v>
      </c>
      <c r="T106" s="44">
        <f t="shared" si="45"/>
        <v>-108000</v>
      </c>
    </row>
    <row r="107" spans="1:20" s="49" customFormat="1" ht="54">
      <c r="A107" s="25" t="s">
        <v>321</v>
      </c>
      <c r="B107" s="25" t="s">
        <v>117</v>
      </c>
      <c r="C107" s="67" t="s">
        <v>118</v>
      </c>
      <c r="D107" s="50" t="s">
        <v>119</v>
      </c>
      <c r="E107" s="42">
        <f t="shared" si="59"/>
        <v>0</v>
      </c>
      <c r="F107" s="42"/>
      <c r="G107" s="42"/>
      <c r="H107" s="42"/>
      <c r="I107" s="42">
        <f t="shared" si="36"/>
        <v>2200</v>
      </c>
      <c r="J107" s="42">
        <v>2200</v>
      </c>
      <c r="K107" s="42"/>
      <c r="L107" s="42"/>
      <c r="M107" s="80" t="str">
        <f t="shared" si="38"/>
        <v/>
      </c>
      <c r="N107" s="80" t="str">
        <f t="shared" si="39"/>
        <v/>
      </c>
      <c r="O107" s="80" t="str">
        <f t="shared" si="40"/>
        <v/>
      </c>
      <c r="P107" s="80" t="str">
        <f t="shared" si="41"/>
        <v/>
      </c>
      <c r="Q107" s="44">
        <f t="shared" si="42"/>
        <v>2200</v>
      </c>
      <c r="R107" s="44">
        <f t="shared" si="43"/>
        <v>2200</v>
      </c>
      <c r="S107" s="44">
        <f t="shared" si="44"/>
        <v>0</v>
      </c>
      <c r="T107" s="44">
        <f t="shared" si="45"/>
        <v>0</v>
      </c>
    </row>
    <row r="108" spans="1:20" s="49" customFormat="1" ht="36">
      <c r="A108" s="25" t="s">
        <v>228</v>
      </c>
      <c r="B108" s="25" t="s">
        <v>8</v>
      </c>
      <c r="C108" s="25" t="s">
        <v>6</v>
      </c>
      <c r="D108" s="26" t="s">
        <v>108</v>
      </c>
      <c r="E108" s="42">
        <f t="shared" si="59"/>
        <v>44775</v>
      </c>
      <c r="F108" s="42">
        <v>44775</v>
      </c>
      <c r="G108" s="42"/>
      <c r="H108" s="42"/>
      <c r="I108" s="42">
        <f t="shared" si="36"/>
        <v>49900</v>
      </c>
      <c r="J108" s="42">
        <v>49900</v>
      </c>
      <c r="K108" s="42"/>
      <c r="L108" s="42"/>
      <c r="M108" s="80">
        <f t="shared" si="38"/>
        <v>1.1144611948632048</v>
      </c>
      <c r="N108" s="80">
        <f t="shared" si="39"/>
        <v>1.1144611948632048</v>
      </c>
      <c r="O108" s="80" t="str">
        <f t="shared" si="40"/>
        <v/>
      </c>
      <c r="P108" s="80" t="str">
        <f t="shared" si="41"/>
        <v/>
      </c>
      <c r="Q108" s="44">
        <f t="shared" si="42"/>
        <v>5125</v>
      </c>
      <c r="R108" s="44">
        <f t="shared" si="43"/>
        <v>5125</v>
      </c>
      <c r="S108" s="44">
        <f t="shared" si="44"/>
        <v>0</v>
      </c>
      <c r="T108" s="44">
        <f t="shared" si="45"/>
        <v>0</v>
      </c>
    </row>
    <row r="109" spans="1:20" s="49" customFormat="1">
      <c r="A109" s="25" t="s">
        <v>322</v>
      </c>
      <c r="B109" s="25" t="s">
        <v>323</v>
      </c>
      <c r="C109" s="67" t="s">
        <v>330</v>
      </c>
      <c r="D109" s="50" t="s">
        <v>331</v>
      </c>
      <c r="E109" s="42"/>
      <c r="F109" s="42"/>
      <c r="G109" s="42"/>
      <c r="H109" s="42"/>
      <c r="I109" s="42">
        <f t="shared" si="36"/>
        <v>9763.66</v>
      </c>
      <c r="J109" s="42">
        <v>9763.66</v>
      </c>
      <c r="K109" s="42"/>
      <c r="L109" s="42"/>
      <c r="M109" s="80" t="str">
        <f t="shared" si="38"/>
        <v/>
      </c>
      <c r="N109" s="80" t="str">
        <f t="shared" si="39"/>
        <v/>
      </c>
      <c r="O109" s="80" t="str">
        <f t="shared" si="40"/>
        <v/>
      </c>
      <c r="P109" s="80" t="str">
        <f t="shared" si="41"/>
        <v/>
      </c>
      <c r="Q109" s="44">
        <f t="shared" si="42"/>
        <v>9763.66</v>
      </c>
      <c r="R109" s="44">
        <f t="shared" si="43"/>
        <v>9763.66</v>
      </c>
      <c r="S109" s="44">
        <f t="shared" si="44"/>
        <v>0</v>
      </c>
      <c r="T109" s="44">
        <f t="shared" si="45"/>
        <v>0</v>
      </c>
    </row>
    <row r="110" spans="1:20" s="49" customFormat="1" ht="36">
      <c r="A110" s="24">
        <v>1216011</v>
      </c>
      <c r="B110" s="24">
        <v>6011</v>
      </c>
      <c r="C110" s="24" t="s">
        <v>39</v>
      </c>
      <c r="D110" s="79" t="s">
        <v>105</v>
      </c>
      <c r="E110" s="42">
        <f t="shared" si="59"/>
        <v>618739.96</v>
      </c>
      <c r="F110" s="42"/>
      <c r="G110" s="42">
        <v>618739.96</v>
      </c>
      <c r="H110" s="42">
        <v>618739.96</v>
      </c>
      <c r="I110" s="42">
        <f t="shared" si="36"/>
        <v>1890251.17</v>
      </c>
      <c r="J110" s="42"/>
      <c r="K110" s="42">
        <v>1890251.17</v>
      </c>
      <c r="L110" s="42">
        <v>1890251.17</v>
      </c>
      <c r="M110" s="80" t="s">
        <v>360</v>
      </c>
      <c r="N110" s="80" t="str">
        <f t="shared" si="39"/>
        <v/>
      </c>
      <c r="O110" s="80" t="s">
        <v>360</v>
      </c>
      <c r="P110" s="80" t="s">
        <v>360</v>
      </c>
      <c r="Q110" s="44">
        <f t="shared" si="42"/>
        <v>1271511.21</v>
      </c>
      <c r="R110" s="44">
        <f t="shared" si="43"/>
        <v>0</v>
      </c>
      <c r="S110" s="44">
        <f t="shared" si="44"/>
        <v>1271511.21</v>
      </c>
      <c r="T110" s="44">
        <f t="shared" si="45"/>
        <v>1271511.21</v>
      </c>
    </row>
    <row r="111" spans="1:20" s="49" customFormat="1" ht="36">
      <c r="A111" s="25" t="s">
        <v>126</v>
      </c>
      <c r="B111" s="25" t="s">
        <v>125</v>
      </c>
      <c r="C111" s="25" t="s">
        <v>7</v>
      </c>
      <c r="D111" s="47" t="s">
        <v>127</v>
      </c>
      <c r="E111" s="42">
        <f t="shared" si="59"/>
        <v>19999617.32</v>
      </c>
      <c r="F111" s="42">
        <v>19999617.32</v>
      </c>
      <c r="G111" s="42"/>
      <c r="H111" s="42"/>
      <c r="I111" s="42">
        <f t="shared" si="36"/>
        <v>0</v>
      </c>
      <c r="J111" s="42"/>
      <c r="K111" s="42"/>
      <c r="L111" s="42"/>
      <c r="M111" s="80">
        <f t="shared" si="38"/>
        <v>0</v>
      </c>
      <c r="N111" s="80">
        <f t="shared" si="39"/>
        <v>0</v>
      </c>
      <c r="O111" s="80" t="str">
        <f t="shared" si="40"/>
        <v/>
      </c>
      <c r="P111" s="80" t="str">
        <f t="shared" si="41"/>
        <v/>
      </c>
      <c r="Q111" s="44">
        <f t="shared" si="42"/>
        <v>-19999617.32</v>
      </c>
      <c r="R111" s="44">
        <f t="shared" si="43"/>
        <v>-19999617.32</v>
      </c>
      <c r="S111" s="44">
        <f t="shared" si="44"/>
        <v>0</v>
      </c>
      <c r="T111" s="44">
        <f t="shared" si="45"/>
        <v>0</v>
      </c>
    </row>
    <row r="112" spans="1:20" s="49" customFormat="1" ht="36">
      <c r="A112" s="70">
        <v>1216013</v>
      </c>
      <c r="B112" s="70">
        <v>6013</v>
      </c>
      <c r="C112" s="71" t="s">
        <v>7</v>
      </c>
      <c r="D112" s="56" t="s">
        <v>107</v>
      </c>
      <c r="E112" s="42">
        <f t="shared" si="59"/>
        <v>338108.38</v>
      </c>
      <c r="F112" s="42">
        <v>338108.38</v>
      </c>
      <c r="G112" s="42"/>
      <c r="H112" s="42"/>
      <c r="I112" s="42">
        <f t="shared" si="36"/>
        <v>1244281</v>
      </c>
      <c r="J112" s="42"/>
      <c r="K112" s="42">
        <v>1244281</v>
      </c>
      <c r="L112" s="42">
        <v>1244281</v>
      </c>
      <c r="M112" s="80" t="s">
        <v>360</v>
      </c>
      <c r="N112" s="80">
        <f t="shared" si="39"/>
        <v>0</v>
      </c>
      <c r="O112" s="80" t="str">
        <f t="shared" si="40"/>
        <v/>
      </c>
      <c r="P112" s="80" t="str">
        <f t="shared" si="41"/>
        <v/>
      </c>
      <c r="Q112" s="44">
        <f t="shared" si="42"/>
        <v>906172.62</v>
      </c>
      <c r="R112" s="44">
        <f t="shared" si="43"/>
        <v>-338108.38</v>
      </c>
      <c r="S112" s="44">
        <f t="shared" si="44"/>
        <v>1244281</v>
      </c>
      <c r="T112" s="44">
        <f t="shared" si="45"/>
        <v>1244281</v>
      </c>
    </row>
    <row r="113" spans="1:20" s="49" customFormat="1" ht="36">
      <c r="A113" s="23" t="s">
        <v>287</v>
      </c>
      <c r="B113" s="23" t="s">
        <v>288</v>
      </c>
      <c r="C113" s="23" t="s">
        <v>7</v>
      </c>
      <c r="D113" s="79" t="s">
        <v>289</v>
      </c>
      <c r="E113" s="42">
        <f t="shared" si="59"/>
        <v>427536.7</v>
      </c>
      <c r="F113" s="42"/>
      <c r="G113" s="42">
        <v>427536.7</v>
      </c>
      <c r="H113" s="42">
        <v>427536.7</v>
      </c>
      <c r="I113" s="42">
        <f t="shared" si="36"/>
        <v>35060.639999999999</v>
      </c>
      <c r="J113" s="42"/>
      <c r="K113" s="42">
        <v>35060.639999999999</v>
      </c>
      <c r="L113" s="42">
        <v>35060.639999999999</v>
      </c>
      <c r="M113" s="80">
        <f t="shared" si="38"/>
        <v>8.2006152922076622E-2</v>
      </c>
      <c r="N113" s="80" t="str">
        <f t="shared" si="39"/>
        <v/>
      </c>
      <c r="O113" s="80">
        <f t="shared" si="40"/>
        <v>8.2006152922076622E-2</v>
      </c>
      <c r="P113" s="80">
        <f t="shared" si="41"/>
        <v>8.2006152922076622E-2</v>
      </c>
      <c r="Q113" s="44">
        <f t="shared" si="42"/>
        <v>-392476.06</v>
      </c>
      <c r="R113" s="44">
        <f t="shared" si="43"/>
        <v>0</v>
      </c>
      <c r="S113" s="44">
        <f t="shared" si="44"/>
        <v>-392476.06</v>
      </c>
      <c r="T113" s="44">
        <f t="shared" si="45"/>
        <v>-392476.06</v>
      </c>
    </row>
    <row r="114" spans="1:20" s="49" customFormat="1" ht="36">
      <c r="A114" s="25" t="s">
        <v>154</v>
      </c>
      <c r="B114" s="25" t="s">
        <v>155</v>
      </c>
      <c r="C114" s="25" t="s">
        <v>7</v>
      </c>
      <c r="D114" s="47" t="s">
        <v>156</v>
      </c>
      <c r="E114" s="42">
        <f t="shared" si="59"/>
        <v>707092.39</v>
      </c>
      <c r="F114" s="42">
        <v>707092.39</v>
      </c>
      <c r="G114" s="42"/>
      <c r="H114" s="42"/>
      <c r="I114" s="42">
        <f t="shared" si="36"/>
        <v>1099896.67</v>
      </c>
      <c r="J114" s="42">
        <v>1099896.67</v>
      </c>
      <c r="K114" s="42"/>
      <c r="L114" s="42"/>
      <c r="M114" s="80">
        <f t="shared" si="38"/>
        <v>1.5555204462036423</v>
      </c>
      <c r="N114" s="80">
        <f t="shared" si="39"/>
        <v>1.5555204462036423</v>
      </c>
      <c r="O114" s="80" t="str">
        <f t="shared" si="40"/>
        <v/>
      </c>
      <c r="P114" s="80" t="str">
        <f t="shared" si="41"/>
        <v/>
      </c>
      <c r="Q114" s="44">
        <f t="shared" si="42"/>
        <v>392804.27999999991</v>
      </c>
      <c r="R114" s="44">
        <f t="shared" si="43"/>
        <v>392804.27999999991</v>
      </c>
      <c r="S114" s="44">
        <f t="shared" si="44"/>
        <v>0</v>
      </c>
      <c r="T114" s="44">
        <f t="shared" si="45"/>
        <v>0</v>
      </c>
    </row>
    <row r="115" spans="1:20" s="49" customFormat="1">
      <c r="A115" s="25" t="s">
        <v>93</v>
      </c>
      <c r="B115" s="25" t="s">
        <v>40</v>
      </c>
      <c r="C115" s="25" t="s">
        <v>7</v>
      </c>
      <c r="D115" s="26" t="s">
        <v>55</v>
      </c>
      <c r="E115" s="42">
        <f t="shared" si="59"/>
        <v>46926208.290000007</v>
      </c>
      <c r="F115" s="42">
        <v>46150555.980000004</v>
      </c>
      <c r="G115" s="42">
        <v>775652.31</v>
      </c>
      <c r="H115" s="42">
        <v>775652.31</v>
      </c>
      <c r="I115" s="42">
        <f t="shared" si="36"/>
        <v>52278110.200000003</v>
      </c>
      <c r="J115" s="42">
        <f>27344818.46+13335441.1+11010142.64</f>
        <v>51690402.200000003</v>
      </c>
      <c r="K115" s="42">
        <v>587708</v>
      </c>
      <c r="L115" s="42"/>
      <c r="M115" s="80">
        <f t="shared" si="38"/>
        <v>1.1140493149782249</v>
      </c>
      <c r="N115" s="80">
        <f t="shared" si="39"/>
        <v>1.1200385586340664</v>
      </c>
      <c r="O115" s="80">
        <f t="shared" si="40"/>
        <v>0.7576951585433942</v>
      </c>
      <c r="P115" s="80">
        <f t="shared" si="41"/>
        <v>0</v>
      </c>
      <c r="Q115" s="44">
        <f t="shared" si="42"/>
        <v>5351901.9099999964</v>
      </c>
      <c r="R115" s="44">
        <f t="shared" si="43"/>
        <v>5539846.2199999988</v>
      </c>
      <c r="S115" s="44">
        <f t="shared" si="44"/>
        <v>-187944.31000000006</v>
      </c>
      <c r="T115" s="44">
        <f t="shared" si="45"/>
        <v>-775652.31</v>
      </c>
    </row>
    <row r="116" spans="1:20" s="49" customFormat="1" ht="36">
      <c r="A116" s="24" t="s">
        <v>343</v>
      </c>
      <c r="B116" s="24" t="s">
        <v>327</v>
      </c>
      <c r="C116" s="24" t="s">
        <v>269</v>
      </c>
      <c r="D116" s="79" t="s">
        <v>328</v>
      </c>
      <c r="E116" s="42">
        <f t="shared" si="59"/>
        <v>2185206.64</v>
      </c>
      <c r="F116" s="42"/>
      <c r="G116" s="42">
        <v>2185206.64</v>
      </c>
      <c r="H116" s="42">
        <v>2185206.64</v>
      </c>
      <c r="I116" s="42">
        <f t="shared" si="36"/>
        <v>0</v>
      </c>
      <c r="J116" s="42"/>
      <c r="K116" s="42"/>
      <c r="L116" s="42"/>
      <c r="M116" s="80">
        <f t="shared" si="38"/>
        <v>0</v>
      </c>
      <c r="N116" s="80" t="str">
        <f t="shared" si="39"/>
        <v/>
      </c>
      <c r="O116" s="80">
        <f t="shared" si="40"/>
        <v>0</v>
      </c>
      <c r="P116" s="80">
        <f t="shared" si="41"/>
        <v>0</v>
      </c>
      <c r="Q116" s="44">
        <f t="shared" si="42"/>
        <v>-2185206.64</v>
      </c>
      <c r="R116" s="44">
        <f t="shared" si="43"/>
        <v>0</v>
      </c>
      <c r="S116" s="44">
        <f t="shared" si="44"/>
        <v>-2185206.64</v>
      </c>
      <c r="T116" s="44">
        <f t="shared" si="45"/>
        <v>-2185206.64</v>
      </c>
    </row>
    <row r="117" spans="1:20" s="49" customFormat="1" ht="54">
      <c r="A117" s="25" t="s">
        <v>124</v>
      </c>
      <c r="B117" s="25" t="s">
        <v>102</v>
      </c>
      <c r="C117" s="25" t="s">
        <v>41</v>
      </c>
      <c r="D117" s="47" t="s">
        <v>103</v>
      </c>
      <c r="E117" s="42">
        <f t="shared" si="59"/>
        <v>17798491.199999999</v>
      </c>
      <c r="F117" s="42">
        <v>17798491.199999999</v>
      </c>
      <c r="G117" s="42"/>
      <c r="H117" s="42"/>
      <c r="I117" s="42">
        <f t="shared" si="36"/>
        <v>17189181.600000001</v>
      </c>
      <c r="J117" s="42">
        <v>17189181.600000001</v>
      </c>
      <c r="K117" s="42"/>
      <c r="L117" s="42"/>
      <c r="M117" s="80">
        <f t="shared" si="38"/>
        <v>0.96576622180199201</v>
      </c>
      <c r="N117" s="80">
        <f t="shared" si="39"/>
        <v>0.96576622180199201</v>
      </c>
      <c r="O117" s="80" t="str">
        <f t="shared" si="40"/>
        <v/>
      </c>
      <c r="P117" s="80" t="str">
        <f t="shared" si="41"/>
        <v/>
      </c>
      <c r="Q117" s="44">
        <f t="shared" si="42"/>
        <v>-609309.59999999776</v>
      </c>
      <c r="R117" s="44">
        <f t="shared" si="43"/>
        <v>-609309.59999999776</v>
      </c>
      <c r="S117" s="44">
        <f t="shared" si="44"/>
        <v>0</v>
      </c>
      <c r="T117" s="44">
        <f t="shared" si="45"/>
        <v>0</v>
      </c>
    </row>
    <row r="118" spans="1:20" s="49" customFormat="1">
      <c r="A118" s="23">
        <v>1217640</v>
      </c>
      <c r="B118" s="23">
        <v>7640</v>
      </c>
      <c r="C118" s="24" t="s">
        <v>273</v>
      </c>
      <c r="D118" s="79" t="s">
        <v>274</v>
      </c>
      <c r="E118" s="42">
        <f t="shared" si="59"/>
        <v>248624.64000000001</v>
      </c>
      <c r="F118" s="42"/>
      <c r="G118" s="42">
        <v>248624.64000000001</v>
      </c>
      <c r="H118" s="42">
        <v>248624.64000000001</v>
      </c>
      <c r="I118" s="42">
        <f t="shared" si="36"/>
        <v>0</v>
      </c>
      <c r="J118" s="42"/>
      <c r="K118" s="42"/>
      <c r="L118" s="42"/>
      <c r="M118" s="80">
        <f t="shared" si="38"/>
        <v>0</v>
      </c>
      <c r="N118" s="80" t="str">
        <f t="shared" si="39"/>
        <v/>
      </c>
      <c r="O118" s="80">
        <f t="shared" si="40"/>
        <v>0</v>
      </c>
      <c r="P118" s="80">
        <f t="shared" si="41"/>
        <v>0</v>
      </c>
      <c r="Q118" s="44">
        <f t="shared" si="42"/>
        <v>-248624.64000000001</v>
      </c>
      <c r="R118" s="44">
        <f t="shared" si="43"/>
        <v>0</v>
      </c>
      <c r="S118" s="44">
        <f t="shared" si="44"/>
        <v>-248624.64000000001</v>
      </c>
      <c r="T118" s="44">
        <f t="shared" si="45"/>
        <v>-248624.64000000001</v>
      </c>
    </row>
    <row r="119" spans="1:20" s="49" customFormat="1" ht="162">
      <c r="A119" s="24">
        <v>1217691</v>
      </c>
      <c r="B119" s="24">
        <v>7691</v>
      </c>
      <c r="C119" s="24" t="s">
        <v>20</v>
      </c>
      <c r="D119" s="79" t="s">
        <v>290</v>
      </c>
      <c r="E119" s="42">
        <f t="shared" si="59"/>
        <v>113958.63</v>
      </c>
      <c r="F119" s="42"/>
      <c r="G119" s="42">
        <v>113958.63</v>
      </c>
      <c r="H119" s="42"/>
      <c r="I119" s="42">
        <f t="shared" si="36"/>
        <v>123448.63</v>
      </c>
      <c r="J119" s="42"/>
      <c r="K119" s="42">
        <v>123448.63</v>
      </c>
      <c r="L119" s="42"/>
      <c r="M119" s="80">
        <f t="shared" si="38"/>
        <v>1.0832758343970965</v>
      </c>
      <c r="N119" s="80" t="str">
        <f t="shared" si="39"/>
        <v/>
      </c>
      <c r="O119" s="80">
        <f t="shared" si="40"/>
        <v>1.0832758343970965</v>
      </c>
      <c r="P119" s="80" t="str">
        <f t="shared" si="41"/>
        <v/>
      </c>
      <c r="Q119" s="44">
        <f t="shared" si="42"/>
        <v>9490</v>
      </c>
      <c r="R119" s="44">
        <f t="shared" si="43"/>
        <v>0</v>
      </c>
      <c r="S119" s="44">
        <f t="shared" si="44"/>
        <v>9490</v>
      </c>
      <c r="T119" s="44">
        <f t="shared" si="45"/>
        <v>0</v>
      </c>
    </row>
    <row r="120" spans="1:20" s="49" customFormat="1" ht="36">
      <c r="A120" s="23">
        <v>1217693</v>
      </c>
      <c r="B120" s="23" t="s">
        <v>134</v>
      </c>
      <c r="C120" s="23" t="s">
        <v>20</v>
      </c>
      <c r="D120" s="79" t="s">
        <v>244</v>
      </c>
      <c r="E120" s="42">
        <f t="shared" si="59"/>
        <v>23742844.23</v>
      </c>
      <c r="F120" s="42">
        <v>23742844.23</v>
      </c>
      <c r="G120" s="42"/>
      <c r="H120" s="42"/>
      <c r="I120" s="42">
        <f t="shared" si="36"/>
        <v>34961528.670000002</v>
      </c>
      <c r="J120" s="42">
        <f>1957228.67+18000000+15004300</f>
        <v>34961528.670000002</v>
      </c>
      <c r="K120" s="42"/>
      <c r="L120" s="42"/>
      <c r="M120" s="80">
        <f t="shared" si="38"/>
        <v>1.4725080252105922</v>
      </c>
      <c r="N120" s="80">
        <f t="shared" si="39"/>
        <v>1.4725080252105922</v>
      </c>
      <c r="O120" s="80" t="str">
        <f t="shared" si="40"/>
        <v/>
      </c>
      <c r="P120" s="80" t="str">
        <f t="shared" si="41"/>
        <v/>
      </c>
      <c r="Q120" s="44">
        <f t="shared" si="42"/>
        <v>11218684.440000001</v>
      </c>
      <c r="R120" s="44">
        <f t="shared" si="43"/>
        <v>11218684.440000001</v>
      </c>
      <c r="S120" s="44">
        <f t="shared" si="44"/>
        <v>0</v>
      </c>
      <c r="T120" s="44">
        <f t="shared" si="45"/>
        <v>0</v>
      </c>
    </row>
    <row r="121" spans="1:20" s="49" customFormat="1" ht="72">
      <c r="A121" s="23">
        <v>1217700</v>
      </c>
      <c r="B121" s="23">
        <v>7700</v>
      </c>
      <c r="C121" s="24" t="s">
        <v>6</v>
      </c>
      <c r="D121" s="79" t="s">
        <v>344</v>
      </c>
      <c r="E121" s="42">
        <f t="shared" si="59"/>
        <v>3514793.36</v>
      </c>
      <c r="F121" s="42"/>
      <c r="G121" s="42">
        <v>3514793.36</v>
      </c>
      <c r="H121" s="42"/>
      <c r="I121" s="42">
        <f t="shared" si="36"/>
        <v>419040</v>
      </c>
      <c r="J121" s="42"/>
      <c r="K121" s="42">
        <v>419040</v>
      </c>
      <c r="L121" s="42"/>
      <c r="M121" s="80">
        <f t="shared" si="38"/>
        <v>0.11922180255854359</v>
      </c>
      <c r="N121" s="80" t="str">
        <f t="shared" si="39"/>
        <v/>
      </c>
      <c r="O121" s="80">
        <f t="shared" si="40"/>
        <v>0.11922180255854359</v>
      </c>
      <c r="P121" s="80" t="str">
        <f t="shared" si="41"/>
        <v/>
      </c>
      <c r="Q121" s="44">
        <f t="shared" si="42"/>
        <v>-3095753.36</v>
      </c>
      <c r="R121" s="44">
        <f t="shared" si="43"/>
        <v>0</v>
      </c>
      <c r="S121" s="44">
        <f t="shared" si="44"/>
        <v>-3095753.36</v>
      </c>
      <c r="T121" s="44">
        <f t="shared" si="45"/>
        <v>0</v>
      </c>
    </row>
    <row r="122" spans="1:20" s="49" customFormat="1" ht="54">
      <c r="A122" s="23">
        <v>1218110</v>
      </c>
      <c r="B122" s="23">
        <v>8110</v>
      </c>
      <c r="C122" s="24" t="s">
        <v>5</v>
      </c>
      <c r="D122" s="79" t="s">
        <v>136</v>
      </c>
      <c r="E122" s="42">
        <f t="shared" si="59"/>
        <v>3524289.1399999997</v>
      </c>
      <c r="F122" s="42">
        <v>2035401.25</v>
      </c>
      <c r="G122" s="42">
        <v>1488887.89</v>
      </c>
      <c r="H122" s="42">
        <v>1488887.89</v>
      </c>
      <c r="I122" s="42">
        <f t="shared" si="36"/>
        <v>1917274.9200000002</v>
      </c>
      <c r="J122" s="42">
        <f>1575579.09+155500+63990</f>
        <v>1795069.09</v>
      </c>
      <c r="K122" s="42">
        <v>122205.83</v>
      </c>
      <c r="L122" s="42">
        <v>122205.83</v>
      </c>
      <c r="M122" s="80">
        <f t="shared" si="38"/>
        <v>0.54401748660156768</v>
      </c>
      <c r="N122" s="80">
        <f t="shared" si="39"/>
        <v>0.88192394005850205</v>
      </c>
      <c r="O122" s="80">
        <f t="shared" si="40"/>
        <v>8.2078597603477049E-2</v>
      </c>
      <c r="P122" s="80">
        <f t="shared" si="41"/>
        <v>8.2078597603477049E-2</v>
      </c>
      <c r="Q122" s="44">
        <f t="shared" si="42"/>
        <v>-1607014.2199999995</v>
      </c>
      <c r="R122" s="44">
        <f t="shared" si="43"/>
        <v>-240332.15999999992</v>
      </c>
      <c r="S122" s="44">
        <f t="shared" si="44"/>
        <v>-1366682.0599999998</v>
      </c>
      <c r="T122" s="44">
        <f t="shared" si="45"/>
        <v>-1366682.0599999998</v>
      </c>
    </row>
    <row r="123" spans="1:20" s="49" customFormat="1">
      <c r="A123" s="23">
        <v>1218240</v>
      </c>
      <c r="B123" s="23">
        <v>8240</v>
      </c>
      <c r="C123" s="24" t="s">
        <v>221</v>
      </c>
      <c r="D123" s="22" t="s">
        <v>245</v>
      </c>
      <c r="E123" s="42">
        <f t="shared" si="59"/>
        <v>0</v>
      </c>
      <c r="F123" s="42"/>
      <c r="G123" s="42"/>
      <c r="H123" s="42"/>
      <c r="I123" s="42">
        <f t="shared" si="36"/>
        <v>12700</v>
      </c>
      <c r="J123" s="42">
        <v>12700</v>
      </c>
      <c r="K123" s="42"/>
      <c r="L123" s="42"/>
      <c r="M123" s="80" t="str">
        <f t="shared" si="38"/>
        <v/>
      </c>
      <c r="N123" s="80" t="str">
        <f t="shared" si="39"/>
        <v/>
      </c>
      <c r="O123" s="80" t="str">
        <f t="shared" si="40"/>
        <v/>
      </c>
      <c r="P123" s="80" t="str">
        <f t="shared" si="41"/>
        <v/>
      </c>
      <c r="Q123" s="44">
        <f t="shared" si="42"/>
        <v>12700</v>
      </c>
      <c r="R123" s="44">
        <f t="shared" si="43"/>
        <v>12700</v>
      </c>
      <c r="S123" s="44">
        <f t="shared" si="44"/>
        <v>0</v>
      </c>
      <c r="T123" s="44">
        <f t="shared" si="45"/>
        <v>0</v>
      </c>
    </row>
    <row r="124" spans="1:20" s="49" customFormat="1" ht="36">
      <c r="A124" s="23">
        <v>1218340</v>
      </c>
      <c r="B124" s="23">
        <v>8340</v>
      </c>
      <c r="C124" s="24" t="s">
        <v>291</v>
      </c>
      <c r="D124" s="22" t="s">
        <v>292</v>
      </c>
      <c r="E124" s="42">
        <f t="shared" si="59"/>
        <v>172991.68</v>
      </c>
      <c r="F124" s="42"/>
      <c r="G124" s="42">
        <v>172991.68</v>
      </c>
      <c r="H124" s="42"/>
      <c r="I124" s="42">
        <f t="shared" si="36"/>
        <v>0</v>
      </c>
      <c r="J124" s="42"/>
      <c r="K124" s="42"/>
      <c r="L124" s="42"/>
      <c r="M124" s="80">
        <f t="shared" si="38"/>
        <v>0</v>
      </c>
      <c r="N124" s="80" t="str">
        <f t="shared" si="39"/>
        <v/>
      </c>
      <c r="O124" s="80">
        <f t="shared" si="40"/>
        <v>0</v>
      </c>
      <c r="P124" s="80" t="str">
        <f t="shared" si="41"/>
        <v/>
      </c>
      <c r="Q124" s="44">
        <f t="shared" si="42"/>
        <v>-172991.68</v>
      </c>
      <c r="R124" s="44">
        <f t="shared" si="43"/>
        <v>0</v>
      </c>
      <c r="S124" s="44">
        <f t="shared" si="44"/>
        <v>-172991.68</v>
      </c>
      <c r="T124" s="44">
        <f t="shared" si="45"/>
        <v>0</v>
      </c>
    </row>
    <row r="125" spans="1:20" s="49" customFormat="1" ht="54">
      <c r="A125" s="69">
        <v>1218771</v>
      </c>
      <c r="B125" s="72">
        <v>8771</v>
      </c>
      <c r="C125" s="72" t="s">
        <v>128</v>
      </c>
      <c r="D125" s="55" t="s">
        <v>305</v>
      </c>
      <c r="E125" s="42">
        <f t="shared" si="59"/>
        <v>68200</v>
      </c>
      <c r="F125" s="42">
        <v>68200</v>
      </c>
      <c r="G125" s="42"/>
      <c r="H125" s="42"/>
      <c r="I125" s="42">
        <f t="shared" si="36"/>
        <v>0</v>
      </c>
      <c r="J125" s="42"/>
      <c r="K125" s="42"/>
      <c r="L125" s="42"/>
      <c r="M125" s="80">
        <f t="shared" si="38"/>
        <v>0</v>
      </c>
      <c r="N125" s="80">
        <f t="shared" si="39"/>
        <v>0</v>
      </c>
      <c r="O125" s="80" t="str">
        <f t="shared" si="40"/>
        <v/>
      </c>
      <c r="P125" s="80" t="str">
        <f t="shared" si="41"/>
        <v/>
      </c>
      <c r="Q125" s="44">
        <f t="shared" si="42"/>
        <v>-68200</v>
      </c>
      <c r="R125" s="44">
        <f t="shared" si="43"/>
        <v>-68200</v>
      </c>
      <c r="S125" s="44">
        <f t="shared" si="44"/>
        <v>0</v>
      </c>
      <c r="T125" s="44">
        <f t="shared" si="45"/>
        <v>0</v>
      </c>
    </row>
    <row r="126" spans="1:20" s="32" customFormat="1" ht="52.2">
      <c r="A126" s="27" t="s">
        <v>25</v>
      </c>
      <c r="B126" s="27"/>
      <c r="C126" s="27"/>
      <c r="D126" s="10" t="s">
        <v>212</v>
      </c>
      <c r="E126" s="41">
        <f t="shared" ref="E126:L126" si="63">E127</f>
        <v>42214842.460000016</v>
      </c>
      <c r="F126" s="41">
        <f t="shared" si="63"/>
        <v>3290645.02</v>
      </c>
      <c r="G126" s="41">
        <f t="shared" si="63"/>
        <v>38924197.440000013</v>
      </c>
      <c r="H126" s="41">
        <f t="shared" si="63"/>
        <v>38308852.74000001</v>
      </c>
      <c r="I126" s="41">
        <f t="shared" si="63"/>
        <v>27104719.750000004</v>
      </c>
      <c r="J126" s="41">
        <f t="shared" si="63"/>
        <v>3058670.41</v>
      </c>
      <c r="K126" s="41">
        <f t="shared" si="63"/>
        <v>24046049.340000004</v>
      </c>
      <c r="L126" s="41">
        <f t="shared" si="63"/>
        <v>24046049.340000004</v>
      </c>
      <c r="M126" s="11">
        <f t="shared" si="38"/>
        <v>0.64206611159765992</v>
      </c>
      <c r="N126" s="11">
        <f t="shared" si="39"/>
        <v>0.92950482091198039</v>
      </c>
      <c r="O126" s="11">
        <f t="shared" si="40"/>
        <v>0.61776609208361877</v>
      </c>
      <c r="P126" s="11">
        <f t="shared" si="41"/>
        <v>0.62768910108582898</v>
      </c>
      <c r="Q126" s="45">
        <f t="shared" si="42"/>
        <v>-15110122.710000012</v>
      </c>
      <c r="R126" s="45">
        <f t="shared" si="43"/>
        <v>-231974.60999999987</v>
      </c>
      <c r="S126" s="45">
        <f t="shared" si="44"/>
        <v>-14878148.100000009</v>
      </c>
      <c r="T126" s="45">
        <f t="shared" si="45"/>
        <v>-14262803.400000006</v>
      </c>
    </row>
    <row r="127" spans="1:20" s="32" customFormat="1" ht="52.2">
      <c r="A127" s="27" t="s">
        <v>26</v>
      </c>
      <c r="B127" s="27"/>
      <c r="C127" s="27"/>
      <c r="D127" s="10" t="s">
        <v>212</v>
      </c>
      <c r="E127" s="41">
        <f t="shared" ref="E127:E145" si="64">F127+G127</f>
        <v>42214842.460000016</v>
      </c>
      <c r="F127" s="41">
        <f>F128+F129+F136+F141+F143+F137+F132+F133+F130+F139+F140+F142+F131+F134+F135+F138+F144+F145</f>
        <v>3290645.02</v>
      </c>
      <c r="G127" s="41">
        <f>G128+G129+G136+G141+G143+G137+G132+G133+G130+G139+G140+G142+G131+G134+G135+G138+G144+G145</f>
        <v>38924197.440000013</v>
      </c>
      <c r="H127" s="41">
        <f>H128+H129+H136+H141+H143+H137+H132+H133+H130+H139+H140+H142+H131+H134+H135+H138+H144+H145</f>
        <v>38308852.74000001</v>
      </c>
      <c r="I127" s="41">
        <f t="shared" ref="I127" si="65">J127+K127</f>
        <v>27104719.750000004</v>
      </c>
      <c r="J127" s="41">
        <f>J128+J129+J136+J141+J143+J137+J132+J133+J130+J139+J140+J142+J131+J134+J135+J138+J144+J145</f>
        <v>3058670.41</v>
      </c>
      <c r="K127" s="41">
        <f>K128+K129+K136+K141+K143+K137+K132+K133+K130+K139+K140+K142+K131+K134+K135+K138</f>
        <v>24046049.340000004</v>
      </c>
      <c r="L127" s="41">
        <f>L128+L129+L136+L141+L143+L137+L132+L133+L130+L139+L140+L142+L131+L134+L135+L138</f>
        <v>24046049.340000004</v>
      </c>
      <c r="M127" s="11">
        <f t="shared" si="38"/>
        <v>0.64206611159765992</v>
      </c>
      <c r="N127" s="11">
        <f t="shared" si="39"/>
        <v>0.92950482091198039</v>
      </c>
      <c r="O127" s="11">
        <f t="shared" si="40"/>
        <v>0.61776609208361877</v>
      </c>
      <c r="P127" s="11">
        <f t="shared" si="41"/>
        <v>0.62768910108582898</v>
      </c>
      <c r="Q127" s="45">
        <f t="shared" si="42"/>
        <v>-15110122.710000012</v>
      </c>
      <c r="R127" s="45">
        <f t="shared" si="43"/>
        <v>-231974.60999999987</v>
      </c>
      <c r="S127" s="45">
        <f t="shared" si="44"/>
        <v>-14878148.100000009</v>
      </c>
      <c r="T127" s="45">
        <f t="shared" si="45"/>
        <v>-14262803.400000006</v>
      </c>
    </row>
    <row r="128" spans="1:20" s="49" customFormat="1" ht="90">
      <c r="A128" s="73" t="s">
        <v>306</v>
      </c>
      <c r="B128" s="73" t="s">
        <v>52</v>
      </c>
      <c r="C128" s="73" t="s">
        <v>3</v>
      </c>
      <c r="D128" s="48" t="s">
        <v>307</v>
      </c>
      <c r="E128" s="42">
        <f t="shared" si="64"/>
        <v>538945.43999999994</v>
      </c>
      <c r="F128" s="81"/>
      <c r="G128" s="81">
        <v>538945.43999999994</v>
      </c>
      <c r="H128" s="81">
        <v>538945.43999999994</v>
      </c>
      <c r="I128" s="42">
        <f t="shared" si="36"/>
        <v>0</v>
      </c>
      <c r="J128" s="42"/>
      <c r="K128" s="42"/>
      <c r="L128" s="42"/>
      <c r="M128" s="80">
        <f t="shared" si="38"/>
        <v>0</v>
      </c>
      <c r="N128" s="80" t="str">
        <f t="shared" si="39"/>
        <v/>
      </c>
      <c r="O128" s="80">
        <f t="shared" si="40"/>
        <v>0</v>
      </c>
      <c r="P128" s="80">
        <f t="shared" si="41"/>
        <v>0</v>
      </c>
      <c r="Q128" s="44">
        <f t="shared" si="42"/>
        <v>-538945.43999999994</v>
      </c>
      <c r="R128" s="44">
        <f t="shared" si="43"/>
        <v>0</v>
      </c>
      <c r="S128" s="44">
        <f t="shared" si="44"/>
        <v>-538945.43999999994</v>
      </c>
      <c r="T128" s="44">
        <f t="shared" si="45"/>
        <v>-538945.43999999994</v>
      </c>
    </row>
    <row r="129" spans="1:20" s="49" customFormat="1" ht="54">
      <c r="A129" s="25" t="s">
        <v>94</v>
      </c>
      <c r="B129" s="25" t="s">
        <v>58</v>
      </c>
      <c r="C129" s="25" t="s">
        <v>3</v>
      </c>
      <c r="D129" s="26" t="s">
        <v>235</v>
      </c>
      <c r="E129" s="42">
        <f t="shared" si="64"/>
        <v>2623327.87</v>
      </c>
      <c r="F129" s="81">
        <v>2623327.87</v>
      </c>
      <c r="G129" s="81"/>
      <c r="H129" s="81"/>
      <c r="I129" s="42">
        <f t="shared" si="36"/>
        <v>3008770.41</v>
      </c>
      <c r="J129" s="42">
        <v>3008770.41</v>
      </c>
      <c r="K129" s="42"/>
      <c r="L129" s="42"/>
      <c r="M129" s="80">
        <f t="shared" si="38"/>
        <v>1.1469288472889207</v>
      </c>
      <c r="N129" s="80">
        <f t="shared" si="39"/>
        <v>1.1469288472889207</v>
      </c>
      <c r="O129" s="80" t="str">
        <f t="shared" si="40"/>
        <v/>
      </c>
      <c r="P129" s="80" t="str">
        <f t="shared" si="41"/>
        <v/>
      </c>
      <c r="Q129" s="44">
        <f t="shared" si="42"/>
        <v>385442.54000000004</v>
      </c>
      <c r="R129" s="44">
        <f t="shared" si="43"/>
        <v>385442.54000000004</v>
      </c>
      <c r="S129" s="44">
        <f t="shared" si="44"/>
        <v>0</v>
      </c>
      <c r="T129" s="44">
        <f t="shared" si="45"/>
        <v>0</v>
      </c>
    </row>
    <row r="130" spans="1:20" s="49" customFormat="1" ht="36">
      <c r="A130" s="23" t="s">
        <v>268</v>
      </c>
      <c r="B130" s="23" t="s">
        <v>8</v>
      </c>
      <c r="C130" s="23" t="s">
        <v>6</v>
      </c>
      <c r="D130" s="79" t="s">
        <v>108</v>
      </c>
      <c r="E130" s="42">
        <f t="shared" si="64"/>
        <v>112428</v>
      </c>
      <c r="F130" s="81">
        <v>112428</v>
      </c>
      <c r="G130" s="81"/>
      <c r="H130" s="81"/>
      <c r="I130" s="42">
        <f t="shared" si="36"/>
        <v>49900</v>
      </c>
      <c r="J130" s="42">
        <v>49900</v>
      </c>
      <c r="K130" s="42"/>
      <c r="L130" s="42"/>
      <c r="M130" s="80">
        <f t="shared" si="38"/>
        <v>0.44383961290781654</v>
      </c>
      <c r="N130" s="80">
        <f t="shared" si="39"/>
        <v>0.44383961290781654</v>
      </c>
      <c r="O130" s="80" t="str">
        <f t="shared" si="40"/>
        <v/>
      </c>
      <c r="P130" s="80" t="str">
        <f t="shared" si="41"/>
        <v/>
      </c>
      <c r="Q130" s="44">
        <f t="shared" si="42"/>
        <v>-62528</v>
      </c>
      <c r="R130" s="44">
        <f t="shared" si="43"/>
        <v>-62528</v>
      </c>
      <c r="S130" s="44">
        <f t="shared" si="44"/>
        <v>0</v>
      </c>
      <c r="T130" s="44">
        <f t="shared" si="45"/>
        <v>0</v>
      </c>
    </row>
    <row r="131" spans="1:20" s="49" customFormat="1" ht="36">
      <c r="A131" s="24">
        <v>1512010</v>
      </c>
      <c r="B131" s="24">
        <v>2010</v>
      </c>
      <c r="C131" s="24" t="s">
        <v>29</v>
      </c>
      <c r="D131" s="79" t="s">
        <v>160</v>
      </c>
      <c r="E131" s="42">
        <f t="shared" si="64"/>
        <v>361602.09</v>
      </c>
      <c r="F131" s="81"/>
      <c r="G131" s="81">
        <v>361602.09</v>
      </c>
      <c r="H131" s="81">
        <v>361602.09</v>
      </c>
      <c r="I131" s="42">
        <f t="shared" si="36"/>
        <v>1110730.92</v>
      </c>
      <c r="J131" s="42"/>
      <c r="K131" s="42">
        <v>1110730.92</v>
      </c>
      <c r="L131" s="42">
        <v>1110730.92</v>
      </c>
      <c r="M131" s="80" t="s">
        <v>360</v>
      </c>
      <c r="N131" s="80" t="str">
        <f t="shared" si="39"/>
        <v/>
      </c>
      <c r="O131" s="80" t="s">
        <v>360</v>
      </c>
      <c r="P131" s="80" t="s">
        <v>360</v>
      </c>
      <c r="Q131" s="44">
        <f t="shared" si="42"/>
        <v>749128.82999999984</v>
      </c>
      <c r="R131" s="44">
        <f t="shared" si="43"/>
        <v>0</v>
      </c>
      <c r="S131" s="44">
        <f t="shared" si="44"/>
        <v>749128.82999999984</v>
      </c>
      <c r="T131" s="44">
        <f t="shared" si="45"/>
        <v>749128.82999999984</v>
      </c>
    </row>
    <row r="132" spans="1:20" s="49" customFormat="1" ht="36">
      <c r="A132" s="24" t="s">
        <v>254</v>
      </c>
      <c r="B132" s="24" t="s">
        <v>104</v>
      </c>
      <c r="C132" s="24" t="s">
        <v>39</v>
      </c>
      <c r="D132" s="79" t="s">
        <v>105</v>
      </c>
      <c r="E132" s="42">
        <f t="shared" si="64"/>
        <v>2245675.2200000002</v>
      </c>
      <c r="F132" s="81"/>
      <c r="G132" s="81">
        <v>2245675.2200000002</v>
      </c>
      <c r="H132" s="81">
        <v>2245675.2200000002</v>
      </c>
      <c r="I132" s="42">
        <f t="shared" si="36"/>
        <v>0</v>
      </c>
      <c r="J132" s="42"/>
      <c r="K132" s="42"/>
      <c r="L132" s="42"/>
      <c r="M132" s="80">
        <f t="shared" si="38"/>
        <v>0</v>
      </c>
      <c r="N132" s="80" t="str">
        <f t="shared" si="39"/>
        <v/>
      </c>
      <c r="O132" s="80">
        <f t="shared" si="40"/>
        <v>0</v>
      </c>
      <c r="P132" s="80">
        <f t="shared" si="41"/>
        <v>0</v>
      </c>
      <c r="Q132" s="44">
        <f t="shared" si="42"/>
        <v>-2245675.2200000002</v>
      </c>
      <c r="R132" s="44">
        <f t="shared" si="43"/>
        <v>0</v>
      </c>
      <c r="S132" s="44">
        <f t="shared" si="44"/>
        <v>-2245675.2200000002</v>
      </c>
      <c r="T132" s="44">
        <f t="shared" si="45"/>
        <v>-2245675.2200000002</v>
      </c>
    </row>
    <row r="133" spans="1:20" s="49" customFormat="1" ht="36">
      <c r="A133" s="74">
        <v>1516012</v>
      </c>
      <c r="B133" s="74" t="s">
        <v>125</v>
      </c>
      <c r="C133" s="74" t="s">
        <v>7</v>
      </c>
      <c r="D133" s="57" t="s">
        <v>127</v>
      </c>
      <c r="E133" s="42">
        <f t="shared" si="64"/>
        <v>4250429.46</v>
      </c>
      <c r="F133" s="81"/>
      <c r="G133" s="81">
        <v>4250429.46</v>
      </c>
      <c r="H133" s="81">
        <v>4250429.46</v>
      </c>
      <c r="I133" s="42">
        <f t="shared" si="36"/>
        <v>0</v>
      </c>
      <c r="J133" s="42"/>
      <c r="K133" s="42"/>
      <c r="L133" s="42"/>
      <c r="M133" s="80">
        <f t="shared" si="38"/>
        <v>0</v>
      </c>
      <c r="N133" s="80" t="str">
        <f t="shared" si="39"/>
        <v/>
      </c>
      <c r="O133" s="80">
        <f t="shared" si="40"/>
        <v>0</v>
      </c>
      <c r="P133" s="80">
        <f t="shared" si="41"/>
        <v>0</v>
      </c>
      <c r="Q133" s="44">
        <f t="shared" si="42"/>
        <v>-4250429.46</v>
      </c>
      <c r="R133" s="44">
        <f t="shared" si="43"/>
        <v>0</v>
      </c>
      <c r="S133" s="44">
        <f t="shared" si="44"/>
        <v>-4250429.46</v>
      </c>
      <c r="T133" s="44">
        <f t="shared" si="45"/>
        <v>-4250429.46</v>
      </c>
    </row>
    <row r="134" spans="1:20" s="49" customFormat="1" ht="36">
      <c r="A134" s="24" t="s">
        <v>293</v>
      </c>
      <c r="B134" s="24" t="s">
        <v>106</v>
      </c>
      <c r="C134" s="24" t="s">
        <v>7</v>
      </c>
      <c r="D134" s="79" t="s">
        <v>107</v>
      </c>
      <c r="E134" s="42">
        <f t="shared" si="64"/>
        <v>1479780.11</v>
      </c>
      <c r="F134" s="81"/>
      <c r="G134" s="81">
        <v>1479780.11</v>
      </c>
      <c r="H134" s="81">
        <v>1479780.11</v>
      </c>
      <c r="I134" s="42">
        <f t="shared" si="36"/>
        <v>382749.55</v>
      </c>
      <c r="J134" s="42"/>
      <c r="K134" s="42">
        <v>382749.55</v>
      </c>
      <c r="L134" s="42">
        <v>382749.55</v>
      </c>
      <c r="M134" s="80">
        <f t="shared" si="38"/>
        <v>0.25865299000403508</v>
      </c>
      <c r="N134" s="80" t="str">
        <f t="shared" si="39"/>
        <v/>
      </c>
      <c r="O134" s="80">
        <f t="shared" si="40"/>
        <v>0.25865299000403508</v>
      </c>
      <c r="P134" s="80">
        <f t="shared" si="41"/>
        <v>0.25865299000403508</v>
      </c>
      <c r="Q134" s="44">
        <f t="shared" si="42"/>
        <v>-1097030.56</v>
      </c>
      <c r="R134" s="44">
        <f t="shared" si="43"/>
        <v>0</v>
      </c>
      <c r="S134" s="44">
        <f t="shared" si="44"/>
        <v>-1097030.56</v>
      </c>
      <c r="T134" s="44">
        <f t="shared" si="45"/>
        <v>-1097030.56</v>
      </c>
    </row>
    <row r="135" spans="1:20" s="49" customFormat="1" ht="36">
      <c r="A135" s="24" t="s">
        <v>294</v>
      </c>
      <c r="B135" s="24" t="s">
        <v>288</v>
      </c>
      <c r="C135" s="24" t="s">
        <v>7</v>
      </c>
      <c r="D135" s="79" t="s">
        <v>289</v>
      </c>
      <c r="E135" s="42">
        <f t="shared" si="64"/>
        <v>116154.63</v>
      </c>
      <c r="F135" s="81"/>
      <c r="G135" s="81">
        <v>116154.63</v>
      </c>
      <c r="H135" s="81">
        <v>116154.63</v>
      </c>
      <c r="I135" s="42">
        <f>J135+K135</f>
        <v>6038058.5899999999</v>
      </c>
      <c r="J135" s="42"/>
      <c r="K135" s="42">
        <v>6038058.5899999999</v>
      </c>
      <c r="L135" s="42">
        <v>6038058.5899999999</v>
      </c>
      <c r="M135" s="80" t="s">
        <v>357</v>
      </c>
      <c r="N135" s="80" t="str">
        <f t="shared" si="39"/>
        <v/>
      </c>
      <c r="O135" s="80" t="s">
        <v>357</v>
      </c>
      <c r="P135" s="80" t="s">
        <v>357</v>
      </c>
      <c r="Q135" s="44">
        <f t="shared" si="42"/>
        <v>5921903.96</v>
      </c>
      <c r="R135" s="44">
        <f t="shared" si="43"/>
        <v>0</v>
      </c>
      <c r="S135" s="44">
        <f t="shared" si="44"/>
        <v>5921903.96</v>
      </c>
      <c r="T135" s="44">
        <f t="shared" si="45"/>
        <v>5921903.96</v>
      </c>
    </row>
    <row r="136" spans="1:20" s="49" customFormat="1">
      <c r="A136" s="25" t="s">
        <v>229</v>
      </c>
      <c r="B136" s="25" t="s">
        <v>40</v>
      </c>
      <c r="C136" s="25" t="s">
        <v>7</v>
      </c>
      <c r="D136" s="26" t="s">
        <v>55</v>
      </c>
      <c r="E136" s="42">
        <f t="shared" si="64"/>
        <v>7322004.8899999997</v>
      </c>
      <c r="F136" s="81"/>
      <c r="G136" s="81">
        <v>7322004.8899999997</v>
      </c>
      <c r="H136" s="81">
        <v>7322004.8899999997</v>
      </c>
      <c r="I136" s="42">
        <f t="shared" si="36"/>
        <v>0</v>
      </c>
      <c r="J136" s="42"/>
      <c r="K136" s="42"/>
      <c r="L136" s="42"/>
      <c r="M136" s="80">
        <f t="shared" si="38"/>
        <v>0</v>
      </c>
      <c r="N136" s="80" t="str">
        <f t="shared" si="39"/>
        <v/>
      </c>
      <c r="O136" s="80">
        <f t="shared" si="40"/>
        <v>0</v>
      </c>
      <c r="P136" s="80">
        <f t="shared" si="41"/>
        <v>0</v>
      </c>
      <c r="Q136" s="44">
        <f t="shared" si="42"/>
        <v>-7322004.8899999997</v>
      </c>
      <c r="R136" s="44">
        <f t="shared" si="43"/>
        <v>0</v>
      </c>
      <c r="S136" s="44">
        <f t="shared" si="44"/>
        <v>-7322004.8899999997</v>
      </c>
      <c r="T136" s="44">
        <f t="shared" si="45"/>
        <v>-7322004.8899999997</v>
      </c>
    </row>
    <row r="137" spans="1:20" s="49" customFormat="1" ht="72">
      <c r="A137" s="24" t="s">
        <v>252</v>
      </c>
      <c r="B137" s="24">
        <v>6050</v>
      </c>
      <c r="C137" s="24" t="s">
        <v>7</v>
      </c>
      <c r="D137" s="79" t="s">
        <v>253</v>
      </c>
      <c r="E137" s="42">
        <f t="shared" si="64"/>
        <v>554889.15</v>
      </c>
      <c r="F137" s="81">
        <v>554889.15</v>
      </c>
      <c r="G137" s="81"/>
      <c r="H137" s="81"/>
      <c r="I137" s="42">
        <f t="shared" si="36"/>
        <v>1194872.49</v>
      </c>
      <c r="J137" s="42"/>
      <c r="K137" s="42">
        <v>1194872.49</v>
      </c>
      <c r="L137" s="42">
        <v>1194872.49</v>
      </c>
      <c r="M137" s="80">
        <f t="shared" si="38"/>
        <v>2.1533534941167978</v>
      </c>
      <c r="N137" s="80">
        <f t="shared" si="39"/>
        <v>0</v>
      </c>
      <c r="O137" s="80" t="str">
        <f t="shared" si="40"/>
        <v/>
      </c>
      <c r="P137" s="80" t="str">
        <f t="shared" si="41"/>
        <v/>
      </c>
      <c r="Q137" s="44">
        <f t="shared" si="42"/>
        <v>639983.34</v>
      </c>
      <c r="R137" s="44">
        <f t="shared" si="43"/>
        <v>-554889.15</v>
      </c>
      <c r="S137" s="44">
        <f t="shared" si="44"/>
        <v>1194872.49</v>
      </c>
      <c r="T137" s="44">
        <f t="shared" si="45"/>
        <v>1194872.49</v>
      </c>
    </row>
    <row r="138" spans="1:20" s="49" customFormat="1" ht="36">
      <c r="A138" s="67">
        <v>1517310</v>
      </c>
      <c r="B138" s="68" t="s">
        <v>327</v>
      </c>
      <c r="C138" s="68" t="s">
        <v>269</v>
      </c>
      <c r="D138" s="58" t="s">
        <v>328</v>
      </c>
      <c r="E138" s="42">
        <f t="shared" si="64"/>
        <v>2706236.14</v>
      </c>
      <c r="F138" s="81"/>
      <c r="G138" s="81">
        <v>2706236.14</v>
      </c>
      <c r="H138" s="81">
        <v>2706236.14</v>
      </c>
      <c r="I138" s="42">
        <f t="shared" si="36"/>
        <v>0</v>
      </c>
      <c r="J138" s="42"/>
      <c r="K138" s="42"/>
      <c r="L138" s="42"/>
      <c r="M138" s="80">
        <f t="shared" ref="M138:M163" si="66">IFERROR((I138/E138),"")</f>
        <v>0</v>
      </c>
      <c r="N138" s="80" t="str">
        <f t="shared" ref="N138:N163" si="67">IFERROR((J138/F138),"")</f>
        <v/>
      </c>
      <c r="O138" s="80">
        <f t="shared" ref="O138:O163" si="68">IFERROR((K138/G138),"")</f>
        <v>0</v>
      </c>
      <c r="P138" s="80">
        <f t="shared" ref="P138:P163" si="69">IFERROR((L138/H138),"")</f>
        <v>0</v>
      </c>
      <c r="Q138" s="44">
        <f t="shared" ref="Q138:Q163" si="70">I138-E138</f>
        <v>-2706236.14</v>
      </c>
      <c r="R138" s="44">
        <f t="shared" ref="R138:R163" si="71">J138-F138</f>
        <v>0</v>
      </c>
      <c r="S138" s="44">
        <f t="shared" ref="S138:S163" si="72">K138-G138</f>
        <v>-2706236.14</v>
      </c>
      <c r="T138" s="44">
        <f t="shared" ref="T138:T163" si="73">L138-H138</f>
        <v>-2706236.14</v>
      </c>
    </row>
    <row r="139" spans="1:20" s="49" customFormat="1">
      <c r="A139" s="69">
        <v>1517321</v>
      </c>
      <c r="B139" s="69">
        <v>7321</v>
      </c>
      <c r="C139" s="72" t="s">
        <v>269</v>
      </c>
      <c r="D139" s="55" t="s">
        <v>308</v>
      </c>
      <c r="E139" s="42">
        <f t="shared" si="64"/>
        <v>632871.19999999995</v>
      </c>
      <c r="F139" s="81"/>
      <c r="G139" s="81">
        <v>632871.19999999995</v>
      </c>
      <c r="H139" s="81">
        <v>632871.19999999995</v>
      </c>
      <c r="I139" s="42">
        <f t="shared" si="36"/>
        <v>122583.1</v>
      </c>
      <c r="J139" s="42"/>
      <c r="K139" s="42">
        <v>122583.1</v>
      </c>
      <c r="L139" s="42">
        <v>122583.1</v>
      </c>
      <c r="M139" s="80">
        <f t="shared" si="66"/>
        <v>0.19369359831826763</v>
      </c>
      <c r="N139" s="80" t="str">
        <f t="shared" si="67"/>
        <v/>
      </c>
      <c r="O139" s="80">
        <f t="shared" si="68"/>
        <v>0.19369359831826763</v>
      </c>
      <c r="P139" s="80">
        <f t="shared" si="69"/>
        <v>0.19369359831826763</v>
      </c>
      <c r="Q139" s="44">
        <f t="shared" si="70"/>
        <v>-510288.1</v>
      </c>
      <c r="R139" s="44">
        <f t="shared" si="71"/>
        <v>0</v>
      </c>
      <c r="S139" s="44">
        <f t="shared" si="72"/>
        <v>-510288.1</v>
      </c>
      <c r="T139" s="44">
        <f t="shared" si="73"/>
        <v>-510288.1</v>
      </c>
    </row>
    <row r="140" spans="1:20" s="49" customFormat="1" ht="36">
      <c r="A140" s="69">
        <v>1517370</v>
      </c>
      <c r="B140" s="69">
        <v>7370</v>
      </c>
      <c r="C140" s="72" t="s">
        <v>20</v>
      </c>
      <c r="D140" s="55" t="s">
        <v>309</v>
      </c>
      <c r="E140" s="42">
        <f t="shared" si="64"/>
        <v>1319201.46</v>
      </c>
      <c r="F140" s="81"/>
      <c r="G140" s="81">
        <v>1319201.46</v>
      </c>
      <c r="H140" s="81">
        <v>1319201.46</v>
      </c>
      <c r="I140" s="42">
        <f t="shared" si="36"/>
        <v>5675313.7000000002</v>
      </c>
      <c r="J140" s="42"/>
      <c r="K140" s="42">
        <v>5675313.7000000002</v>
      </c>
      <c r="L140" s="42">
        <v>5675313.7000000002</v>
      </c>
      <c r="M140" s="80" t="s">
        <v>364</v>
      </c>
      <c r="N140" s="80" t="str">
        <f t="shared" si="67"/>
        <v/>
      </c>
      <c r="O140" s="80" t="s">
        <v>364</v>
      </c>
      <c r="P140" s="80" t="s">
        <v>364</v>
      </c>
      <c r="Q140" s="44">
        <f t="shared" si="70"/>
        <v>4356112.24</v>
      </c>
      <c r="R140" s="44">
        <f t="shared" si="71"/>
        <v>0</v>
      </c>
      <c r="S140" s="44">
        <f t="shared" si="72"/>
        <v>4356112.24</v>
      </c>
      <c r="T140" s="44">
        <f t="shared" si="73"/>
        <v>4356112.24</v>
      </c>
    </row>
    <row r="141" spans="1:20" s="49" customFormat="1" ht="36">
      <c r="A141" s="25" t="s">
        <v>236</v>
      </c>
      <c r="B141" s="25" t="s">
        <v>233</v>
      </c>
      <c r="C141" s="25" t="s">
        <v>20</v>
      </c>
      <c r="D141" s="26" t="s">
        <v>234</v>
      </c>
      <c r="E141" s="42">
        <f t="shared" si="64"/>
        <v>385498.86</v>
      </c>
      <c r="F141" s="81"/>
      <c r="G141" s="81">
        <v>385498.86</v>
      </c>
      <c r="H141" s="81">
        <v>385498.86</v>
      </c>
      <c r="I141" s="42">
        <f t="shared" si="36"/>
        <v>0</v>
      </c>
      <c r="J141" s="42"/>
      <c r="K141" s="42"/>
      <c r="L141" s="42"/>
      <c r="M141" s="80">
        <f t="shared" si="66"/>
        <v>0</v>
      </c>
      <c r="N141" s="80" t="str">
        <f t="shared" si="67"/>
        <v/>
      </c>
      <c r="O141" s="80">
        <f t="shared" si="68"/>
        <v>0</v>
      </c>
      <c r="P141" s="80">
        <f t="shared" si="69"/>
        <v>0</v>
      </c>
      <c r="Q141" s="44">
        <f t="shared" si="70"/>
        <v>-385498.86</v>
      </c>
      <c r="R141" s="44">
        <f t="shared" si="71"/>
        <v>0</v>
      </c>
      <c r="S141" s="44">
        <f t="shared" si="72"/>
        <v>-385498.86</v>
      </c>
      <c r="T141" s="44">
        <f t="shared" si="73"/>
        <v>-385498.86</v>
      </c>
    </row>
    <row r="142" spans="1:20" s="49" customFormat="1">
      <c r="A142" s="24" t="s">
        <v>271</v>
      </c>
      <c r="B142" s="24" t="s">
        <v>272</v>
      </c>
      <c r="C142" s="24" t="s">
        <v>273</v>
      </c>
      <c r="D142" s="79" t="s">
        <v>274</v>
      </c>
      <c r="E142" s="42">
        <f t="shared" si="64"/>
        <v>4353291.83</v>
      </c>
      <c r="F142" s="81"/>
      <c r="G142" s="81">
        <v>4353291.83</v>
      </c>
      <c r="H142" s="81">
        <v>4353291.83</v>
      </c>
      <c r="I142" s="42">
        <f t="shared" si="36"/>
        <v>0</v>
      </c>
      <c r="J142" s="42"/>
      <c r="K142" s="42"/>
      <c r="L142" s="42"/>
      <c r="M142" s="80">
        <f t="shared" si="66"/>
        <v>0</v>
      </c>
      <c r="N142" s="80" t="str">
        <f t="shared" si="67"/>
        <v/>
      </c>
      <c r="O142" s="80">
        <f t="shared" si="68"/>
        <v>0</v>
      </c>
      <c r="P142" s="80">
        <f t="shared" si="69"/>
        <v>0</v>
      </c>
      <c r="Q142" s="44">
        <f t="shared" si="70"/>
        <v>-4353291.83</v>
      </c>
      <c r="R142" s="44">
        <f t="shared" si="71"/>
        <v>0</v>
      </c>
      <c r="S142" s="44">
        <f t="shared" si="72"/>
        <v>-4353291.83</v>
      </c>
      <c r="T142" s="44">
        <f t="shared" si="73"/>
        <v>-4353291.83</v>
      </c>
    </row>
    <row r="143" spans="1:20" s="49" customFormat="1" ht="54">
      <c r="A143" s="24" t="s">
        <v>246</v>
      </c>
      <c r="B143" s="23">
        <v>8110</v>
      </c>
      <c r="C143" s="24" t="s">
        <v>5</v>
      </c>
      <c r="D143" s="79" t="s">
        <v>136</v>
      </c>
      <c r="E143" s="42">
        <f t="shared" si="64"/>
        <v>12554441.41</v>
      </c>
      <c r="F143" s="81"/>
      <c r="G143" s="81">
        <v>12554441.41</v>
      </c>
      <c r="H143" s="81">
        <v>12554441.41</v>
      </c>
      <c r="I143" s="42">
        <f t="shared" si="36"/>
        <v>9521740.9900000002</v>
      </c>
      <c r="J143" s="42"/>
      <c r="K143" s="42">
        <f>5064210.5+4457530.49</f>
        <v>9521740.9900000002</v>
      </c>
      <c r="L143" s="42">
        <f>5064210.5+4457530.49</f>
        <v>9521740.9900000002</v>
      </c>
      <c r="M143" s="80">
        <f t="shared" si="66"/>
        <v>0.75843605295060279</v>
      </c>
      <c r="N143" s="80" t="str">
        <f t="shared" si="67"/>
        <v/>
      </c>
      <c r="O143" s="80">
        <f t="shared" si="68"/>
        <v>0.75843605295060279</v>
      </c>
      <c r="P143" s="80">
        <f t="shared" si="69"/>
        <v>0.75843605295060279</v>
      </c>
      <c r="Q143" s="44">
        <f t="shared" si="70"/>
        <v>-3032700.42</v>
      </c>
      <c r="R143" s="44">
        <f t="shared" si="71"/>
        <v>0</v>
      </c>
      <c r="S143" s="44">
        <f t="shared" si="72"/>
        <v>-3032700.42</v>
      </c>
      <c r="T143" s="44">
        <f t="shared" si="73"/>
        <v>-3032700.42</v>
      </c>
    </row>
    <row r="144" spans="1:20" s="49" customFormat="1" ht="36">
      <c r="A144" s="24" t="s">
        <v>345</v>
      </c>
      <c r="B144" s="24" t="s">
        <v>346</v>
      </c>
      <c r="C144" s="24" t="s">
        <v>347</v>
      </c>
      <c r="D144" s="79" t="s">
        <v>348</v>
      </c>
      <c r="E144" s="42">
        <f t="shared" si="64"/>
        <v>42720</v>
      </c>
      <c r="F144" s="81"/>
      <c r="G144" s="81">
        <v>42720</v>
      </c>
      <c r="H144" s="81">
        <v>42720</v>
      </c>
      <c r="I144" s="42">
        <f t="shared" si="36"/>
        <v>0</v>
      </c>
      <c r="J144" s="42"/>
      <c r="K144" s="42"/>
      <c r="L144" s="42"/>
      <c r="M144" s="80">
        <f t="shared" si="66"/>
        <v>0</v>
      </c>
      <c r="N144" s="80" t="str">
        <f t="shared" si="67"/>
        <v/>
      </c>
      <c r="O144" s="80">
        <f t="shared" si="68"/>
        <v>0</v>
      </c>
      <c r="P144" s="80">
        <f t="shared" si="69"/>
        <v>0</v>
      </c>
      <c r="Q144" s="44">
        <f t="shared" si="70"/>
        <v>-42720</v>
      </c>
      <c r="R144" s="44">
        <f t="shared" si="71"/>
        <v>0</v>
      </c>
      <c r="S144" s="44">
        <f t="shared" si="72"/>
        <v>-42720</v>
      </c>
      <c r="T144" s="44">
        <f t="shared" si="73"/>
        <v>-42720</v>
      </c>
    </row>
    <row r="145" spans="1:20" s="49" customFormat="1" ht="36">
      <c r="A145" s="24" t="s">
        <v>349</v>
      </c>
      <c r="B145" s="24" t="s">
        <v>350</v>
      </c>
      <c r="C145" s="24" t="s">
        <v>291</v>
      </c>
      <c r="D145" s="79" t="s">
        <v>292</v>
      </c>
      <c r="E145" s="42">
        <f t="shared" si="64"/>
        <v>615344.69999999995</v>
      </c>
      <c r="F145" s="81"/>
      <c r="G145" s="81">
        <v>615344.69999999995</v>
      </c>
      <c r="H145" s="81"/>
      <c r="I145" s="42">
        <f t="shared" ref="I145" si="74">J145+K145</f>
        <v>0</v>
      </c>
      <c r="J145" s="42"/>
      <c r="K145" s="42"/>
      <c r="L145" s="42"/>
      <c r="M145" s="80">
        <f t="shared" si="66"/>
        <v>0</v>
      </c>
      <c r="N145" s="80" t="str">
        <f t="shared" si="67"/>
        <v/>
      </c>
      <c r="O145" s="80">
        <f t="shared" si="68"/>
        <v>0</v>
      </c>
      <c r="P145" s="80" t="str">
        <f t="shared" si="69"/>
        <v/>
      </c>
      <c r="Q145" s="44">
        <f t="shared" si="70"/>
        <v>-615344.69999999995</v>
      </c>
      <c r="R145" s="44">
        <f t="shared" si="71"/>
        <v>0</v>
      </c>
      <c r="S145" s="44">
        <f t="shared" si="72"/>
        <v>-615344.69999999995</v>
      </c>
      <c r="T145" s="44">
        <f t="shared" si="73"/>
        <v>0</v>
      </c>
    </row>
    <row r="146" spans="1:20" s="32" customFormat="1" ht="52.2">
      <c r="A146" s="27" t="s">
        <v>95</v>
      </c>
      <c r="B146" s="27"/>
      <c r="C146" s="27"/>
      <c r="D146" s="10" t="s">
        <v>213</v>
      </c>
      <c r="E146" s="41">
        <f t="shared" ref="E146:L146" si="75">E147</f>
        <v>12491617.649999999</v>
      </c>
      <c r="F146" s="41">
        <f t="shared" si="75"/>
        <v>12461617.649999999</v>
      </c>
      <c r="G146" s="41">
        <f t="shared" si="75"/>
        <v>30000</v>
      </c>
      <c r="H146" s="41">
        <f t="shared" si="75"/>
        <v>30000</v>
      </c>
      <c r="I146" s="41">
        <f t="shared" si="75"/>
        <v>14848397.789999999</v>
      </c>
      <c r="J146" s="41">
        <f t="shared" si="75"/>
        <v>14848397.789999999</v>
      </c>
      <c r="K146" s="41">
        <f t="shared" si="75"/>
        <v>0</v>
      </c>
      <c r="L146" s="41">
        <f t="shared" si="75"/>
        <v>0</v>
      </c>
      <c r="M146" s="11">
        <f t="shared" si="66"/>
        <v>1.1886689303206459</v>
      </c>
      <c r="N146" s="11">
        <f t="shared" si="67"/>
        <v>1.1915305225240962</v>
      </c>
      <c r="O146" s="11">
        <f t="shared" si="68"/>
        <v>0</v>
      </c>
      <c r="P146" s="11">
        <f t="shared" si="69"/>
        <v>0</v>
      </c>
      <c r="Q146" s="45">
        <f t="shared" si="70"/>
        <v>2356780.1400000006</v>
      </c>
      <c r="R146" s="45">
        <f t="shared" si="71"/>
        <v>2386780.1400000006</v>
      </c>
      <c r="S146" s="45">
        <f t="shared" si="72"/>
        <v>-30000</v>
      </c>
      <c r="T146" s="45">
        <f t="shared" si="73"/>
        <v>-30000</v>
      </c>
    </row>
    <row r="147" spans="1:20" s="32" customFormat="1" ht="52.2">
      <c r="A147" s="27" t="s">
        <v>96</v>
      </c>
      <c r="B147" s="27"/>
      <c r="C147" s="27"/>
      <c r="D147" s="10" t="s">
        <v>213</v>
      </c>
      <c r="E147" s="41">
        <f t="shared" ref="E147:E155" si="76">F147+G147</f>
        <v>12491617.649999999</v>
      </c>
      <c r="F147" s="41">
        <f>F148+F153+F150+F152+F155+F149+F154+F151</f>
        <v>12461617.649999999</v>
      </c>
      <c r="G147" s="41">
        <f t="shared" ref="G147:H147" si="77">G148+G153+G150+G152+G155+G149+G154</f>
        <v>30000</v>
      </c>
      <c r="H147" s="41">
        <f t="shared" si="77"/>
        <v>30000</v>
      </c>
      <c r="I147" s="41">
        <f t="shared" ref="I147" si="78">J147+K147</f>
        <v>14848397.789999999</v>
      </c>
      <c r="J147" s="41">
        <f>J148+J153+J150+J152+J149+J155+J154+J151</f>
        <v>14848397.789999999</v>
      </c>
      <c r="K147" s="41">
        <f>K148+K153+K150+K152+K149+K155+K154+K151</f>
        <v>0</v>
      </c>
      <c r="L147" s="41">
        <f>L148+L153+L150+L152+L149+L155+L154+L151</f>
        <v>0</v>
      </c>
      <c r="M147" s="11">
        <f t="shared" si="66"/>
        <v>1.1886689303206459</v>
      </c>
      <c r="N147" s="11">
        <f t="shared" si="67"/>
        <v>1.1915305225240962</v>
      </c>
      <c r="O147" s="11">
        <f t="shared" si="68"/>
        <v>0</v>
      </c>
      <c r="P147" s="11">
        <f t="shared" si="69"/>
        <v>0</v>
      </c>
      <c r="Q147" s="45">
        <f t="shared" si="70"/>
        <v>2356780.1400000006</v>
      </c>
      <c r="R147" s="45">
        <f t="shared" si="71"/>
        <v>2386780.1400000006</v>
      </c>
      <c r="S147" s="45">
        <f t="shared" si="72"/>
        <v>-30000</v>
      </c>
      <c r="T147" s="45">
        <f t="shared" si="73"/>
        <v>-30000</v>
      </c>
    </row>
    <row r="148" spans="1:20" s="49" customFormat="1" ht="54">
      <c r="A148" s="25" t="s">
        <v>97</v>
      </c>
      <c r="B148" s="25" t="s">
        <v>58</v>
      </c>
      <c r="C148" s="25" t="s">
        <v>3</v>
      </c>
      <c r="D148" s="26" t="s">
        <v>235</v>
      </c>
      <c r="E148" s="42">
        <f t="shared" si="76"/>
        <v>2080936.53</v>
      </c>
      <c r="F148" s="42">
        <v>2050936.53</v>
      </c>
      <c r="G148" s="42">
        <v>30000</v>
      </c>
      <c r="H148" s="42">
        <v>30000</v>
      </c>
      <c r="I148" s="42">
        <f t="shared" ref="I148:I163" si="79">J148+K148</f>
        <v>2689088.66</v>
      </c>
      <c r="J148" s="42">
        <v>2689088.66</v>
      </c>
      <c r="K148" s="42"/>
      <c r="L148" s="42"/>
      <c r="M148" s="80">
        <f t="shared" si="66"/>
        <v>1.2922492451031171</v>
      </c>
      <c r="N148" s="80">
        <f t="shared" si="67"/>
        <v>1.3111515742517883</v>
      </c>
      <c r="O148" s="80">
        <f t="shared" si="68"/>
        <v>0</v>
      </c>
      <c r="P148" s="80">
        <f t="shared" si="69"/>
        <v>0</v>
      </c>
      <c r="Q148" s="44">
        <f t="shared" si="70"/>
        <v>608152.13000000012</v>
      </c>
      <c r="R148" s="44">
        <f t="shared" si="71"/>
        <v>638152.13000000012</v>
      </c>
      <c r="S148" s="44">
        <f t="shared" si="72"/>
        <v>-30000</v>
      </c>
      <c r="T148" s="44">
        <f t="shared" si="73"/>
        <v>-30000</v>
      </c>
    </row>
    <row r="149" spans="1:20" s="49" customFormat="1" ht="36">
      <c r="A149" s="69" t="s">
        <v>310</v>
      </c>
      <c r="B149" s="69" t="s">
        <v>8</v>
      </c>
      <c r="C149" s="69" t="s">
        <v>6</v>
      </c>
      <c r="D149" s="55" t="s">
        <v>108</v>
      </c>
      <c r="E149" s="42">
        <f t="shared" si="76"/>
        <v>30537.279999999999</v>
      </c>
      <c r="F149" s="42">
        <v>30537.279999999999</v>
      </c>
      <c r="G149" s="42"/>
      <c r="H149" s="42"/>
      <c r="I149" s="42">
        <f t="shared" si="79"/>
        <v>57160.04</v>
      </c>
      <c r="J149" s="42">
        <v>57160.04</v>
      </c>
      <c r="K149" s="42"/>
      <c r="L149" s="42"/>
      <c r="M149" s="80">
        <f t="shared" si="66"/>
        <v>1.8718117658154232</v>
      </c>
      <c r="N149" s="80">
        <f t="shared" si="67"/>
        <v>1.8718117658154232</v>
      </c>
      <c r="O149" s="80" t="str">
        <f t="shared" si="68"/>
        <v/>
      </c>
      <c r="P149" s="80" t="str">
        <f t="shared" si="69"/>
        <v/>
      </c>
      <c r="Q149" s="44">
        <f t="shared" si="70"/>
        <v>26622.760000000002</v>
      </c>
      <c r="R149" s="44">
        <f t="shared" si="71"/>
        <v>26622.760000000002</v>
      </c>
      <c r="S149" s="44">
        <f t="shared" si="72"/>
        <v>0</v>
      </c>
      <c r="T149" s="44">
        <f t="shared" si="73"/>
        <v>0</v>
      </c>
    </row>
    <row r="150" spans="1:20" s="49" customFormat="1" ht="36">
      <c r="A150" s="23" t="s">
        <v>247</v>
      </c>
      <c r="B150" s="23" t="s">
        <v>155</v>
      </c>
      <c r="C150" s="23" t="s">
        <v>7</v>
      </c>
      <c r="D150" s="79" t="s">
        <v>248</v>
      </c>
      <c r="E150" s="42">
        <f t="shared" si="76"/>
        <v>64465.599999999999</v>
      </c>
      <c r="F150" s="42">
        <v>64465.599999999999</v>
      </c>
      <c r="G150" s="42"/>
      <c r="H150" s="42"/>
      <c r="I150" s="42">
        <f t="shared" si="79"/>
        <v>111091.97</v>
      </c>
      <c r="J150" s="42">
        <v>111091.97</v>
      </c>
      <c r="K150" s="42"/>
      <c r="L150" s="42"/>
      <c r="M150" s="80">
        <f t="shared" si="66"/>
        <v>1.7232752041398824</v>
      </c>
      <c r="N150" s="80">
        <f t="shared" si="67"/>
        <v>1.7232752041398824</v>
      </c>
      <c r="O150" s="80" t="str">
        <f t="shared" si="68"/>
        <v/>
      </c>
      <c r="P150" s="80" t="str">
        <f t="shared" si="69"/>
        <v/>
      </c>
      <c r="Q150" s="44">
        <f t="shared" si="70"/>
        <v>46626.37</v>
      </c>
      <c r="R150" s="44">
        <f t="shared" si="71"/>
        <v>46626.37</v>
      </c>
      <c r="S150" s="44">
        <f t="shared" si="72"/>
        <v>0</v>
      </c>
      <c r="T150" s="44">
        <f t="shared" si="73"/>
        <v>0</v>
      </c>
    </row>
    <row r="151" spans="1:20" s="49" customFormat="1">
      <c r="A151" s="94" t="s">
        <v>354</v>
      </c>
      <c r="B151" s="94" t="s">
        <v>355</v>
      </c>
      <c r="C151" s="94" t="s">
        <v>352</v>
      </c>
      <c r="D151" s="95" t="s">
        <v>353</v>
      </c>
      <c r="E151" s="42">
        <f t="shared" si="76"/>
        <v>0</v>
      </c>
      <c r="F151" s="42"/>
      <c r="G151" s="42"/>
      <c r="H151" s="42"/>
      <c r="I151" s="42">
        <f t="shared" si="79"/>
        <v>137000</v>
      </c>
      <c r="J151" s="42">
        <v>137000</v>
      </c>
      <c r="K151" s="42"/>
      <c r="L151" s="42"/>
      <c r="M151" s="80" t="str">
        <f t="shared" si="66"/>
        <v/>
      </c>
      <c r="N151" s="80" t="str">
        <f t="shared" si="67"/>
        <v/>
      </c>
      <c r="O151" s="80" t="str">
        <f t="shared" si="68"/>
        <v/>
      </c>
      <c r="P151" s="80" t="str">
        <f t="shared" si="69"/>
        <v/>
      </c>
      <c r="Q151" s="44">
        <f t="shared" si="70"/>
        <v>137000</v>
      </c>
      <c r="R151" s="44">
        <f t="shared" si="71"/>
        <v>137000</v>
      </c>
      <c r="S151" s="44">
        <f t="shared" si="72"/>
        <v>0</v>
      </c>
      <c r="T151" s="44">
        <f t="shared" si="73"/>
        <v>0</v>
      </c>
    </row>
    <row r="152" spans="1:20" s="49" customFormat="1" ht="36">
      <c r="A152" s="23">
        <v>3117350</v>
      </c>
      <c r="B152" s="23">
        <v>7350</v>
      </c>
      <c r="C152" s="24" t="s">
        <v>269</v>
      </c>
      <c r="D152" s="79" t="s">
        <v>270</v>
      </c>
      <c r="E152" s="42">
        <f t="shared" si="76"/>
        <v>787541.28</v>
      </c>
      <c r="F152" s="42">
        <v>787541.28</v>
      </c>
      <c r="G152" s="42"/>
      <c r="H152" s="42"/>
      <c r="I152" s="42">
        <f t="shared" si="79"/>
        <v>960683</v>
      </c>
      <c r="J152" s="42">
        <v>960683</v>
      </c>
      <c r="K152" s="42"/>
      <c r="L152" s="42"/>
      <c r="M152" s="80">
        <f t="shared" si="66"/>
        <v>1.2198509772084583</v>
      </c>
      <c r="N152" s="80">
        <f t="shared" si="67"/>
        <v>1.2198509772084583</v>
      </c>
      <c r="O152" s="80" t="str">
        <f t="shared" si="68"/>
        <v/>
      </c>
      <c r="P152" s="80" t="str">
        <f t="shared" si="69"/>
        <v/>
      </c>
      <c r="Q152" s="44">
        <f t="shared" si="70"/>
        <v>173141.71999999997</v>
      </c>
      <c r="R152" s="44">
        <f t="shared" si="71"/>
        <v>173141.71999999997</v>
      </c>
      <c r="S152" s="44">
        <f t="shared" si="72"/>
        <v>0</v>
      </c>
      <c r="T152" s="44">
        <f t="shared" si="73"/>
        <v>0</v>
      </c>
    </row>
    <row r="153" spans="1:20" s="49" customFormat="1" ht="36">
      <c r="A153" s="25" t="s">
        <v>178</v>
      </c>
      <c r="B153" s="25" t="s">
        <v>134</v>
      </c>
      <c r="C153" s="25" t="s">
        <v>20</v>
      </c>
      <c r="D153" s="26" t="s">
        <v>135</v>
      </c>
      <c r="E153" s="42">
        <f t="shared" si="76"/>
        <v>9461061.0899999999</v>
      </c>
      <c r="F153" s="42">
        <v>9461061.0899999999</v>
      </c>
      <c r="G153" s="42"/>
      <c r="H153" s="42"/>
      <c r="I153" s="42">
        <f t="shared" si="79"/>
        <v>10827422.08</v>
      </c>
      <c r="J153" s="42">
        <f>1041298.67+77702.39+9708421.02</f>
        <v>10827422.08</v>
      </c>
      <c r="K153" s="42"/>
      <c r="L153" s="42"/>
      <c r="M153" s="80">
        <f t="shared" si="66"/>
        <v>1.1444194236779841</v>
      </c>
      <c r="N153" s="80">
        <f t="shared" si="67"/>
        <v>1.1444194236779841</v>
      </c>
      <c r="O153" s="80" t="str">
        <f t="shared" si="68"/>
        <v/>
      </c>
      <c r="P153" s="80" t="str">
        <f t="shared" si="69"/>
        <v/>
      </c>
      <c r="Q153" s="44">
        <f t="shared" si="70"/>
        <v>1366360.9900000002</v>
      </c>
      <c r="R153" s="44">
        <f t="shared" si="71"/>
        <v>1366360.9900000002</v>
      </c>
      <c r="S153" s="44">
        <f t="shared" si="72"/>
        <v>0</v>
      </c>
      <c r="T153" s="44">
        <f t="shared" si="73"/>
        <v>0</v>
      </c>
    </row>
    <row r="154" spans="1:20" s="49" customFormat="1" ht="54">
      <c r="A154" s="23">
        <v>3118110</v>
      </c>
      <c r="B154" s="23">
        <v>8110</v>
      </c>
      <c r="C154" s="24" t="s">
        <v>5</v>
      </c>
      <c r="D154" s="79" t="s">
        <v>136</v>
      </c>
      <c r="E154" s="42">
        <f t="shared" si="76"/>
        <v>22200.400000000001</v>
      </c>
      <c r="F154" s="42">
        <v>22200.400000000001</v>
      </c>
      <c r="G154" s="42"/>
      <c r="H154" s="42"/>
      <c r="I154" s="42">
        <f t="shared" si="79"/>
        <v>0</v>
      </c>
      <c r="J154" s="42"/>
      <c r="K154" s="42"/>
      <c r="L154" s="42"/>
      <c r="M154" s="80">
        <f t="shared" si="66"/>
        <v>0</v>
      </c>
      <c r="N154" s="80">
        <f t="shared" si="67"/>
        <v>0</v>
      </c>
      <c r="O154" s="80" t="str">
        <f t="shared" si="68"/>
        <v/>
      </c>
      <c r="P154" s="80" t="str">
        <f t="shared" si="69"/>
        <v/>
      </c>
      <c r="Q154" s="44">
        <f t="shared" si="70"/>
        <v>-22200.400000000001</v>
      </c>
      <c r="R154" s="44">
        <f t="shared" si="71"/>
        <v>-22200.400000000001</v>
      </c>
      <c r="S154" s="44">
        <f t="shared" si="72"/>
        <v>0</v>
      </c>
      <c r="T154" s="44">
        <f t="shared" si="73"/>
        <v>0</v>
      </c>
    </row>
    <row r="155" spans="1:20" s="49" customFormat="1" ht="30" customHeight="1">
      <c r="A155" s="72" t="s">
        <v>311</v>
      </c>
      <c r="B155" s="72" t="s">
        <v>249</v>
      </c>
      <c r="C155" s="72" t="s">
        <v>221</v>
      </c>
      <c r="D155" s="59" t="s">
        <v>245</v>
      </c>
      <c r="E155" s="42">
        <f t="shared" si="76"/>
        <v>44875.47</v>
      </c>
      <c r="F155" s="42">
        <v>44875.47</v>
      </c>
      <c r="G155" s="42"/>
      <c r="H155" s="42"/>
      <c r="I155" s="42">
        <f t="shared" si="79"/>
        <v>65952.039999999994</v>
      </c>
      <c r="J155" s="42">
        <v>65952.039999999994</v>
      </c>
      <c r="K155" s="42"/>
      <c r="L155" s="42"/>
      <c r="M155" s="80">
        <f t="shared" si="66"/>
        <v>1.4696679499958438</v>
      </c>
      <c r="N155" s="80">
        <f t="shared" si="67"/>
        <v>1.4696679499958438</v>
      </c>
      <c r="O155" s="80" t="str">
        <f t="shared" si="68"/>
        <v/>
      </c>
      <c r="P155" s="80" t="str">
        <f t="shared" si="69"/>
        <v/>
      </c>
      <c r="Q155" s="44">
        <f t="shared" si="70"/>
        <v>21076.569999999992</v>
      </c>
      <c r="R155" s="44">
        <f t="shared" si="71"/>
        <v>21076.569999999992</v>
      </c>
      <c r="S155" s="44">
        <f t="shared" si="72"/>
        <v>0</v>
      </c>
      <c r="T155" s="44">
        <f t="shared" si="73"/>
        <v>0</v>
      </c>
    </row>
    <row r="156" spans="1:20" s="32" customFormat="1" ht="52.2">
      <c r="A156" s="27" t="s">
        <v>98</v>
      </c>
      <c r="B156" s="27"/>
      <c r="C156" s="27"/>
      <c r="D156" s="10" t="s">
        <v>214</v>
      </c>
      <c r="E156" s="41">
        <f t="shared" ref="E156:L156" si="80">E157</f>
        <v>56916128.350000001</v>
      </c>
      <c r="F156" s="41">
        <f t="shared" si="80"/>
        <v>52805059.350000001</v>
      </c>
      <c r="G156" s="41">
        <f t="shared" si="80"/>
        <v>4111069</v>
      </c>
      <c r="H156" s="41">
        <f t="shared" si="80"/>
        <v>4110110</v>
      </c>
      <c r="I156" s="41">
        <f t="shared" si="80"/>
        <v>65639506.579999998</v>
      </c>
      <c r="J156" s="41">
        <f t="shared" si="80"/>
        <v>19270982.829999998</v>
      </c>
      <c r="K156" s="41">
        <f t="shared" si="80"/>
        <v>46368523.75</v>
      </c>
      <c r="L156" s="41">
        <f t="shared" si="80"/>
        <v>46368391</v>
      </c>
      <c r="M156" s="11">
        <f t="shared" si="66"/>
        <v>1.1532672457331683</v>
      </c>
      <c r="N156" s="11">
        <f t="shared" si="67"/>
        <v>0.36494576594013423</v>
      </c>
      <c r="O156" s="11" t="s">
        <v>365</v>
      </c>
      <c r="P156" s="11" t="s">
        <v>365</v>
      </c>
      <c r="Q156" s="45">
        <f t="shared" si="70"/>
        <v>8723378.2299999967</v>
      </c>
      <c r="R156" s="45">
        <f t="shared" si="71"/>
        <v>-33534076.520000003</v>
      </c>
      <c r="S156" s="45">
        <f t="shared" si="72"/>
        <v>42257454.75</v>
      </c>
      <c r="T156" s="45">
        <f t="shared" si="73"/>
        <v>42258281</v>
      </c>
    </row>
    <row r="157" spans="1:20" s="32" customFormat="1" ht="52.2">
      <c r="A157" s="27" t="s">
        <v>99</v>
      </c>
      <c r="B157" s="27"/>
      <c r="C157" s="27"/>
      <c r="D157" s="10" t="s">
        <v>215</v>
      </c>
      <c r="E157" s="41">
        <f t="shared" ref="E157:E162" si="81">F157+G157</f>
        <v>56916128.350000001</v>
      </c>
      <c r="F157" s="41">
        <f>F158+F159+F160+F162+F161</f>
        <v>52805059.350000001</v>
      </c>
      <c r="G157" s="41">
        <f t="shared" ref="G157:H157" si="82">G158+G159+G160+G162+G161</f>
        <v>4111069</v>
      </c>
      <c r="H157" s="41">
        <f t="shared" si="82"/>
        <v>4110110</v>
      </c>
      <c r="I157" s="41">
        <f t="shared" ref="I157" si="83">J157+K157</f>
        <v>65639506.579999998</v>
      </c>
      <c r="J157" s="41">
        <f>J158+J159+J160+J162+J161</f>
        <v>19270982.829999998</v>
      </c>
      <c r="K157" s="41">
        <f t="shared" ref="K157:L157" si="84">K158+K159+K160+K162+K161</f>
        <v>46368523.75</v>
      </c>
      <c r="L157" s="41">
        <f t="shared" si="84"/>
        <v>46368391</v>
      </c>
      <c r="M157" s="11">
        <f t="shared" si="66"/>
        <v>1.1532672457331683</v>
      </c>
      <c r="N157" s="11">
        <f t="shared" si="67"/>
        <v>0.36494576594013423</v>
      </c>
      <c r="O157" s="11" t="s">
        <v>365</v>
      </c>
      <c r="P157" s="11" t="s">
        <v>365</v>
      </c>
      <c r="Q157" s="45">
        <f t="shared" si="70"/>
        <v>8723378.2299999967</v>
      </c>
      <c r="R157" s="45">
        <f t="shared" si="71"/>
        <v>-33534076.520000003</v>
      </c>
      <c r="S157" s="45">
        <f t="shared" si="72"/>
        <v>42257454.75</v>
      </c>
      <c r="T157" s="45">
        <f t="shared" si="73"/>
        <v>42258281</v>
      </c>
    </row>
    <row r="158" spans="1:20" s="49" customFormat="1" ht="54">
      <c r="A158" s="25" t="s">
        <v>100</v>
      </c>
      <c r="B158" s="25" t="s">
        <v>58</v>
      </c>
      <c r="C158" s="25" t="s">
        <v>3</v>
      </c>
      <c r="D158" s="26" t="s">
        <v>235</v>
      </c>
      <c r="E158" s="42">
        <f t="shared" si="81"/>
        <v>3608120.35</v>
      </c>
      <c r="F158" s="81">
        <v>3607161.35</v>
      </c>
      <c r="G158" s="81">
        <v>959</v>
      </c>
      <c r="H158" s="81"/>
      <c r="I158" s="42">
        <f t="shared" si="79"/>
        <v>4253135.58</v>
      </c>
      <c r="J158" s="42">
        <v>4253002.83</v>
      </c>
      <c r="K158" s="42">
        <v>132.75</v>
      </c>
      <c r="L158" s="42"/>
      <c r="M158" s="80">
        <f t="shared" si="66"/>
        <v>1.1787676594545966</v>
      </c>
      <c r="N158" s="80">
        <f t="shared" si="67"/>
        <v>1.1790442448602971</v>
      </c>
      <c r="O158" s="80">
        <f t="shared" si="68"/>
        <v>0.13842544316996871</v>
      </c>
      <c r="P158" s="80" t="str">
        <f t="shared" si="69"/>
        <v/>
      </c>
      <c r="Q158" s="44">
        <f t="shared" si="70"/>
        <v>645015.23</v>
      </c>
      <c r="R158" s="44">
        <f t="shared" si="71"/>
        <v>645841.48</v>
      </c>
      <c r="S158" s="44">
        <f t="shared" si="72"/>
        <v>-826.25</v>
      </c>
      <c r="T158" s="44">
        <f t="shared" si="73"/>
        <v>0</v>
      </c>
    </row>
    <row r="159" spans="1:20" s="49" customFormat="1" ht="36">
      <c r="A159" s="25" t="s">
        <v>109</v>
      </c>
      <c r="B159" s="25" t="s">
        <v>8</v>
      </c>
      <c r="C159" s="25" t="s">
        <v>6</v>
      </c>
      <c r="D159" s="26" t="s">
        <v>108</v>
      </c>
      <c r="E159" s="42">
        <f t="shared" si="81"/>
        <v>44408</v>
      </c>
      <c r="F159" s="81">
        <v>44408</v>
      </c>
      <c r="G159" s="81"/>
      <c r="H159" s="81"/>
      <c r="I159" s="42">
        <f t="shared" si="79"/>
        <v>40200</v>
      </c>
      <c r="J159" s="42">
        <v>40200</v>
      </c>
      <c r="K159" s="42"/>
      <c r="L159" s="42"/>
      <c r="M159" s="80">
        <f t="shared" si="66"/>
        <v>0.90524229868492168</v>
      </c>
      <c r="N159" s="80">
        <f t="shared" si="67"/>
        <v>0.90524229868492168</v>
      </c>
      <c r="O159" s="80" t="str">
        <f t="shared" si="68"/>
        <v/>
      </c>
      <c r="P159" s="80" t="str">
        <f t="shared" si="69"/>
        <v/>
      </c>
      <c r="Q159" s="44">
        <f t="shared" si="70"/>
        <v>-4208</v>
      </c>
      <c r="R159" s="44">
        <f t="shared" si="71"/>
        <v>-4208</v>
      </c>
      <c r="S159" s="44">
        <f t="shared" si="72"/>
        <v>0</v>
      </c>
      <c r="T159" s="44">
        <f t="shared" si="73"/>
        <v>0</v>
      </c>
    </row>
    <row r="160" spans="1:20" s="49" customFormat="1">
      <c r="A160" s="25" t="s">
        <v>111</v>
      </c>
      <c r="B160" s="25" t="s">
        <v>110</v>
      </c>
      <c r="C160" s="25" t="s">
        <v>8</v>
      </c>
      <c r="D160" s="26" t="s">
        <v>2</v>
      </c>
      <c r="E160" s="42">
        <f t="shared" si="81"/>
        <v>7721100</v>
      </c>
      <c r="F160" s="81">
        <v>7721100</v>
      </c>
      <c r="G160" s="81"/>
      <c r="H160" s="81"/>
      <c r="I160" s="42">
        <f t="shared" si="79"/>
        <v>0</v>
      </c>
      <c r="J160" s="42"/>
      <c r="K160" s="42"/>
      <c r="L160" s="42"/>
      <c r="M160" s="80">
        <f t="shared" si="66"/>
        <v>0</v>
      </c>
      <c r="N160" s="80">
        <f t="shared" si="67"/>
        <v>0</v>
      </c>
      <c r="O160" s="80" t="str">
        <f t="shared" si="68"/>
        <v/>
      </c>
      <c r="P160" s="80" t="str">
        <f t="shared" si="69"/>
        <v/>
      </c>
      <c r="Q160" s="44">
        <f t="shared" si="70"/>
        <v>-7721100</v>
      </c>
      <c r="R160" s="44">
        <f t="shared" si="71"/>
        <v>-7721100</v>
      </c>
      <c r="S160" s="44">
        <f t="shared" si="72"/>
        <v>0</v>
      </c>
      <c r="T160" s="44">
        <f t="shared" si="73"/>
        <v>0</v>
      </c>
    </row>
    <row r="161" spans="1:20" s="49" customFormat="1">
      <c r="A161" s="25" t="s">
        <v>163</v>
      </c>
      <c r="B161" s="25" t="s">
        <v>161</v>
      </c>
      <c r="C161" s="25" t="s">
        <v>8</v>
      </c>
      <c r="D161" s="18" t="s">
        <v>162</v>
      </c>
      <c r="E161" s="42">
        <f t="shared" si="81"/>
        <v>20320000</v>
      </c>
      <c r="F161" s="81">
        <v>20320000</v>
      </c>
      <c r="G161" s="81"/>
      <c r="H161" s="81"/>
      <c r="I161" s="42">
        <f t="shared" si="79"/>
        <v>5648100</v>
      </c>
      <c r="J161" s="42">
        <v>3848100</v>
      </c>
      <c r="K161" s="42">
        <v>1800000</v>
      </c>
      <c r="L161" s="42">
        <v>1800000</v>
      </c>
      <c r="M161" s="80">
        <f t="shared" si="66"/>
        <v>0.27795767716535436</v>
      </c>
      <c r="N161" s="80">
        <f t="shared" si="67"/>
        <v>0.18937499999999999</v>
      </c>
      <c r="O161" s="80" t="str">
        <f t="shared" si="68"/>
        <v/>
      </c>
      <c r="P161" s="80" t="str">
        <f t="shared" si="69"/>
        <v/>
      </c>
      <c r="Q161" s="44">
        <f t="shared" si="70"/>
        <v>-14671900</v>
      </c>
      <c r="R161" s="44">
        <f t="shared" si="71"/>
        <v>-16471900</v>
      </c>
      <c r="S161" s="44">
        <f t="shared" si="72"/>
        <v>1800000</v>
      </c>
      <c r="T161" s="44">
        <f t="shared" si="73"/>
        <v>1800000</v>
      </c>
    </row>
    <row r="162" spans="1:20" s="49" customFormat="1" ht="54">
      <c r="A162" s="25" t="s">
        <v>159</v>
      </c>
      <c r="B162" s="25" t="s">
        <v>157</v>
      </c>
      <c r="C162" s="39" t="s">
        <v>8</v>
      </c>
      <c r="D162" s="17" t="s">
        <v>158</v>
      </c>
      <c r="E162" s="42">
        <f t="shared" si="81"/>
        <v>25222500</v>
      </c>
      <c r="F162" s="81">
        <v>21112390</v>
      </c>
      <c r="G162" s="81">
        <v>4110110</v>
      </c>
      <c r="H162" s="81">
        <v>4110110</v>
      </c>
      <c r="I162" s="42">
        <f t="shared" si="79"/>
        <v>55698071</v>
      </c>
      <c r="J162" s="42">
        <v>11129680</v>
      </c>
      <c r="K162" s="42">
        <v>44568391</v>
      </c>
      <c r="L162" s="42">
        <v>44568391</v>
      </c>
      <c r="M162" s="80">
        <f t="shared" si="66"/>
        <v>2.208269243730796</v>
      </c>
      <c r="N162" s="80">
        <f t="shared" si="67"/>
        <v>0.52716343341516525</v>
      </c>
      <c r="O162" s="80" t="s">
        <v>365</v>
      </c>
      <c r="P162" s="80" t="s">
        <v>365</v>
      </c>
      <c r="Q162" s="44">
        <f t="shared" si="70"/>
        <v>30475571</v>
      </c>
      <c r="R162" s="44">
        <f t="shared" si="71"/>
        <v>-9982710</v>
      </c>
      <c r="S162" s="44">
        <f t="shared" si="72"/>
        <v>40458281</v>
      </c>
      <c r="T162" s="44">
        <f t="shared" si="73"/>
        <v>40458281</v>
      </c>
    </row>
    <row r="163" spans="1:20" s="32" customFormat="1" ht="17.399999999999999">
      <c r="A163" s="27"/>
      <c r="B163" s="27"/>
      <c r="C163" s="27"/>
      <c r="D163" s="19" t="s">
        <v>1</v>
      </c>
      <c r="E163" s="41">
        <f t="shared" ref="E163" si="85">F163+G163</f>
        <v>698298672.60000002</v>
      </c>
      <c r="F163" s="41">
        <f>F8+F38+F60+F84+F95+F104+F126+F146+F156+F80</f>
        <v>627544607.77999997</v>
      </c>
      <c r="G163" s="41">
        <f>G8+G38+G60+G84+G95+G104+G126+G146+G156+G80</f>
        <v>70754064.820000008</v>
      </c>
      <c r="H163" s="41">
        <f>H8+H38+H60+H84+H95+H104+H126+H146+H156+H80</f>
        <v>55179594.120000005</v>
      </c>
      <c r="I163" s="41">
        <f t="shared" si="79"/>
        <v>748877192.88</v>
      </c>
      <c r="J163" s="41">
        <f>J8+J38+J60+J84+J95+J104+J126+J146+J156+J80</f>
        <v>642472467.84000003</v>
      </c>
      <c r="K163" s="41">
        <f>K8+K38+K60+K84+K95+K104+K126+K146+K156+K80</f>
        <v>106404725.04000001</v>
      </c>
      <c r="L163" s="41">
        <f>L8+L38+L60+L84+L95+L104+L126+L146+L156+L80</f>
        <v>87289608.409999996</v>
      </c>
      <c r="M163" s="11">
        <f t="shared" si="66"/>
        <v>1.072431070349424</v>
      </c>
      <c r="N163" s="11">
        <f t="shared" si="67"/>
        <v>1.0237877273980711</v>
      </c>
      <c r="O163" s="11">
        <f t="shared" si="68"/>
        <v>1.5038673086937988</v>
      </c>
      <c r="P163" s="11">
        <f t="shared" si="69"/>
        <v>1.5819182761687192</v>
      </c>
      <c r="Q163" s="45">
        <f t="shared" si="70"/>
        <v>50578520.279999971</v>
      </c>
      <c r="R163" s="45">
        <f t="shared" si="71"/>
        <v>14927860.060000062</v>
      </c>
      <c r="S163" s="45">
        <f t="shared" si="72"/>
        <v>35650660.219999999</v>
      </c>
      <c r="T163" s="45">
        <f t="shared" si="73"/>
        <v>32110014.289999992</v>
      </c>
    </row>
    <row r="164" spans="1:20" s="32" customFormat="1" ht="17.399999999999999">
      <c r="A164" s="101"/>
      <c r="B164" s="101"/>
      <c r="C164" s="101"/>
      <c r="D164" s="102"/>
      <c r="E164" s="103"/>
      <c r="F164" s="103"/>
      <c r="G164" s="103"/>
      <c r="H164" s="103"/>
      <c r="I164" s="103"/>
      <c r="J164" s="103"/>
      <c r="K164" s="103"/>
      <c r="L164" s="103"/>
      <c r="M164" s="104"/>
      <c r="N164" s="104"/>
      <c r="O164" s="104"/>
      <c r="P164" s="104"/>
      <c r="Q164" s="105"/>
      <c r="R164" s="105"/>
      <c r="S164" s="105"/>
      <c r="T164" s="105"/>
    </row>
    <row r="165" spans="1:20">
      <c r="A165" s="31"/>
      <c r="B165" s="1"/>
      <c r="C165" s="1"/>
      <c r="D165" s="1" t="s">
        <v>184</v>
      </c>
      <c r="E165" s="2"/>
      <c r="F165" s="2"/>
      <c r="G165" s="5"/>
      <c r="H165" s="3"/>
      <c r="J165" s="6"/>
      <c r="K165" s="4" t="s">
        <v>219</v>
      </c>
      <c r="L165" s="7"/>
      <c r="M165" s="3"/>
      <c r="N165" s="4"/>
      <c r="O165" s="4"/>
      <c r="P165" s="4"/>
      <c r="Q165" s="5"/>
      <c r="R165" s="5"/>
      <c r="S165" s="5"/>
      <c r="T165" s="5"/>
    </row>
    <row r="166" spans="1:20">
      <c r="E166" s="35"/>
      <c r="F166" s="35"/>
      <c r="G166" s="5"/>
      <c r="J166" s="5"/>
      <c r="K166" s="36"/>
    </row>
    <row r="167" spans="1:20">
      <c r="I167" s="36"/>
      <c r="J167" s="36"/>
      <c r="K167" s="36"/>
      <c r="L167" s="36"/>
    </row>
    <row r="168" spans="1:20">
      <c r="I168" s="36"/>
      <c r="J168" s="36"/>
      <c r="K168" s="36"/>
      <c r="L168" s="36"/>
    </row>
    <row r="170" spans="1:20">
      <c r="H170" s="36"/>
    </row>
    <row r="171" spans="1:20">
      <c r="H171" s="36"/>
    </row>
    <row r="172" spans="1:20">
      <c r="H172" s="36"/>
    </row>
  </sheetData>
  <mergeCells count="29">
    <mergeCell ref="R3:T3"/>
    <mergeCell ref="R4:R6"/>
    <mergeCell ref="S4:T4"/>
    <mergeCell ref="S5:S6"/>
    <mergeCell ref="E2:H2"/>
    <mergeCell ref="E3:E6"/>
    <mergeCell ref="F3:H3"/>
    <mergeCell ref="M2:P2"/>
    <mergeCell ref="M3:M6"/>
    <mergeCell ref="N3:P3"/>
    <mergeCell ref="G5:G6"/>
    <mergeCell ref="O5:O6"/>
    <mergeCell ref="G4:H4"/>
    <mergeCell ref="A1:T1"/>
    <mergeCell ref="K4:L4"/>
    <mergeCell ref="N4:N6"/>
    <mergeCell ref="O4:P4"/>
    <mergeCell ref="K5:K6"/>
    <mergeCell ref="I2:L2"/>
    <mergeCell ref="I3:I6"/>
    <mergeCell ref="J3:L3"/>
    <mergeCell ref="J4:J6"/>
    <mergeCell ref="A2:A6"/>
    <mergeCell ref="B2:B6"/>
    <mergeCell ref="C2:C6"/>
    <mergeCell ref="D2:D6"/>
    <mergeCell ref="F4:F6"/>
    <mergeCell ref="Q2:T2"/>
    <mergeCell ref="Q3:Q6"/>
  </mergeCells>
  <pageMargins left="0.35433070866141736" right="0.35433070866141736" top="0.55118110236220474" bottom="0.31496062992125984" header="0.15748031496062992" footer="0.11811023622047245"/>
  <pageSetup paperSize="9" scale="34" fitToHeight="1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2024-08-05T06:10:07Z</cp:lastPrinted>
  <dcterms:created xsi:type="dcterms:W3CDTF">2012-12-15T07:44:03Z</dcterms:created>
  <dcterms:modified xsi:type="dcterms:W3CDTF">2024-10-16T05:26:01Z</dcterms:modified>
</cp:coreProperties>
</file>