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1_НАСТУПНЕ\на сайт рада\"/>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'2024'!$A$1:$I$186</definedName>
  </definedNames>
  <calcPr calcId="152511"/>
</workbook>
</file>

<file path=xl/calcChain.xml><?xml version="1.0" encoding="utf-8"?>
<calcChain xmlns="http://schemas.openxmlformats.org/spreadsheetml/2006/main">
  <c r="F179" i="19" l="1"/>
  <c r="F16" i="19"/>
  <c r="F157" i="19"/>
  <c r="F107" i="19" l="1"/>
  <c r="F93" i="19"/>
  <c r="G179" i="19" l="1"/>
  <c r="G171" i="19"/>
  <c r="G170" i="19" s="1"/>
  <c r="F171" i="19"/>
  <c r="F170" i="19" s="1"/>
  <c r="G149" i="19"/>
  <c r="F149" i="19"/>
  <c r="H127" i="19"/>
  <c r="I127" i="19"/>
  <c r="H107" i="19"/>
  <c r="I107" i="19"/>
  <c r="G107" i="19"/>
  <c r="G101" i="19"/>
  <c r="F101" i="19"/>
  <c r="G99" i="19"/>
  <c r="F99" i="19"/>
  <c r="G93" i="19"/>
  <c r="G78" i="19"/>
  <c r="I78" i="19"/>
  <c r="G68" i="19"/>
  <c r="G67" i="19" s="1"/>
  <c r="F68" i="19"/>
  <c r="F67" i="19" s="1"/>
  <c r="G63" i="19"/>
  <c r="F63" i="19"/>
  <c r="G59" i="19"/>
  <c r="F59" i="19"/>
  <c r="G54" i="19"/>
  <c r="F54" i="19"/>
  <c r="G51" i="19"/>
  <c r="F51" i="19"/>
  <c r="G48" i="19"/>
  <c r="F48" i="19"/>
  <c r="G47" i="19"/>
  <c r="F47" i="19"/>
  <c r="G46" i="19"/>
  <c r="F46" i="19"/>
  <c r="G40" i="19"/>
  <c r="F40" i="19"/>
  <c r="H16" i="19"/>
  <c r="I16" i="19"/>
  <c r="G28" i="19"/>
  <c r="F28" i="19"/>
  <c r="F145" i="19" l="1"/>
  <c r="F32" i="19" l="1"/>
  <c r="F31" i="19"/>
  <c r="F30" i="19" l="1"/>
  <c r="H145" i="19"/>
  <c r="H76" i="19" l="1"/>
  <c r="H75" i="19" s="1"/>
  <c r="H74" i="19" s="1"/>
  <c r="I76" i="19"/>
  <c r="I75" i="19" s="1"/>
  <c r="I74" i="19" s="1"/>
  <c r="G145" i="19"/>
  <c r="F175" i="19"/>
  <c r="G140" i="19"/>
  <c r="H140" i="19"/>
  <c r="I140" i="19"/>
  <c r="F140" i="19"/>
  <c r="G115" i="19"/>
  <c r="F115" i="19"/>
  <c r="G71" i="19" l="1"/>
  <c r="G70" i="19" s="1"/>
  <c r="F71" i="19"/>
  <c r="F70" i="19" s="1"/>
  <c r="H38" i="19"/>
  <c r="I38" i="19"/>
  <c r="G57" i="19"/>
  <c r="F57" i="19"/>
  <c r="G58" i="19"/>
  <c r="F58" i="19"/>
  <c r="G60" i="19"/>
  <c r="F60" i="19"/>
  <c r="G49" i="19"/>
  <c r="G45" i="19" s="1"/>
  <c r="F49" i="19"/>
  <c r="F45" i="19" s="1"/>
  <c r="G44" i="19"/>
  <c r="F44" i="19"/>
  <c r="G33" i="19"/>
  <c r="F33" i="19"/>
  <c r="G27" i="19"/>
  <c r="F27" i="19"/>
  <c r="G175" i="19"/>
  <c r="G167" i="19"/>
  <c r="F167" i="19"/>
  <c r="F56" i="19" l="1"/>
  <c r="G56" i="19"/>
  <c r="H153" i="19" l="1"/>
  <c r="I153" i="19"/>
  <c r="G30" i="19" l="1"/>
  <c r="G180" i="19" l="1"/>
  <c r="G177" i="19" s="1"/>
  <c r="F180" i="19"/>
  <c r="F177" i="19" s="1"/>
  <c r="G125" i="19" l="1"/>
  <c r="F125" i="19"/>
  <c r="G98" i="19"/>
  <c r="F98" i="19"/>
  <c r="G80" i="19"/>
  <c r="F80" i="19"/>
  <c r="G82" i="19"/>
  <c r="F82" i="19"/>
  <c r="G81" i="19"/>
  <c r="F81" i="19"/>
  <c r="G76" i="19" l="1"/>
  <c r="F76" i="19"/>
  <c r="G154" i="19"/>
  <c r="F154" i="19"/>
  <c r="H63" i="19" l="1"/>
  <c r="H62" i="19" s="1"/>
  <c r="I63" i="19"/>
  <c r="I62" i="19" s="1"/>
  <c r="F104" i="19"/>
  <c r="G104" i="19"/>
  <c r="G143" i="19" l="1"/>
  <c r="F143" i="19"/>
  <c r="G20" i="19" l="1"/>
  <c r="F20" i="19"/>
  <c r="F18" i="19" l="1"/>
  <c r="G18" i="19"/>
  <c r="G16" i="19" s="1"/>
  <c r="F174" i="19"/>
  <c r="G174" i="19"/>
  <c r="G39" i="19" l="1"/>
  <c r="G38" i="19" s="1"/>
  <c r="F39" i="19"/>
  <c r="F38" i="19" s="1"/>
  <c r="H166" i="19" l="1"/>
  <c r="I166" i="19"/>
  <c r="F166" i="19"/>
  <c r="G169" i="19"/>
  <c r="G166" i="19" s="1"/>
  <c r="G159" i="19"/>
  <c r="F159" i="19"/>
  <c r="G153" i="19"/>
  <c r="F153" i="19"/>
  <c r="G138" i="19"/>
  <c r="G136" i="19"/>
  <c r="G135" i="19"/>
  <c r="G134" i="19"/>
  <c r="G133" i="19"/>
  <c r="G132" i="19"/>
  <c r="G131" i="19"/>
  <c r="G129" i="19"/>
  <c r="G128" i="19"/>
  <c r="F138" i="19"/>
  <c r="F136" i="19"/>
  <c r="F135" i="19"/>
  <c r="F134" i="19"/>
  <c r="F133" i="19"/>
  <c r="F132" i="19"/>
  <c r="F131" i="19"/>
  <c r="F129" i="19"/>
  <c r="F128" i="19"/>
  <c r="G97" i="19"/>
  <c r="G62" i="19" s="1"/>
  <c r="F97" i="19"/>
  <c r="F62" i="19" s="1"/>
  <c r="G84" i="19"/>
  <c r="G83" i="19"/>
  <c r="F84" i="19"/>
  <c r="F83" i="19"/>
  <c r="I73" i="19"/>
  <c r="H73" i="19"/>
  <c r="F127" i="19" l="1"/>
  <c r="F124" i="19" s="1"/>
  <c r="G127" i="19"/>
  <c r="G124" i="19" s="1"/>
  <c r="I124" i="19"/>
  <c r="I123" i="19" s="1"/>
  <c r="H124" i="19"/>
  <c r="H123" i="19" s="1"/>
  <c r="F75" i="19"/>
  <c r="F74" i="19" s="1"/>
  <c r="G75" i="19"/>
  <c r="G74" i="19" s="1"/>
  <c r="H37" i="19"/>
  <c r="I37" i="19"/>
  <c r="G173" i="19"/>
  <c r="F123" i="19" l="1"/>
  <c r="G123" i="19"/>
  <c r="F73" i="19"/>
  <c r="G73" i="19"/>
  <c r="F37" i="19"/>
  <c r="G37" i="19"/>
  <c r="F173" i="19" l="1"/>
  <c r="G15" i="19" l="1"/>
  <c r="G184" i="19" s="1"/>
  <c r="I15" i="19" l="1"/>
  <c r="H15" i="19"/>
  <c r="H184" i="19" s="1"/>
  <c r="I184" i="19" l="1"/>
  <c r="F15" i="19"/>
  <c r="F184" i="19" s="1"/>
</calcChain>
</file>

<file path=xl/sharedStrings.xml><?xml version="1.0" encoding="utf-8"?>
<sst xmlns="http://schemas.openxmlformats.org/spreadsheetml/2006/main" count="400" uniqueCount="313">
  <si>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</si>
  <si>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</si>
  <si>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</si>
  <si>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</si>
  <si>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</si>
  <si>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</si>
  <si>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</si>
  <si>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</si>
  <si>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</si>
  <si>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</si>
  <si>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</si>
  <si>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</si>
  <si>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</si>
  <si>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</si>
  <si>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</si>
  <si>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</si>
  <si>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</si>
  <si>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</si>
  <si>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</si>
  <si>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</si>
  <si>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</si>
  <si>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</si>
  <si>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</si>
  <si>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</si>
  <si>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</si>
  <si>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</si>
  <si>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</si>
  <si>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</si>
  <si>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</si>
  <si>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</si>
  <si>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</si>
  <si>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</si>
  <si>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</si>
  <si>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</si>
  <si>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</si>
  <si>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</si>
  <si>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</si>
  <si>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</si>
  <si>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</si>
  <si>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</si>
  <si>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</si>
  <si>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</si>
  <si>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</si>
  <si>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</si>
  <si>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</si>
  <si>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</si>
  <si>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</si>
  <si>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</si>
  <si>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</si>
  <si>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</si>
  <si>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</si>
  <si>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</si>
  <si>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</si>
  <si>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</si>
  <si>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</si>
  <si>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</si>
  <si>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</si>
  <si>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</si>
  <si>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</si>
  <si>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</si>
  <si>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</si>
  <si>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</si>
  <si>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</si>
  <si>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</si>
  <si>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</si>
  <si>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</si>
  <si>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</si>
  <si>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</si>
  <si>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</si>
  <si>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</si>
  <si>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</si>
  <si>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</si>
  <si>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</si>
  <si>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</si>
  <si>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</si>
  <si>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</si>
  <si>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</si>
  <si>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</si>
  <si>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</si>
  <si>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</si>
  <si>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</si>
  <si>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</si>
  <si>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</si>
  <si>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</si>
  <si>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</si>
  <si>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</si>
  <si>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</si>
  <si>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</si>
  <si>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</si>
  <si>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</si>
  <si>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</si>
  <si>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</si>
  <si>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</si>
  <si>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</si>
  <si>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</si>
  <si>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</si>
  <si>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</si>
  <si>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</si>
  <si>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</si>
  <si>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</si>
  <si>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</si>
  <si>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</si>
  <si>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</si>
  <si>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</si>
  <si>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</si>
  <si>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</si>
  <si>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</si>
  <si>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</si>
  <si>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</si>
  <si>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</si>
  <si>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</si>
  <si>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</si>
  <si>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</si>
  <si>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</si>
  <si>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</si>
  <si>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</si>
  <si>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</si>
  <si>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</si>
  <si>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</si>
  <si>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</si>
  <si>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</si>
  <si>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</si>
  <si>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</si>
  <si>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</si>
  <si>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</si>
  <si>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</si>
  <si>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</si>
  <si>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</si>
  <si>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</si>
  <si>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</si>
  <si>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</si>
  <si>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</si>
  <si>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</si>
  <si>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</si>
  <si>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</si>
  <si>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</si>
  <si>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</si>
  <si>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</si>
  <si>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</si>
  <si>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</si>
  <si>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</si>
  <si>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</si>
  <si>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</si>
  <si>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</si>
  <si>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</si>
  <si>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</si>
  <si>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</si>
  <si>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</si>
  <si>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</si>
  <si>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</si>
  <si>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</si>
  <si>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</si>
  <si>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</si>
  <si>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</si>
  <si>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</si>
  <si>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</si>
  <si>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</si>
  <si>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</si>
  <si>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</si>
  <si>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</si>
  <si>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</si>
  <si>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</si>
  <si>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</si>
  <si>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</si>
  <si>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</si>
  <si>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</si>
  <si>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</si>
  <si>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</si>
  <si>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</si>
  <si>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</si>
  <si>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</si>
  <si>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</si>
  <si>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</si>
  <si>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</si>
  <si>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</si>
  <si>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</si>
  <si>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</si>
  <si>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</si>
  <si>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</si>
  <si>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</si>
  <si>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</si>
  <si>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</si>
  <si>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</si>
  <si>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</si>
  <si>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</si>
  <si>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</si>
  <si>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</si>
  <si>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</si>
  <si>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</si>
  <si>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</si>
  <si>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</si>
  <si>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</si>
  <si>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</si>
  <si>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</si>
  <si>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</si>
  <si>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</si>
  <si>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</si>
  <si>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</si>
  <si>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</si>
  <si>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</si>
  <si>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</si>
  <si>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</si>
  <si>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</si>
  <si>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</si>
  <si>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</si>
  <si>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</si>
  <si>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</si>
  <si>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</si>
  <si>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</si>
  <si>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</si>
  <si>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</si>
  <si>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</si>
  <si>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</si>
  <si>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</si>
  <si>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</si>
  <si>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</si>
  <si>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</si>
  <si>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</si>
  <si>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</si>
  <si>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</si>
  <si>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</si>
  <si>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</si>
  <si>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</si>
  <si>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</si>
  <si>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</si>
  <si>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</si>
  <si>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</si>
  <si>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</si>
  <si>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</si>
  <si>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</si>
  <si>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</si>
  <si>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</si>
  <si>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</si>
  <si>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</si>
  <si>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</si>
  <si>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</si>
  <si>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</si>
  <si>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</si>
  <si>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</si>
  <si>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</si>
  <si>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</si>
  <si>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</si>
  <si>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</si>
  <si>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</si>
  <si>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</si>
  <si>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</si>
  <si>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</si>
  <si>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</si>
  <si>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</si>
  <si>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</si>
  <si>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</si>
  <si>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Будівництво станції знезараження питної води діоксиду хлору за адресою: Одеська область, Одеський район, с.Великий Дальник, вул.Маяцька дорога, 21 (проектні роботи)</t>
  </si>
  <si>
    <t>Модернізація та енергоефективність бювета, що розташований за адресою: Одеська область, Одеський район, м.Чорноморськ, вул.Парусна, 4-а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</si>
  <si>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</si>
  <si>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</si>
  <si>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</si>
  <si>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</si>
  <si>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</si>
  <si>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</si>
  <si>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</si>
  <si>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Капітальні видатки - придбання автомобіля</t>
  </si>
  <si>
    <t>Капітальні видатки - придбання обладнання і предметів довгострокового користування / генераторів</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</si>
  <si>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</si>
  <si>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</si>
  <si>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</si>
  <si>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</si>
  <si>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</si>
  <si>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</si>
  <si>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</si>
  <si>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 xml:space="preserve">                                                                           від             10.2024  №            - VIII</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</si>
  <si>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</si>
  <si>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</si>
  <si>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</si>
  <si>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</si>
  <si>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</si>
  <si>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</si>
  <si>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</si>
  <si>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</si>
  <si>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</si>
  <si>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</si>
  <si>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</si>
  <si>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субв. ККДБ 41035600 - передача коштів</t>
  </si>
  <si>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</si>
  <si>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</si>
  <si>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</si>
  <si>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</si>
  <si>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</si>
  <si>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субв.ККДБ 41050900</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</si>
  <si>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</si>
  <si>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</si>
  <si>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</si>
  <si>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</si>
  <si>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субв.ККДБ 41053400</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</si>
  <si>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</si>
  <si>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</si>
  <si>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</si>
  <si>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</si>
  <si>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</si>
  <si>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</si>
  <si>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</si>
  <si>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</si>
  <si>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</si>
  <si>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</si>
  <si>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</si>
  <si>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</si>
  <si>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занурювальних одноступінчатих насосів для заміни на КНС по вул.Пляжна, 37 в м.Чорноморську Одеського району Одеської області</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</si>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</sst>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7">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7" fillId="2" borderId="0" xfId="0" applyFont="1" applyFill="1" applyAlignment="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2"/>
  <sheetViews>
    <sheetView tabSelected="1" view="pageBreakPreview" zoomScale="70" zoomScaleNormal="100" zoomScaleSheetLayoutView="70" workbookViewId="0">
      <selection activeCell="A187" sqref="A187:XFD19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7.109375" style="5" customWidth="1"/>
    <col min="7" max="9" width="27.109375" style="34" hidden="1" customWidth="1"/>
    <col min="10" max="10" width="27.109375" style="5" customWidth="1"/>
    <col min="11" max="11" width="19" style="5" customWidth="1"/>
    <col min="12" max="12" width="15.33203125" style="5" bestFit="1" customWidth="1"/>
    <col min="13" max="16384" width="9.109375" style="5"/>
  </cols>
  <sheetData>
    <row r="1" spans="1:11">
      <c r="E1" s="42" t="s">
        <v>168</v>
      </c>
    </row>
    <row r="2" spans="1:11">
      <c r="E2" s="42" t="s">
        <v>164</v>
      </c>
    </row>
    <row r="3" spans="1:11">
      <c r="E3" s="42" t="s">
        <v>269</v>
      </c>
    </row>
    <row r="5" spans="1:11">
      <c r="E5" s="42" t="s">
        <v>165</v>
      </c>
      <c r="F5" s="42"/>
    </row>
    <row r="6" spans="1:11">
      <c r="E6" s="42" t="s">
        <v>166</v>
      </c>
      <c r="F6" s="42"/>
    </row>
    <row r="7" spans="1:11">
      <c r="E7" s="42" t="s">
        <v>167</v>
      </c>
      <c r="F7" s="42"/>
    </row>
    <row r="8" spans="1:11">
      <c r="A8" s="98">
        <v>1558900000</v>
      </c>
      <c r="B8" s="98"/>
    </row>
    <row r="9" spans="1:11">
      <c r="A9" s="99" t="s">
        <v>6</v>
      </c>
      <c r="B9" s="99"/>
      <c r="D9" s="12"/>
    </row>
    <row r="10" spans="1:11" s="3" customFormat="1" ht="28.95" customHeight="1">
      <c r="A10" s="100" t="s">
        <v>21</v>
      </c>
      <c r="B10" s="100"/>
      <c r="C10" s="100"/>
      <c r="D10" s="100"/>
      <c r="E10" s="100"/>
      <c r="F10" s="100"/>
      <c r="G10" s="100"/>
      <c r="H10" s="100"/>
      <c r="I10" s="100"/>
    </row>
    <row r="11" spans="1:11" s="3" customFormat="1" ht="21">
      <c r="A11" s="7"/>
      <c r="D11" s="8"/>
      <c r="E11" s="9"/>
      <c r="F11" s="8"/>
      <c r="G11" s="35" t="s">
        <v>2</v>
      </c>
      <c r="H11" s="35"/>
      <c r="I11" s="35"/>
    </row>
    <row r="12" spans="1:11" s="16" customFormat="1" ht="15.6" customHeight="1">
      <c r="A12" s="101" t="s">
        <v>3</v>
      </c>
      <c r="B12" s="101" t="s">
        <v>4</v>
      </c>
      <c r="C12" s="101" t="s">
        <v>1</v>
      </c>
      <c r="D12" s="101" t="s">
        <v>5</v>
      </c>
      <c r="E12" s="101" t="s">
        <v>16</v>
      </c>
      <c r="F12" s="101" t="s">
        <v>43</v>
      </c>
      <c r="G12" s="104" t="s">
        <v>11</v>
      </c>
      <c r="H12" s="104"/>
      <c r="I12" s="104"/>
    </row>
    <row r="13" spans="1:11" s="16" customFormat="1" ht="99.6" customHeight="1">
      <c r="A13" s="102"/>
      <c r="B13" s="102"/>
      <c r="C13" s="102"/>
      <c r="D13" s="103"/>
      <c r="E13" s="103"/>
      <c r="F13" s="103"/>
      <c r="G13" s="77" t="s">
        <v>248</v>
      </c>
      <c r="H13" s="77" t="s">
        <v>12</v>
      </c>
      <c r="I13" s="77" t="s">
        <v>280</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2" t="s">
        <v>9</v>
      </c>
      <c r="E15" s="93"/>
      <c r="F15" s="22">
        <f t="shared" ref="F15:I15" si="0">F16</f>
        <v>12444545</v>
      </c>
      <c r="G15" s="37" t="e">
        <f>G16</f>
        <v>#REF!</v>
      </c>
      <c r="H15" s="37" t="e">
        <f t="shared" si="0"/>
        <v>#REF!</v>
      </c>
      <c r="I15" s="37" t="e">
        <f t="shared" si="0"/>
        <v>#REF!</v>
      </c>
      <c r="J15" s="1"/>
      <c r="K15" s="1"/>
    </row>
    <row r="16" spans="1:11" ht="18.75" customHeight="1">
      <c r="A16" s="19" t="s">
        <v>8</v>
      </c>
      <c r="B16" s="18"/>
      <c r="C16" s="18"/>
      <c r="D16" s="92" t="s">
        <v>9</v>
      </c>
      <c r="E16" s="93"/>
      <c r="F16" s="22">
        <f>F17+F18+F26+F27+F30+F33+F34+F35+F36</f>
        <v>12444545</v>
      </c>
      <c r="G16" s="22" t="e">
        <f>G17+G18+G26+G27+G30+#REF!+G33+G34+G35+G36</f>
        <v>#REF!</v>
      </c>
      <c r="H16" s="22" t="e">
        <f>H17+H18+H26+H27+H30+#REF!+H33+H34+H35+H36</f>
        <v>#REF!</v>
      </c>
      <c r="I16" s="22" t="e">
        <f>I17+I18+I26+I27+I30+#REF!+I33+I34+I35+I36</f>
        <v>#REF!</v>
      </c>
      <c r="J16" s="1"/>
    </row>
    <row r="17" spans="1:13" s="51" customFormat="1" ht="126">
      <c r="A17" s="20" t="s">
        <v>213</v>
      </c>
      <c r="B17" s="20" t="s">
        <v>214</v>
      </c>
      <c r="C17" s="20" t="s">
        <v>149</v>
      </c>
      <c r="D17" s="49" t="s">
        <v>215</v>
      </c>
      <c r="E17" s="17" t="s">
        <v>249</v>
      </c>
      <c r="F17" s="28">
        <v>1100000</v>
      </c>
      <c r="G17" s="38">
        <v>1100000</v>
      </c>
      <c r="H17" s="38"/>
      <c r="I17" s="38"/>
      <c r="J17" s="50"/>
    </row>
    <row r="18" spans="1:13" s="51" customFormat="1" ht="36">
      <c r="A18" s="20" t="s">
        <v>38</v>
      </c>
      <c r="B18" s="20" t="s">
        <v>39</v>
      </c>
      <c r="C18" s="20" t="s">
        <v>41</v>
      </c>
      <c r="D18" s="49" t="s">
        <v>40</v>
      </c>
      <c r="E18" s="17" t="s">
        <v>10</v>
      </c>
      <c r="F18" s="28">
        <f>SUM(F19:F25)</f>
        <v>4863749</v>
      </c>
      <c r="G18" s="38">
        <f>SUM(G19:G25)</f>
        <v>4863749</v>
      </c>
      <c r="H18" s="38"/>
      <c r="I18" s="38"/>
      <c r="J18" s="50"/>
    </row>
    <row r="19" spans="1:13" s="51" customFormat="1" ht="108">
      <c r="A19" s="20"/>
      <c r="B19" s="20"/>
      <c r="C19" s="20"/>
      <c r="D19" s="52"/>
      <c r="E19" s="53" t="s">
        <v>258</v>
      </c>
      <c r="F19" s="28">
        <v>334805</v>
      </c>
      <c r="G19" s="38">
        <v>334805</v>
      </c>
      <c r="H19" s="38"/>
      <c r="I19" s="38"/>
      <c r="J19" s="50"/>
    </row>
    <row r="20" spans="1:13" s="51" customFormat="1" ht="72">
      <c r="A20" s="20"/>
      <c r="B20" s="20"/>
      <c r="C20" s="20"/>
      <c r="D20" s="52"/>
      <c r="E20" s="53" t="s">
        <v>42</v>
      </c>
      <c r="F20" s="28">
        <f>1400000+700000</f>
        <v>2100000</v>
      </c>
      <c r="G20" s="38">
        <f>1400000+700000</f>
        <v>2100000</v>
      </c>
      <c r="H20" s="38"/>
      <c r="I20" s="38"/>
      <c r="J20" s="50"/>
    </row>
    <row r="21" spans="1:13" s="51" customFormat="1" ht="126">
      <c r="A21" s="20"/>
      <c r="B21" s="20"/>
      <c r="C21" s="20"/>
      <c r="D21" s="52"/>
      <c r="E21" s="66" t="s">
        <v>136</v>
      </c>
      <c r="F21" s="28">
        <v>66000</v>
      </c>
      <c r="G21" s="38">
        <v>66000</v>
      </c>
      <c r="H21" s="38"/>
      <c r="I21" s="38"/>
      <c r="J21" s="50"/>
    </row>
    <row r="22" spans="1:13" s="51" customFormat="1" ht="180">
      <c r="A22" s="20"/>
      <c r="B22" s="20"/>
      <c r="C22" s="20"/>
      <c r="D22" s="52"/>
      <c r="E22" s="82" t="s">
        <v>187</v>
      </c>
      <c r="F22" s="28">
        <v>47706</v>
      </c>
      <c r="G22" s="38">
        <v>47706</v>
      </c>
      <c r="H22" s="38"/>
      <c r="I22" s="38"/>
      <c r="J22" s="50"/>
    </row>
    <row r="23" spans="1:13" s="51" customFormat="1" ht="144">
      <c r="A23" s="20"/>
      <c r="B23" s="20"/>
      <c r="C23" s="20"/>
      <c r="D23" s="52"/>
      <c r="E23" s="82" t="s">
        <v>254</v>
      </c>
      <c r="F23" s="28">
        <v>2193059</v>
      </c>
      <c r="G23" s="38">
        <v>2193059</v>
      </c>
      <c r="H23" s="38"/>
      <c r="I23" s="38"/>
      <c r="J23" s="50"/>
    </row>
    <row r="24" spans="1:13" s="51" customFormat="1" ht="162">
      <c r="A24" s="20"/>
      <c r="B24" s="20"/>
      <c r="C24" s="20"/>
      <c r="D24" s="52"/>
      <c r="E24" s="68" t="s">
        <v>188</v>
      </c>
      <c r="F24" s="28">
        <v>47706</v>
      </c>
      <c r="G24" s="38">
        <v>47706</v>
      </c>
      <c r="H24" s="38"/>
      <c r="I24" s="38"/>
      <c r="J24" s="50"/>
    </row>
    <row r="25" spans="1:13" s="51" customFormat="1" ht="72">
      <c r="A25" s="20"/>
      <c r="B25" s="20"/>
      <c r="C25" s="20"/>
      <c r="D25" s="52"/>
      <c r="E25" s="69" t="s">
        <v>189</v>
      </c>
      <c r="F25" s="28">
        <v>74473</v>
      </c>
      <c r="G25" s="38">
        <v>74473</v>
      </c>
      <c r="H25" s="38"/>
      <c r="I25" s="38"/>
      <c r="J25" s="50"/>
    </row>
    <row r="26" spans="1:13" s="51" customFormat="1">
      <c r="A26" s="20" t="s">
        <v>270</v>
      </c>
      <c r="B26" s="20" t="s">
        <v>271</v>
      </c>
      <c r="C26" s="84" t="s">
        <v>272</v>
      </c>
      <c r="D26" s="85" t="s">
        <v>273</v>
      </c>
      <c r="E26" s="69" t="s">
        <v>259</v>
      </c>
      <c r="F26" s="28">
        <v>870000</v>
      </c>
      <c r="G26" s="38">
        <v>870000</v>
      </c>
      <c r="H26" s="38"/>
      <c r="I26" s="38"/>
      <c r="J26" s="50"/>
    </row>
    <row r="27" spans="1:13" s="51" customFormat="1" ht="72">
      <c r="A27" s="20" t="s">
        <v>150</v>
      </c>
      <c r="B27" s="20" t="s">
        <v>151</v>
      </c>
      <c r="C27" s="20" t="s">
        <v>152</v>
      </c>
      <c r="D27" s="53" t="s">
        <v>153</v>
      </c>
      <c r="E27" s="66" t="s">
        <v>10</v>
      </c>
      <c r="F27" s="28">
        <f>F28+F29</f>
        <v>2562400</v>
      </c>
      <c r="G27" s="38">
        <f>G28+G29</f>
        <v>2562400</v>
      </c>
      <c r="H27" s="38"/>
      <c r="I27" s="38"/>
      <c r="J27" s="50"/>
    </row>
    <row r="28" spans="1:13" s="51" customFormat="1">
      <c r="A28" s="20"/>
      <c r="B28" s="20"/>
      <c r="C28" s="20"/>
      <c r="D28" s="53"/>
      <c r="E28" s="66" t="s">
        <v>259</v>
      </c>
      <c r="F28" s="28">
        <f>1000000-36000-56200+130000</f>
        <v>1037800</v>
      </c>
      <c r="G28" s="38">
        <f>1000000-36000-56200+130000</f>
        <v>1037800</v>
      </c>
      <c r="H28" s="38"/>
      <c r="I28" s="38"/>
      <c r="J28" s="50"/>
    </row>
    <row r="29" spans="1:13" s="51" customFormat="1" ht="126">
      <c r="A29" s="20"/>
      <c r="B29" s="20"/>
      <c r="C29" s="20"/>
      <c r="D29" s="53"/>
      <c r="E29" s="66" t="s">
        <v>310</v>
      </c>
      <c r="F29" s="28">
        <v>1524600</v>
      </c>
      <c r="G29" s="38">
        <v>1524600</v>
      </c>
      <c r="H29" s="38"/>
      <c r="I29" s="38"/>
      <c r="J29" s="50"/>
    </row>
    <row r="30" spans="1:13" s="51" customFormat="1" ht="54">
      <c r="A30" s="20" t="s">
        <v>137</v>
      </c>
      <c r="B30" s="20" t="s">
        <v>138</v>
      </c>
      <c r="C30" s="33" t="s">
        <v>139</v>
      </c>
      <c r="D30" s="27" t="s">
        <v>140</v>
      </c>
      <c r="E30" s="66" t="s">
        <v>10</v>
      </c>
      <c r="F30" s="28">
        <f>F31+F32</f>
        <v>660000</v>
      </c>
      <c r="G30" s="38">
        <f>260000+400000</f>
        <v>660000</v>
      </c>
      <c r="H30" s="38"/>
      <c r="I30" s="38"/>
      <c r="J30" s="24"/>
      <c r="K30" s="24"/>
      <c r="L30" s="24"/>
      <c r="M30" s="24"/>
    </row>
    <row r="31" spans="1:13" s="51" customFormat="1" ht="72">
      <c r="A31" s="20"/>
      <c r="B31" s="20"/>
      <c r="C31" s="33"/>
      <c r="D31" s="27"/>
      <c r="E31" s="66" t="s">
        <v>146</v>
      </c>
      <c r="F31" s="28">
        <f>260000</f>
        <v>260000</v>
      </c>
      <c r="G31" s="38">
        <v>260000</v>
      </c>
      <c r="H31" s="38"/>
      <c r="I31" s="38"/>
      <c r="J31" s="24"/>
      <c r="K31" s="24"/>
      <c r="L31" s="24"/>
      <c r="M31" s="24"/>
    </row>
    <row r="32" spans="1:13" s="51" customFormat="1" ht="72">
      <c r="A32" s="20"/>
      <c r="B32" s="20"/>
      <c r="C32" s="33"/>
      <c r="D32" s="27"/>
      <c r="E32" s="66" t="s">
        <v>250</v>
      </c>
      <c r="F32" s="28">
        <f>400000</f>
        <v>400000</v>
      </c>
      <c r="G32" s="38">
        <v>400000</v>
      </c>
      <c r="H32" s="38"/>
      <c r="I32" s="38"/>
      <c r="J32" s="24"/>
      <c r="K32" s="24"/>
      <c r="L32" s="24"/>
      <c r="M32" s="24"/>
    </row>
    <row r="33" spans="1:13" s="24" customFormat="1" ht="36">
      <c r="A33" s="20" t="s">
        <v>195</v>
      </c>
      <c r="B33" s="20" t="s">
        <v>192</v>
      </c>
      <c r="C33" s="33" t="s">
        <v>194</v>
      </c>
      <c r="D33" s="27" t="s">
        <v>193</v>
      </c>
      <c r="E33" s="47" t="s">
        <v>90</v>
      </c>
      <c r="F33" s="58">
        <f>58200+60000+75597+690000</f>
        <v>883797</v>
      </c>
      <c r="G33" s="78">
        <f>58200+60000+75597+690000</f>
        <v>883797</v>
      </c>
      <c r="H33" s="38"/>
      <c r="I33" s="38"/>
      <c r="J33" s="50"/>
      <c r="K33" s="51"/>
      <c r="L33" s="51"/>
      <c r="M33" s="51"/>
    </row>
    <row r="34" spans="1:13" s="51" customFormat="1" ht="36">
      <c r="A34" s="20" t="s">
        <v>157</v>
      </c>
      <c r="B34" s="20" t="s">
        <v>158</v>
      </c>
      <c r="C34" s="45" t="s">
        <v>24</v>
      </c>
      <c r="D34" s="27" t="s">
        <v>159</v>
      </c>
      <c r="E34" s="66" t="s">
        <v>90</v>
      </c>
      <c r="F34" s="28">
        <v>37299</v>
      </c>
      <c r="G34" s="38">
        <v>37299</v>
      </c>
      <c r="H34" s="38"/>
      <c r="I34" s="38"/>
      <c r="J34" s="50"/>
    </row>
    <row r="35" spans="1:13" s="51" customFormat="1" ht="36">
      <c r="A35" s="20" t="s">
        <v>196</v>
      </c>
      <c r="B35" s="20" t="s">
        <v>197</v>
      </c>
      <c r="C35" s="33" t="s">
        <v>24</v>
      </c>
      <c r="D35" s="27" t="s">
        <v>198</v>
      </c>
      <c r="E35" s="66" t="s">
        <v>90</v>
      </c>
      <c r="F35" s="28">
        <v>190800</v>
      </c>
      <c r="G35" s="38">
        <v>190800</v>
      </c>
      <c r="H35" s="38"/>
      <c r="I35" s="38"/>
      <c r="J35" s="24"/>
      <c r="K35" s="24"/>
      <c r="L35" s="24"/>
      <c r="M35" s="24"/>
    </row>
    <row r="36" spans="1:13" s="24" customFormat="1" ht="108">
      <c r="A36" s="20" t="s">
        <v>22</v>
      </c>
      <c r="B36" s="20" t="s">
        <v>23</v>
      </c>
      <c r="C36" s="33" t="s">
        <v>24</v>
      </c>
      <c r="D36" s="27" t="s">
        <v>25</v>
      </c>
      <c r="E36" s="43" t="s">
        <v>26</v>
      </c>
      <c r="F36" s="28">
        <v>1276500</v>
      </c>
      <c r="G36" s="38">
        <v>1276500</v>
      </c>
      <c r="H36" s="38"/>
      <c r="I36" s="38"/>
      <c r="J36" s="1"/>
      <c r="K36" s="1"/>
      <c r="L36" s="5"/>
      <c r="M36" s="5"/>
    </row>
    <row r="37" spans="1:13" ht="18.75" customHeight="1">
      <c r="A37" s="19" t="s">
        <v>45</v>
      </c>
      <c r="B37" s="19"/>
      <c r="C37" s="19"/>
      <c r="D37" s="92" t="s">
        <v>46</v>
      </c>
      <c r="E37" s="93"/>
      <c r="F37" s="22">
        <f t="shared" ref="F37:I37" si="1">F38</f>
        <v>26602829.359999999</v>
      </c>
      <c r="G37" s="37">
        <f>G38</f>
        <v>26602829.359999999</v>
      </c>
      <c r="H37" s="37">
        <f t="shared" si="1"/>
        <v>0</v>
      </c>
      <c r="I37" s="37">
        <f t="shared" si="1"/>
        <v>0</v>
      </c>
      <c r="J37" s="1"/>
    </row>
    <row r="38" spans="1:13" ht="18.75" customHeight="1">
      <c r="A38" s="19" t="s">
        <v>44</v>
      </c>
      <c r="B38" s="18"/>
      <c r="C38" s="18"/>
      <c r="D38" s="92" t="s">
        <v>46</v>
      </c>
      <c r="E38" s="93"/>
      <c r="F38" s="22">
        <f>F39+F45+F51+F52+F53+F54+F55+F56</f>
        <v>26602829.359999999</v>
      </c>
      <c r="G38" s="37">
        <f t="shared" ref="G38:I38" si="2">G39+G45+G51+G52+G53+G54+G55+G56</f>
        <v>26602829.359999999</v>
      </c>
      <c r="H38" s="37">
        <f t="shared" si="2"/>
        <v>0</v>
      </c>
      <c r="I38" s="37">
        <f t="shared" si="2"/>
        <v>0</v>
      </c>
      <c r="J38" s="50"/>
      <c r="K38" s="51"/>
      <c r="L38" s="51"/>
      <c r="M38" s="51"/>
    </row>
    <row r="39" spans="1:13" s="51" customFormat="1">
      <c r="A39" s="20" t="s">
        <v>47</v>
      </c>
      <c r="B39" s="20" t="s">
        <v>48</v>
      </c>
      <c r="C39" s="20" t="s">
        <v>50</v>
      </c>
      <c r="D39" s="49" t="s">
        <v>49</v>
      </c>
      <c r="E39" s="17" t="s">
        <v>10</v>
      </c>
      <c r="F39" s="28">
        <f>SUM(F40:F44)</f>
        <v>5842713</v>
      </c>
      <c r="G39" s="38">
        <f>SUM(G40:G44)</f>
        <v>5842713</v>
      </c>
      <c r="H39" s="38"/>
      <c r="I39" s="38"/>
      <c r="J39" s="24"/>
      <c r="K39" s="24"/>
      <c r="L39" s="24"/>
      <c r="M39" s="24"/>
    </row>
    <row r="40" spans="1:13" s="24" customFormat="1" ht="72">
      <c r="A40" s="20"/>
      <c r="B40" s="20"/>
      <c r="C40" s="33"/>
      <c r="D40" s="54"/>
      <c r="E40" s="55" t="s">
        <v>52</v>
      </c>
      <c r="F40" s="58">
        <f>1071430-166000</f>
        <v>905430</v>
      </c>
      <c r="G40" s="78">
        <f>1071430-166000</f>
        <v>905430</v>
      </c>
      <c r="H40" s="38"/>
      <c r="I40" s="38"/>
    </row>
    <row r="41" spans="1:13" s="24" customFormat="1" ht="72">
      <c r="A41" s="20"/>
      <c r="B41" s="20"/>
      <c r="C41" s="33"/>
      <c r="D41" s="54"/>
      <c r="E41" s="55" t="s">
        <v>53</v>
      </c>
      <c r="F41" s="58">
        <v>1100000</v>
      </c>
      <c r="G41" s="78">
        <v>1100000</v>
      </c>
      <c r="H41" s="38"/>
      <c r="I41" s="38"/>
    </row>
    <row r="42" spans="1:13" s="24" customFormat="1" ht="72">
      <c r="A42" s="20"/>
      <c r="B42" s="20"/>
      <c r="C42" s="33"/>
      <c r="D42" s="54"/>
      <c r="E42" s="56" t="s">
        <v>54</v>
      </c>
      <c r="F42" s="58">
        <v>200000</v>
      </c>
      <c r="G42" s="78">
        <v>200000</v>
      </c>
      <c r="H42" s="38"/>
      <c r="I42" s="38"/>
    </row>
    <row r="43" spans="1:13" s="24" customFormat="1" ht="72">
      <c r="A43" s="20"/>
      <c r="B43" s="20"/>
      <c r="C43" s="33"/>
      <c r="D43" s="54"/>
      <c r="E43" s="55" t="s">
        <v>51</v>
      </c>
      <c r="F43" s="58">
        <v>1250000</v>
      </c>
      <c r="G43" s="78">
        <v>1250000</v>
      </c>
      <c r="H43" s="38"/>
      <c r="I43" s="38"/>
    </row>
    <row r="44" spans="1:13" s="24" customFormat="1" ht="90">
      <c r="A44" s="20"/>
      <c r="B44" s="20"/>
      <c r="C44" s="33"/>
      <c r="D44" s="54"/>
      <c r="E44" s="55" t="s">
        <v>141</v>
      </c>
      <c r="F44" s="58">
        <f>287283+2100000</f>
        <v>2387283</v>
      </c>
      <c r="G44" s="78">
        <f>287283+2100000</f>
        <v>2387283</v>
      </c>
      <c r="H44" s="38"/>
      <c r="I44" s="38"/>
      <c r="J44" s="50"/>
      <c r="K44" s="51"/>
      <c r="L44" s="51"/>
      <c r="M44" s="51"/>
    </row>
    <row r="45" spans="1:13" s="51" customFormat="1" ht="72">
      <c r="A45" s="20" t="s">
        <v>55</v>
      </c>
      <c r="B45" s="20" t="s">
        <v>56</v>
      </c>
      <c r="C45" s="20" t="s">
        <v>57</v>
      </c>
      <c r="D45" s="49" t="s">
        <v>58</v>
      </c>
      <c r="E45" s="17" t="s">
        <v>10</v>
      </c>
      <c r="F45" s="28">
        <f>SUM(F46:F50)</f>
        <v>3606770</v>
      </c>
      <c r="G45" s="38">
        <f>SUM(G46:G50)</f>
        <v>3606770</v>
      </c>
      <c r="H45" s="38"/>
      <c r="I45" s="38"/>
      <c r="J45" s="24"/>
      <c r="K45" s="24"/>
      <c r="L45" s="24"/>
      <c r="M45" s="24"/>
    </row>
    <row r="46" spans="1:13" s="24" customFormat="1" ht="54">
      <c r="A46" s="20"/>
      <c r="B46" s="20"/>
      <c r="C46" s="33"/>
      <c r="D46" s="54"/>
      <c r="E46" s="47" t="s">
        <v>59</v>
      </c>
      <c r="F46" s="58">
        <f>1173330-153000</f>
        <v>1020330</v>
      </c>
      <c r="G46" s="78">
        <f>1173330-153000</f>
        <v>1020330</v>
      </c>
      <c r="H46" s="38"/>
      <c r="I46" s="38"/>
    </row>
    <row r="47" spans="1:13" s="24" customFormat="1" ht="54">
      <c r="A47" s="20"/>
      <c r="B47" s="20"/>
      <c r="C47" s="33"/>
      <c r="D47" s="54"/>
      <c r="E47" s="47" t="s">
        <v>60</v>
      </c>
      <c r="F47" s="58">
        <f>888180-108000</f>
        <v>780180</v>
      </c>
      <c r="G47" s="78">
        <f>888180-108000</f>
        <v>780180</v>
      </c>
      <c r="H47" s="38"/>
      <c r="I47" s="38"/>
    </row>
    <row r="48" spans="1:13" s="24" customFormat="1" ht="54">
      <c r="A48" s="20"/>
      <c r="B48" s="20"/>
      <c r="C48" s="33"/>
      <c r="D48" s="54"/>
      <c r="E48" s="47" t="s">
        <v>61</v>
      </c>
      <c r="F48" s="58">
        <f>193260-37000</f>
        <v>156260</v>
      </c>
      <c r="G48" s="78">
        <f>193260-37000</f>
        <v>156260</v>
      </c>
      <c r="H48" s="38"/>
      <c r="I48" s="38"/>
    </row>
    <row r="49" spans="1:13" s="24" customFormat="1" ht="126">
      <c r="A49" s="20"/>
      <c r="B49" s="20"/>
      <c r="C49" s="33"/>
      <c r="D49" s="54"/>
      <c r="E49" s="47" t="s">
        <v>169</v>
      </c>
      <c r="F49" s="58">
        <f>1720000-270000</f>
        <v>1450000</v>
      </c>
      <c r="G49" s="78">
        <f>1720000-270000</f>
        <v>1450000</v>
      </c>
      <c r="H49" s="38"/>
      <c r="I49" s="38"/>
    </row>
    <row r="50" spans="1:13" s="24" customFormat="1" ht="90">
      <c r="A50" s="20"/>
      <c r="B50" s="20"/>
      <c r="C50" s="33"/>
      <c r="D50" s="54"/>
      <c r="E50" s="47" t="s">
        <v>216</v>
      </c>
      <c r="F50" s="58">
        <v>200000</v>
      </c>
      <c r="G50" s="78">
        <v>200000</v>
      </c>
      <c r="H50" s="38"/>
      <c r="I50" s="38"/>
    </row>
    <row r="51" spans="1:13" s="24" customFormat="1" ht="36">
      <c r="A51" s="20" t="s">
        <v>217</v>
      </c>
      <c r="B51" s="20" t="s">
        <v>218</v>
      </c>
      <c r="C51" s="33" t="s">
        <v>144</v>
      </c>
      <c r="D51" s="54" t="s">
        <v>219</v>
      </c>
      <c r="E51" s="47" t="s">
        <v>260</v>
      </c>
      <c r="F51" s="58">
        <f>1200000-70000</f>
        <v>1130000</v>
      </c>
      <c r="G51" s="78">
        <f>1200000-70000</f>
        <v>1130000</v>
      </c>
      <c r="H51" s="38"/>
      <c r="I51" s="38"/>
    </row>
    <row r="52" spans="1:13" s="24" customFormat="1" ht="126">
      <c r="A52" s="20" t="s">
        <v>220</v>
      </c>
      <c r="B52" s="20" t="s">
        <v>222</v>
      </c>
      <c r="C52" s="33" t="s">
        <v>144</v>
      </c>
      <c r="D52" s="54" t="s">
        <v>224</v>
      </c>
      <c r="E52" s="47" t="s">
        <v>90</v>
      </c>
      <c r="F52" s="58">
        <v>1012084</v>
      </c>
      <c r="G52" s="78">
        <v>1012084</v>
      </c>
      <c r="H52" s="38"/>
      <c r="I52" s="38"/>
    </row>
    <row r="53" spans="1:13" s="24" customFormat="1" ht="126">
      <c r="A53" s="20" t="s">
        <v>221</v>
      </c>
      <c r="B53" s="20" t="s">
        <v>223</v>
      </c>
      <c r="C53" s="33" t="s">
        <v>144</v>
      </c>
      <c r="D53" s="54" t="s">
        <v>225</v>
      </c>
      <c r="E53" s="47" t="s">
        <v>90</v>
      </c>
      <c r="F53" s="58">
        <v>2361528</v>
      </c>
      <c r="G53" s="78">
        <v>2361528</v>
      </c>
      <c r="H53" s="38"/>
      <c r="I53" s="38"/>
    </row>
    <row r="54" spans="1:13" s="24" customFormat="1" ht="180">
      <c r="A54" s="20" t="s">
        <v>142</v>
      </c>
      <c r="B54" s="20" t="s">
        <v>143</v>
      </c>
      <c r="C54" s="20" t="s">
        <v>144</v>
      </c>
      <c r="D54" s="27" t="s">
        <v>145</v>
      </c>
      <c r="E54" s="47" t="s">
        <v>90</v>
      </c>
      <c r="F54" s="58">
        <f>656964+784845</f>
        <v>1441809</v>
      </c>
      <c r="G54" s="78">
        <f>656964+784845</f>
        <v>1441809</v>
      </c>
      <c r="H54" s="38"/>
      <c r="I54" s="38"/>
    </row>
    <row r="55" spans="1:13" s="24" customFormat="1" ht="36">
      <c r="A55" s="20" t="s">
        <v>226</v>
      </c>
      <c r="B55" s="20" t="s">
        <v>192</v>
      </c>
      <c r="C55" s="33" t="s">
        <v>194</v>
      </c>
      <c r="D55" s="27" t="s">
        <v>193</v>
      </c>
      <c r="E55" s="47" t="s">
        <v>90</v>
      </c>
      <c r="F55" s="58">
        <v>205000</v>
      </c>
      <c r="G55" s="78">
        <v>205000</v>
      </c>
      <c r="H55" s="38"/>
      <c r="I55" s="38"/>
    </row>
    <row r="56" spans="1:13" s="24" customFormat="1" ht="54">
      <c r="A56" s="20" t="s">
        <v>62</v>
      </c>
      <c r="B56" s="20" t="s">
        <v>63</v>
      </c>
      <c r="C56" s="33" t="s">
        <v>65</v>
      </c>
      <c r="D56" s="54" t="s">
        <v>64</v>
      </c>
      <c r="E56" s="17" t="s">
        <v>10</v>
      </c>
      <c r="F56" s="28">
        <f>SUM(F57:F61)</f>
        <v>11002925.359999999</v>
      </c>
      <c r="G56" s="38">
        <f>SUM(G57:G61)</f>
        <v>11002925.359999999</v>
      </c>
      <c r="H56" s="38"/>
      <c r="I56" s="38"/>
    </row>
    <row r="57" spans="1:13" s="24" customFormat="1" ht="120.75" customHeight="1">
      <c r="A57" s="20"/>
      <c r="B57" s="20"/>
      <c r="C57" s="33"/>
      <c r="D57" s="54"/>
      <c r="E57" s="47" t="s">
        <v>184</v>
      </c>
      <c r="F57" s="58">
        <f>1400000+383680+1822017-421900</f>
        <v>3183797</v>
      </c>
      <c r="G57" s="78">
        <f>1400000+383680+1822017-421900</f>
        <v>3183797</v>
      </c>
      <c r="H57" s="38"/>
      <c r="I57" s="38"/>
    </row>
    <row r="58" spans="1:13" s="24" customFormat="1" ht="90">
      <c r="A58" s="20"/>
      <c r="B58" s="20"/>
      <c r="C58" s="33"/>
      <c r="D58" s="54"/>
      <c r="E58" s="47" t="s">
        <v>183</v>
      </c>
      <c r="F58" s="58">
        <f>900000+306196+667364-373200</f>
        <v>1500360</v>
      </c>
      <c r="G58" s="78">
        <f>900000+306196+667364-373200</f>
        <v>1500360</v>
      </c>
      <c r="H58" s="38"/>
      <c r="I58" s="38"/>
    </row>
    <row r="59" spans="1:13" s="24" customFormat="1" ht="90">
      <c r="A59" s="20"/>
      <c r="B59" s="20"/>
      <c r="C59" s="33"/>
      <c r="D59" s="54"/>
      <c r="E59" s="47" t="s">
        <v>185</v>
      </c>
      <c r="F59" s="58">
        <f>168768.36+5000000-3500000-100000</f>
        <v>1568768.3600000003</v>
      </c>
      <c r="G59" s="78">
        <f>168768.36+5000000-3500000-100000</f>
        <v>1568768.3600000003</v>
      </c>
      <c r="H59" s="38"/>
      <c r="I59" s="38"/>
    </row>
    <row r="60" spans="1:13" s="24" customFormat="1" ht="108">
      <c r="A60" s="20"/>
      <c r="B60" s="20"/>
      <c r="C60" s="33"/>
      <c r="D60" s="27"/>
      <c r="E60" s="47" t="s">
        <v>204</v>
      </c>
      <c r="F60" s="58">
        <f>2000000-500000</f>
        <v>1500000</v>
      </c>
      <c r="G60" s="78">
        <f>2000000-500000</f>
        <v>1500000</v>
      </c>
      <c r="H60" s="38"/>
      <c r="I60" s="38"/>
      <c r="J60" s="1"/>
      <c r="K60" s="1"/>
      <c r="L60" s="5"/>
      <c r="M60" s="5"/>
    </row>
    <row r="61" spans="1:13" s="24" customFormat="1" ht="36">
      <c r="A61" s="20"/>
      <c r="B61" s="20"/>
      <c r="C61" s="33"/>
      <c r="D61" s="27"/>
      <c r="E61" s="47" t="s">
        <v>261</v>
      </c>
      <c r="F61" s="58">
        <v>3250000</v>
      </c>
      <c r="G61" s="78">
        <v>3250000</v>
      </c>
      <c r="H61" s="38"/>
      <c r="I61" s="38"/>
      <c r="J61" s="1"/>
      <c r="K61" s="1"/>
      <c r="L61" s="5"/>
      <c r="M61" s="5"/>
    </row>
    <row r="62" spans="1:13" ht="36.6" customHeight="1">
      <c r="A62" s="19" t="s">
        <v>170</v>
      </c>
      <c r="B62" s="19"/>
      <c r="C62" s="19"/>
      <c r="D62" s="92" t="s">
        <v>172</v>
      </c>
      <c r="E62" s="93"/>
      <c r="F62" s="22">
        <f t="shared" ref="F62:I62" si="3">F63</f>
        <v>8603847</v>
      </c>
      <c r="G62" s="37">
        <f>G63</f>
        <v>8603847</v>
      </c>
      <c r="H62" s="37">
        <f t="shared" si="3"/>
        <v>0</v>
      </c>
      <c r="I62" s="37">
        <f t="shared" si="3"/>
        <v>0</v>
      </c>
      <c r="J62" s="1"/>
    </row>
    <row r="63" spans="1:13" ht="36.6" customHeight="1">
      <c r="A63" s="19" t="s">
        <v>171</v>
      </c>
      <c r="B63" s="18"/>
      <c r="C63" s="18"/>
      <c r="D63" s="92" t="s">
        <v>172</v>
      </c>
      <c r="E63" s="93"/>
      <c r="F63" s="22">
        <f>F64+F65+F66</f>
        <v>8603847</v>
      </c>
      <c r="G63" s="37">
        <f>G64+G65+G66</f>
        <v>8603847</v>
      </c>
      <c r="H63" s="37">
        <f t="shared" ref="H63:I63" si="4">H65+H66</f>
        <v>0</v>
      </c>
      <c r="I63" s="37">
        <f t="shared" si="4"/>
        <v>0</v>
      </c>
      <c r="J63" s="24"/>
      <c r="K63" s="24"/>
      <c r="L63" s="24"/>
      <c r="M63" s="24"/>
    </row>
    <row r="64" spans="1:13" ht="92.4" customHeight="1">
      <c r="A64" s="20" t="s">
        <v>277</v>
      </c>
      <c r="B64" s="20" t="s">
        <v>276</v>
      </c>
      <c r="C64" s="45" t="s">
        <v>278</v>
      </c>
      <c r="D64" s="27" t="s">
        <v>279</v>
      </c>
      <c r="E64" s="66" t="s">
        <v>303</v>
      </c>
      <c r="F64" s="28">
        <v>2000000</v>
      </c>
      <c r="G64" s="38">
        <v>2000000</v>
      </c>
      <c r="H64" s="37"/>
      <c r="I64" s="38"/>
      <c r="J64" s="51" t="s">
        <v>281</v>
      </c>
      <c r="K64" s="24"/>
      <c r="L64" s="24"/>
      <c r="M64" s="24"/>
    </row>
    <row r="65" spans="1:13" s="24" customFormat="1" ht="159" customHeight="1">
      <c r="A65" s="20" t="s">
        <v>173</v>
      </c>
      <c r="B65" s="20" t="s">
        <v>177</v>
      </c>
      <c r="C65" s="45">
        <v>1060</v>
      </c>
      <c r="D65" s="94" t="s">
        <v>175</v>
      </c>
      <c r="E65" s="95"/>
      <c r="F65" s="58">
        <v>1859158</v>
      </c>
      <c r="G65" s="78">
        <v>1859158</v>
      </c>
      <c r="H65" s="38"/>
      <c r="I65" s="38"/>
    </row>
    <row r="66" spans="1:13" s="24" customFormat="1" ht="107.4" customHeight="1">
      <c r="A66" s="20" t="s">
        <v>174</v>
      </c>
      <c r="B66" s="20" t="s">
        <v>178</v>
      </c>
      <c r="C66" s="45">
        <v>1060</v>
      </c>
      <c r="D66" s="94" t="s">
        <v>176</v>
      </c>
      <c r="E66" s="95"/>
      <c r="F66" s="58">
        <v>4744689</v>
      </c>
      <c r="G66" s="78">
        <v>4744689</v>
      </c>
      <c r="H66" s="38"/>
      <c r="I66" s="38"/>
      <c r="J66" s="1"/>
      <c r="K66" s="1"/>
      <c r="L66" s="5"/>
      <c r="M66" s="5"/>
    </row>
    <row r="67" spans="1:13" s="89" customFormat="1">
      <c r="A67" s="44" t="s">
        <v>301</v>
      </c>
      <c r="B67" s="44"/>
      <c r="C67" s="86"/>
      <c r="D67" s="96" t="s">
        <v>282</v>
      </c>
      <c r="E67" s="97"/>
      <c r="F67" s="32">
        <f>F68</f>
        <v>4231735</v>
      </c>
      <c r="G67" s="32">
        <f>G68</f>
        <v>4231735</v>
      </c>
      <c r="H67" s="37"/>
      <c r="I67" s="37"/>
      <c r="J67" s="87"/>
      <c r="K67" s="87"/>
      <c r="L67" s="88"/>
      <c r="M67" s="88"/>
    </row>
    <row r="68" spans="1:13" s="89" customFormat="1">
      <c r="A68" s="44" t="s">
        <v>302</v>
      </c>
      <c r="B68" s="44"/>
      <c r="C68" s="86"/>
      <c r="D68" s="96" t="s">
        <v>282</v>
      </c>
      <c r="E68" s="97"/>
      <c r="F68" s="32">
        <f>F69</f>
        <v>4231735</v>
      </c>
      <c r="G68" s="32">
        <f>G69</f>
        <v>4231735</v>
      </c>
      <c r="H68" s="37"/>
      <c r="I68" s="37"/>
      <c r="J68" s="87"/>
      <c r="K68" s="87"/>
      <c r="L68" s="88"/>
      <c r="M68" s="88"/>
    </row>
    <row r="69" spans="1:13" s="24" customFormat="1" ht="162">
      <c r="A69" s="20" t="s">
        <v>283</v>
      </c>
      <c r="B69" s="20" t="s">
        <v>284</v>
      </c>
      <c r="C69" s="33" t="s">
        <v>13</v>
      </c>
      <c r="D69" s="27" t="s">
        <v>285</v>
      </c>
      <c r="E69" s="83" t="s">
        <v>286</v>
      </c>
      <c r="F69" s="58">
        <v>4231735</v>
      </c>
      <c r="G69" s="78">
        <v>4231735</v>
      </c>
      <c r="H69" s="38"/>
      <c r="I69" s="38"/>
      <c r="J69" s="50" t="s">
        <v>287</v>
      </c>
      <c r="K69" s="1"/>
      <c r="L69" s="5"/>
      <c r="M69" s="5"/>
    </row>
    <row r="70" spans="1:13">
      <c r="A70" s="19" t="s">
        <v>299</v>
      </c>
      <c r="B70" s="19"/>
      <c r="C70" s="19"/>
      <c r="D70" s="92" t="s">
        <v>227</v>
      </c>
      <c r="E70" s="93"/>
      <c r="F70" s="22">
        <f>F71</f>
        <v>190000</v>
      </c>
      <c r="G70" s="37">
        <f>G71</f>
        <v>190000</v>
      </c>
      <c r="H70" s="37"/>
      <c r="I70" s="37"/>
      <c r="J70" s="1"/>
    </row>
    <row r="71" spans="1:13">
      <c r="A71" s="19" t="s">
        <v>300</v>
      </c>
      <c r="B71" s="18"/>
      <c r="C71" s="18"/>
      <c r="D71" s="92" t="s">
        <v>227</v>
      </c>
      <c r="E71" s="93"/>
      <c r="F71" s="22">
        <f>F72</f>
        <v>190000</v>
      </c>
      <c r="G71" s="37">
        <f>G72</f>
        <v>190000</v>
      </c>
      <c r="H71" s="37"/>
      <c r="I71" s="37"/>
      <c r="J71" s="24"/>
      <c r="K71" s="24"/>
      <c r="L71" s="24"/>
      <c r="M71" s="24"/>
    </row>
    <row r="72" spans="1:13" s="24" customFormat="1" ht="36">
      <c r="A72" s="20" t="s">
        <v>228</v>
      </c>
      <c r="B72" s="20" t="s">
        <v>229</v>
      </c>
      <c r="C72" s="33" t="s">
        <v>231</v>
      </c>
      <c r="D72" s="81" t="s">
        <v>230</v>
      </c>
      <c r="E72" s="81" t="s">
        <v>90</v>
      </c>
      <c r="F72" s="58">
        <v>190000</v>
      </c>
      <c r="G72" s="78">
        <v>190000</v>
      </c>
      <c r="H72" s="38"/>
      <c r="I72" s="38"/>
      <c r="J72" s="1"/>
      <c r="K72" s="1"/>
      <c r="L72" s="5"/>
      <c r="M72" s="5"/>
    </row>
    <row r="73" spans="1:13" ht="36.6" customHeight="1">
      <c r="A73" s="19" t="s">
        <v>66</v>
      </c>
      <c r="B73" s="19"/>
      <c r="C73" s="19"/>
      <c r="D73" s="92" t="s">
        <v>68</v>
      </c>
      <c r="E73" s="93"/>
      <c r="F73" s="22">
        <f t="shared" ref="F73:I73" si="5">F74</f>
        <v>22685986.759999998</v>
      </c>
      <c r="G73" s="37" t="e">
        <f>G74</f>
        <v>#REF!</v>
      </c>
      <c r="H73" s="37" t="e">
        <f t="shared" si="5"/>
        <v>#REF!</v>
      </c>
      <c r="I73" s="37" t="e">
        <f t="shared" si="5"/>
        <v>#REF!</v>
      </c>
      <c r="J73" s="1"/>
    </row>
    <row r="74" spans="1:13" ht="36.6" customHeight="1">
      <c r="A74" s="19" t="s">
        <v>67</v>
      </c>
      <c r="B74" s="18"/>
      <c r="C74" s="18"/>
      <c r="D74" s="92" t="s">
        <v>68</v>
      </c>
      <c r="E74" s="93"/>
      <c r="F74" s="22">
        <f>F75+F93+F97+F100+F101+F104+F106+F107+F115+F121+F122</f>
        <v>22685986.759999998</v>
      </c>
      <c r="G74" s="22" t="e">
        <f>G75+G93+G97+G100+G101+G104+G106+G107+#REF!+G115+G121+G122</f>
        <v>#REF!</v>
      </c>
      <c r="H74" s="22" t="e">
        <f>H75+H93+H97+H100+H101+H104+H106+H107+#REF!+H115+H121+H122</f>
        <v>#REF!</v>
      </c>
      <c r="I74" s="22" t="e">
        <f>I75+I93+I97+I100+I101+I104+I106+I107+#REF!+I115+I121+I122</f>
        <v>#REF!</v>
      </c>
      <c r="J74" s="24"/>
      <c r="K74" s="24"/>
      <c r="L74" s="24"/>
      <c r="M74" s="24"/>
    </row>
    <row r="75" spans="1:13" s="24" customFormat="1" ht="54">
      <c r="A75" s="20" t="s">
        <v>69</v>
      </c>
      <c r="B75" s="20" t="s">
        <v>15</v>
      </c>
      <c r="C75" s="33" t="s">
        <v>13</v>
      </c>
      <c r="D75" s="54" t="s">
        <v>14</v>
      </c>
      <c r="E75" s="17" t="s">
        <v>10</v>
      </c>
      <c r="F75" s="58">
        <f>F76+F83+F84+F85+F86+F87+F88+F89+F90+F91+F92</f>
        <v>5393826</v>
      </c>
      <c r="G75" s="78">
        <f>G76+G83+G84+G85+G86+G87+G88+G89+G90+G91+G92</f>
        <v>5145526</v>
      </c>
      <c r="H75" s="78">
        <f t="shared" ref="H75:I75" si="6">H76+H83+H84+H85+H86+H87+H88+H89+H90+H91+H92</f>
        <v>0</v>
      </c>
      <c r="I75" s="78">
        <f t="shared" si="6"/>
        <v>248300</v>
      </c>
    </row>
    <row r="76" spans="1:13" s="24" customFormat="1" ht="90">
      <c r="A76" s="20"/>
      <c r="B76" s="20"/>
      <c r="C76" s="33"/>
      <c r="D76" s="54"/>
      <c r="E76" s="27" t="s">
        <v>70</v>
      </c>
      <c r="F76" s="28">
        <f>F77+F78+F79+F80+F81+F82</f>
        <v>3741524</v>
      </c>
      <c r="G76" s="38">
        <f>G77+G78+G79+G80+G81+G82</f>
        <v>3493224</v>
      </c>
      <c r="H76" s="38">
        <f t="shared" ref="H76:I76" si="7">H77+H78+H79+H80+H81+H82</f>
        <v>0</v>
      </c>
      <c r="I76" s="38">
        <f t="shared" si="7"/>
        <v>248300</v>
      </c>
    </row>
    <row r="77" spans="1:13" s="24" customFormat="1" ht="54">
      <c r="A77" s="20"/>
      <c r="B77" s="20"/>
      <c r="C77" s="33"/>
      <c r="D77" s="54"/>
      <c r="E77" s="30" t="s">
        <v>234</v>
      </c>
      <c r="F77" s="29">
        <v>45000</v>
      </c>
      <c r="G77" s="39">
        <v>45000</v>
      </c>
      <c r="H77" s="38"/>
      <c r="I77" s="38"/>
    </row>
    <row r="78" spans="1:13" s="24" customFormat="1" ht="72">
      <c r="A78" s="20"/>
      <c r="B78" s="20"/>
      <c r="C78" s="33"/>
      <c r="D78" s="54"/>
      <c r="E78" s="30" t="s">
        <v>235</v>
      </c>
      <c r="F78" s="29">
        <v>360000</v>
      </c>
      <c r="G78" s="39">
        <f>61700+50000</f>
        <v>111700</v>
      </c>
      <c r="H78" s="38"/>
      <c r="I78" s="38">
        <f>298300-50000</f>
        <v>248300</v>
      </c>
    </row>
    <row r="79" spans="1:13" s="24" customFormat="1" ht="54">
      <c r="A79" s="20"/>
      <c r="B79" s="20"/>
      <c r="C79" s="33"/>
      <c r="D79" s="54"/>
      <c r="E79" s="76" t="s">
        <v>236</v>
      </c>
      <c r="F79" s="29">
        <v>90000</v>
      </c>
      <c r="G79" s="39">
        <v>90000</v>
      </c>
      <c r="H79" s="38"/>
      <c r="I79" s="38"/>
    </row>
    <row r="80" spans="1:13" s="24" customFormat="1" ht="72">
      <c r="A80" s="20"/>
      <c r="B80" s="20"/>
      <c r="C80" s="33"/>
      <c r="D80" s="54"/>
      <c r="E80" s="30" t="s">
        <v>186</v>
      </c>
      <c r="F80" s="60">
        <f>973214-32514.68</f>
        <v>940699.32</v>
      </c>
      <c r="G80" s="39">
        <f>973214-32514.68</f>
        <v>940699.32</v>
      </c>
      <c r="H80" s="38"/>
      <c r="I80" s="38"/>
    </row>
    <row r="81" spans="1:9" s="24" customFormat="1" ht="72">
      <c r="A81" s="20"/>
      <c r="B81" s="20"/>
      <c r="C81" s="33"/>
      <c r="D81" s="54"/>
      <c r="E81" s="30" t="s">
        <v>71</v>
      </c>
      <c r="F81" s="60">
        <f>1878462+277921.81</f>
        <v>2156383.81</v>
      </c>
      <c r="G81" s="39">
        <f>1878462+277921.81</f>
        <v>2156383.81</v>
      </c>
      <c r="H81" s="38"/>
      <c r="I81" s="38"/>
    </row>
    <row r="82" spans="1:9" s="24" customFormat="1" ht="72">
      <c r="A82" s="20"/>
      <c r="B82" s="20"/>
      <c r="C82" s="33"/>
      <c r="D82" s="54"/>
      <c r="E82" s="30" t="s">
        <v>72</v>
      </c>
      <c r="F82" s="60">
        <f>192509-43068.13</f>
        <v>149440.87</v>
      </c>
      <c r="G82" s="39">
        <f>192509-43068.13</f>
        <v>149440.87</v>
      </c>
      <c r="H82" s="38"/>
      <c r="I82" s="38"/>
    </row>
    <row r="83" spans="1:9" s="24" customFormat="1" ht="180">
      <c r="A83" s="20"/>
      <c r="B83" s="20"/>
      <c r="C83" s="33"/>
      <c r="D83" s="54"/>
      <c r="E83" s="27" t="s">
        <v>73</v>
      </c>
      <c r="F83" s="61">
        <f>158368.14+0.86</f>
        <v>158369</v>
      </c>
      <c r="G83" s="38">
        <f>158368.14+0.86</f>
        <v>158369</v>
      </c>
      <c r="H83" s="38"/>
      <c r="I83" s="38"/>
    </row>
    <row r="84" spans="1:9" s="24" customFormat="1" ht="180">
      <c r="A84" s="20"/>
      <c r="B84" s="20"/>
      <c r="C84" s="33"/>
      <c r="D84" s="54"/>
      <c r="E84" s="27" t="s">
        <v>74</v>
      </c>
      <c r="F84" s="61">
        <f>166805.43+0.57</f>
        <v>166806</v>
      </c>
      <c r="G84" s="38">
        <f>166805.43+0.57</f>
        <v>166806</v>
      </c>
      <c r="H84" s="38"/>
      <c r="I84" s="38"/>
    </row>
    <row r="85" spans="1:9" s="24" customFormat="1" ht="72">
      <c r="A85" s="20"/>
      <c r="B85" s="20"/>
      <c r="C85" s="33"/>
      <c r="D85" s="54"/>
      <c r="E85" s="59" t="s">
        <v>75</v>
      </c>
      <c r="F85" s="61">
        <v>182708</v>
      </c>
      <c r="G85" s="38">
        <v>182708</v>
      </c>
      <c r="H85" s="38"/>
      <c r="I85" s="38"/>
    </row>
    <row r="86" spans="1:9" s="24" customFormat="1" ht="72">
      <c r="A86" s="20"/>
      <c r="B86" s="20"/>
      <c r="C86" s="33"/>
      <c r="D86" s="54"/>
      <c r="E86" s="27" t="s">
        <v>76</v>
      </c>
      <c r="F86" s="61">
        <v>13964</v>
      </c>
      <c r="G86" s="38">
        <v>13964</v>
      </c>
      <c r="H86" s="38"/>
      <c r="I86" s="38"/>
    </row>
    <row r="87" spans="1:9" s="24" customFormat="1" ht="72">
      <c r="A87" s="20"/>
      <c r="B87" s="20"/>
      <c r="C87" s="33"/>
      <c r="D87" s="54"/>
      <c r="E87" s="59" t="s">
        <v>77</v>
      </c>
      <c r="F87" s="61">
        <v>151219</v>
      </c>
      <c r="G87" s="38">
        <v>151219</v>
      </c>
      <c r="H87" s="38"/>
      <c r="I87" s="38"/>
    </row>
    <row r="88" spans="1:9" s="24" customFormat="1" ht="72">
      <c r="A88" s="20"/>
      <c r="B88" s="20"/>
      <c r="C88" s="33"/>
      <c r="D88" s="54"/>
      <c r="E88" s="59" t="s">
        <v>78</v>
      </c>
      <c r="F88" s="61">
        <v>151219</v>
      </c>
      <c r="G88" s="38">
        <v>151219</v>
      </c>
      <c r="H88" s="38"/>
      <c r="I88" s="38"/>
    </row>
    <row r="89" spans="1:9" s="24" customFormat="1" ht="72">
      <c r="A89" s="20"/>
      <c r="B89" s="20"/>
      <c r="C89" s="33"/>
      <c r="D89" s="54"/>
      <c r="E89" s="27" t="s">
        <v>79</v>
      </c>
      <c r="F89" s="61">
        <v>13964</v>
      </c>
      <c r="G89" s="38">
        <v>13964</v>
      </c>
      <c r="H89" s="38"/>
      <c r="I89" s="38"/>
    </row>
    <row r="90" spans="1:9" s="24" customFormat="1" ht="72">
      <c r="A90" s="20"/>
      <c r="B90" s="20"/>
      <c r="C90" s="33"/>
      <c r="D90" s="54"/>
      <c r="E90" s="59" t="s">
        <v>80</v>
      </c>
      <c r="F90" s="61">
        <v>147053</v>
      </c>
      <c r="G90" s="38">
        <v>147053</v>
      </c>
      <c r="H90" s="38"/>
      <c r="I90" s="38"/>
    </row>
    <row r="91" spans="1:9" s="24" customFormat="1" ht="54">
      <c r="A91" s="20"/>
      <c r="B91" s="20"/>
      <c r="C91" s="33"/>
      <c r="D91" s="54"/>
      <c r="E91" s="27" t="s">
        <v>232</v>
      </c>
      <c r="F91" s="61">
        <v>300000</v>
      </c>
      <c r="G91" s="38">
        <v>300000</v>
      </c>
      <c r="H91" s="38"/>
      <c r="I91" s="38"/>
    </row>
    <row r="92" spans="1:9" s="24" customFormat="1" ht="54">
      <c r="A92" s="20"/>
      <c r="B92" s="20"/>
      <c r="C92" s="33"/>
      <c r="D92" s="54"/>
      <c r="E92" s="27" t="s">
        <v>233</v>
      </c>
      <c r="F92" s="61">
        <v>367000</v>
      </c>
      <c r="G92" s="38">
        <v>367000</v>
      </c>
      <c r="H92" s="38"/>
      <c r="I92" s="38"/>
    </row>
    <row r="93" spans="1:9" s="24" customFormat="1" ht="54">
      <c r="A93" s="20" t="s">
        <v>160</v>
      </c>
      <c r="B93" s="20" t="s">
        <v>97</v>
      </c>
      <c r="C93" s="33" t="s">
        <v>84</v>
      </c>
      <c r="D93" s="54" t="s">
        <v>98</v>
      </c>
      <c r="E93" s="59" t="s">
        <v>10</v>
      </c>
      <c r="F93" s="61">
        <f>F94+F95+F96</f>
        <v>2247563</v>
      </c>
      <c r="G93" s="61" t="e">
        <f>G94+G95+G96+#REF!</f>
        <v>#REF!</v>
      </c>
      <c r="H93" s="38"/>
      <c r="I93" s="38"/>
    </row>
    <row r="94" spans="1:9" s="24" customFormat="1">
      <c r="A94" s="20"/>
      <c r="B94" s="20"/>
      <c r="C94" s="33"/>
      <c r="D94" s="54"/>
      <c r="E94" s="59" t="s">
        <v>161</v>
      </c>
      <c r="F94" s="61">
        <v>1244281</v>
      </c>
      <c r="G94" s="38">
        <v>1244281</v>
      </c>
      <c r="H94" s="38"/>
      <c r="I94" s="38"/>
    </row>
    <row r="95" spans="1:9" s="24" customFormat="1" ht="54">
      <c r="A95" s="20"/>
      <c r="B95" s="20"/>
      <c r="C95" s="33"/>
      <c r="D95" s="54"/>
      <c r="E95" s="80" t="s">
        <v>305</v>
      </c>
      <c r="F95" s="61">
        <v>173000</v>
      </c>
      <c r="G95" s="38">
        <v>173000</v>
      </c>
      <c r="H95" s="38"/>
      <c r="I95" s="38"/>
    </row>
    <row r="96" spans="1:9" s="24" customFormat="1" ht="36">
      <c r="A96" s="20"/>
      <c r="B96" s="20"/>
      <c r="C96" s="33"/>
      <c r="D96" s="54"/>
      <c r="E96" s="80" t="s">
        <v>288</v>
      </c>
      <c r="F96" s="61">
        <v>830282</v>
      </c>
      <c r="G96" s="38">
        <v>830282</v>
      </c>
      <c r="H96" s="38"/>
      <c r="I96" s="38"/>
    </row>
    <row r="97" spans="1:9" s="24" customFormat="1" ht="36">
      <c r="A97" s="20" t="s">
        <v>81</v>
      </c>
      <c r="B97" s="20" t="s">
        <v>82</v>
      </c>
      <c r="C97" s="33" t="s">
        <v>84</v>
      </c>
      <c r="D97" s="54" t="s">
        <v>83</v>
      </c>
      <c r="E97" s="17" t="s">
        <v>10</v>
      </c>
      <c r="F97" s="58">
        <f>F98</f>
        <v>1834392.76</v>
      </c>
      <c r="G97" s="78">
        <f>G98</f>
        <v>1834392.76</v>
      </c>
      <c r="H97" s="38"/>
      <c r="I97" s="38"/>
    </row>
    <row r="98" spans="1:9" s="24" customFormat="1" ht="90">
      <c r="A98" s="20"/>
      <c r="B98" s="20"/>
      <c r="C98" s="33"/>
      <c r="D98" s="54"/>
      <c r="E98" s="27" t="s">
        <v>211</v>
      </c>
      <c r="F98" s="58">
        <f>F99</f>
        <v>1834392.76</v>
      </c>
      <c r="G98" s="78">
        <f>G99</f>
        <v>1834392.76</v>
      </c>
      <c r="H98" s="38"/>
      <c r="I98" s="38"/>
    </row>
    <row r="99" spans="1:9" s="24" customFormat="1" ht="72">
      <c r="A99" s="26"/>
      <c r="B99" s="26"/>
      <c r="C99" s="62"/>
      <c r="D99" s="63"/>
      <c r="E99" s="30" t="s">
        <v>85</v>
      </c>
      <c r="F99" s="57">
        <f>495000+1485702-146309.24</f>
        <v>1834392.76</v>
      </c>
      <c r="G99" s="79">
        <f>495000+1485702-146309.24</f>
        <v>1834392.76</v>
      </c>
      <c r="H99" s="39"/>
      <c r="I99" s="39"/>
    </row>
    <row r="100" spans="1:9" s="24" customFormat="1" ht="144">
      <c r="A100" s="20" t="s">
        <v>208</v>
      </c>
      <c r="B100" s="20" t="s">
        <v>209</v>
      </c>
      <c r="C100" s="45" t="s">
        <v>84</v>
      </c>
      <c r="D100" s="27" t="s">
        <v>210</v>
      </c>
      <c r="E100" s="47" t="s">
        <v>212</v>
      </c>
      <c r="F100" s="58">
        <v>1200000</v>
      </c>
      <c r="G100" s="78">
        <v>1200000</v>
      </c>
      <c r="H100" s="39"/>
      <c r="I100" s="39"/>
    </row>
    <row r="101" spans="1:9" s="24" customFormat="1" ht="90">
      <c r="A101" s="20" t="s">
        <v>237</v>
      </c>
      <c r="B101" s="20" t="s">
        <v>238</v>
      </c>
      <c r="C101" s="33" t="s">
        <v>84</v>
      </c>
      <c r="D101" s="54" t="s">
        <v>239</v>
      </c>
      <c r="E101" s="47" t="s">
        <v>10</v>
      </c>
      <c r="F101" s="58">
        <f>F102+F103</f>
        <v>993080</v>
      </c>
      <c r="G101" s="58">
        <f>G102+G103</f>
        <v>993080</v>
      </c>
      <c r="H101" s="39"/>
      <c r="I101" s="39"/>
    </row>
    <row r="102" spans="1:9" s="24" customFormat="1" ht="90">
      <c r="A102" s="20"/>
      <c r="B102" s="20"/>
      <c r="C102" s="33"/>
      <c r="D102" s="54"/>
      <c r="E102" s="47" t="s">
        <v>240</v>
      </c>
      <c r="F102" s="58">
        <v>126980</v>
      </c>
      <c r="G102" s="78">
        <v>126980</v>
      </c>
      <c r="H102" s="39"/>
      <c r="I102" s="39"/>
    </row>
    <row r="103" spans="1:9" s="24" customFormat="1" ht="72">
      <c r="A103" s="20"/>
      <c r="B103" s="20"/>
      <c r="C103" s="33"/>
      <c r="D103" s="54"/>
      <c r="E103" s="47" t="s">
        <v>289</v>
      </c>
      <c r="F103" s="58">
        <v>866100</v>
      </c>
      <c r="G103" s="78">
        <v>866100</v>
      </c>
      <c r="H103" s="39"/>
      <c r="I103" s="39"/>
    </row>
    <row r="104" spans="1:9" s="24" customFormat="1" ht="36">
      <c r="A104" s="20" t="s">
        <v>86</v>
      </c>
      <c r="B104" s="20" t="s">
        <v>87</v>
      </c>
      <c r="C104" s="33" t="s">
        <v>84</v>
      </c>
      <c r="D104" s="54" t="s">
        <v>89</v>
      </c>
      <c r="E104" s="17" t="s">
        <v>10</v>
      </c>
      <c r="F104" s="58">
        <f>F105</f>
        <v>839500</v>
      </c>
      <c r="G104" s="78">
        <f>G105</f>
        <v>839500</v>
      </c>
      <c r="H104" s="38"/>
      <c r="I104" s="38"/>
    </row>
    <row r="105" spans="1:9" s="24" customFormat="1" ht="36">
      <c r="A105" s="20"/>
      <c r="B105" s="20"/>
      <c r="C105" s="33"/>
      <c r="D105" s="27"/>
      <c r="E105" s="47" t="s">
        <v>88</v>
      </c>
      <c r="F105" s="58">
        <v>839500</v>
      </c>
      <c r="G105" s="78">
        <v>839500</v>
      </c>
      <c r="H105" s="38"/>
      <c r="I105" s="38"/>
    </row>
    <row r="106" spans="1:9" s="24" customFormat="1" ht="36">
      <c r="A106" s="20" t="s">
        <v>241</v>
      </c>
      <c r="B106" s="20" t="s">
        <v>192</v>
      </c>
      <c r="C106" s="33" t="s">
        <v>194</v>
      </c>
      <c r="D106" s="27" t="s">
        <v>193</v>
      </c>
      <c r="E106" s="47" t="s">
        <v>90</v>
      </c>
      <c r="F106" s="58">
        <v>36000</v>
      </c>
      <c r="G106" s="78">
        <v>36000</v>
      </c>
      <c r="H106" s="38"/>
      <c r="I106" s="38"/>
    </row>
    <row r="107" spans="1:9" s="24" customFormat="1" ht="36">
      <c r="A107" s="20" t="s">
        <v>242</v>
      </c>
      <c r="B107" s="20" t="s">
        <v>243</v>
      </c>
      <c r="C107" s="33" t="s">
        <v>116</v>
      </c>
      <c r="D107" s="27" t="s">
        <v>244</v>
      </c>
      <c r="E107" s="17" t="s">
        <v>10</v>
      </c>
      <c r="F107" s="58">
        <f>F108+F109+F110+F111+F112+F113+F114</f>
        <v>7113997</v>
      </c>
      <c r="G107" s="78">
        <f>G108+G109+G110+G111+G112+G113</f>
        <v>4755297</v>
      </c>
      <c r="H107" s="78">
        <f t="shared" ref="H107:I107" si="8">H108+H109+H110+H111+H112+H113</f>
        <v>0</v>
      </c>
      <c r="I107" s="78">
        <f t="shared" si="8"/>
        <v>2170700</v>
      </c>
    </row>
    <row r="108" spans="1:9" ht="36">
      <c r="A108" s="20"/>
      <c r="B108" s="20"/>
      <c r="C108" s="33"/>
      <c r="D108" s="27"/>
      <c r="E108" s="59" t="s">
        <v>263</v>
      </c>
      <c r="F108" s="58">
        <v>1950000</v>
      </c>
      <c r="G108" s="78"/>
      <c r="H108" s="38"/>
      <c r="I108" s="38">
        <v>1950000</v>
      </c>
    </row>
    <row r="109" spans="1:9">
      <c r="A109" s="20"/>
      <c r="B109" s="20"/>
      <c r="C109" s="33"/>
      <c r="D109" s="27"/>
      <c r="E109" s="59" t="s">
        <v>262</v>
      </c>
      <c r="F109" s="58">
        <v>220700</v>
      </c>
      <c r="G109" s="78"/>
      <c r="H109" s="38"/>
      <c r="I109" s="38">
        <v>220700</v>
      </c>
    </row>
    <row r="110" spans="1:9" ht="54">
      <c r="A110" s="20"/>
      <c r="B110" s="20"/>
      <c r="C110" s="33"/>
      <c r="D110" s="27"/>
      <c r="E110" s="80" t="s">
        <v>306</v>
      </c>
      <c r="F110" s="58">
        <v>35997</v>
      </c>
      <c r="G110" s="78">
        <v>35997</v>
      </c>
      <c r="H110" s="38"/>
      <c r="I110" s="38"/>
    </row>
    <row r="111" spans="1:9" ht="54">
      <c r="A111" s="20"/>
      <c r="B111" s="20"/>
      <c r="C111" s="33"/>
      <c r="D111" s="27"/>
      <c r="E111" s="80" t="s">
        <v>307</v>
      </c>
      <c r="F111" s="58">
        <v>99000</v>
      </c>
      <c r="G111" s="78">
        <v>99000</v>
      </c>
      <c r="H111" s="38"/>
      <c r="I111" s="38"/>
    </row>
    <row r="112" spans="1:9" ht="36">
      <c r="A112" s="20"/>
      <c r="B112" s="20"/>
      <c r="C112" s="33"/>
      <c r="D112" s="27"/>
      <c r="E112" s="90" t="s">
        <v>290</v>
      </c>
      <c r="F112" s="58">
        <v>428800</v>
      </c>
      <c r="G112" s="78">
        <v>428800</v>
      </c>
      <c r="H112" s="38"/>
      <c r="I112" s="38"/>
    </row>
    <row r="113" spans="1:13" s="24" customFormat="1">
      <c r="A113" s="20"/>
      <c r="B113" s="20"/>
      <c r="C113" s="33"/>
      <c r="D113" s="27"/>
      <c r="E113" s="90" t="s">
        <v>308</v>
      </c>
      <c r="F113" s="58">
        <v>4191500</v>
      </c>
      <c r="G113" s="78">
        <v>4191500</v>
      </c>
      <c r="H113" s="38"/>
      <c r="I113" s="38"/>
    </row>
    <row r="114" spans="1:13" s="24" customFormat="1" ht="36">
      <c r="A114" s="20"/>
      <c r="B114" s="20"/>
      <c r="C114" s="33"/>
      <c r="D114" s="27"/>
      <c r="E114" s="90" t="s">
        <v>309</v>
      </c>
      <c r="F114" s="58">
        <v>188000</v>
      </c>
      <c r="G114" s="78"/>
      <c r="H114" s="38"/>
      <c r="I114" s="38"/>
    </row>
    <row r="115" spans="1:13" s="24" customFormat="1" ht="54">
      <c r="A115" s="20" t="s">
        <v>162</v>
      </c>
      <c r="B115" s="20" t="s">
        <v>63</v>
      </c>
      <c r="C115" s="33" t="s">
        <v>65</v>
      </c>
      <c r="D115" s="27" t="s">
        <v>64</v>
      </c>
      <c r="E115" s="17" t="s">
        <v>10</v>
      </c>
      <c r="F115" s="58">
        <f>SUM(F116:F120)</f>
        <v>1853000</v>
      </c>
      <c r="G115" s="78">
        <f>SUM(G116:G120)</f>
        <v>1853000</v>
      </c>
      <c r="H115" s="38"/>
      <c r="I115" s="38"/>
    </row>
    <row r="116" spans="1:13" s="24" customFormat="1" ht="54">
      <c r="A116" s="20"/>
      <c r="B116" s="20"/>
      <c r="C116" s="33"/>
      <c r="D116" s="27"/>
      <c r="E116" s="47" t="s">
        <v>163</v>
      </c>
      <c r="F116" s="58">
        <v>150000</v>
      </c>
      <c r="G116" s="78">
        <v>150000</v>
      </c>
      <c r="H116" s="38"/>
      <c r="I116" s="38"/>
    </row>
    <row r="117" spans="1:13" s="24" customFormat="1" ht="90">
      <c r="A117" s="20"/>
      <c r="B117" s="20"/>
      <c r="C117" s="33"/>
      <c r="D117" s="27"/>
      <c r="E117" s="47" t="s">
        <v>199</v>
      </c>
      <c r="F117" s="58">
        <v>419000</v>
      </c>
      <c r="G117" s="78">
        <v>419000</v>
      </c>
      <c r="H117" s="38"/>
      <c r="I117" s="38"/>
    </row>
    <row r="118" spans="1:13" s="24" customFormat="1" ht="36">
      <c r="A118" s="20"/>
      <c r="B118" s="20"/>
      <c r="C118" s="33"/>
      <c r="D118" s="27"/>
      <c r="E118" s="47" t="s">
        <v>205</v>
      </c>
      <c r="F118" s="58">
        <v>594000</v>
      </c>
      <c r="G118" s="78">
        <v>594000</v>
      </c>
      <c r="H118" s="38"/>
      <c r="I118" s="38"/>
    </row>
    <row r="119" spans="1:13" s="24" customFormat="1" ht="72">
      <c r="A119" s="20"/>
      <c r="B119" s="20"/>
      <c r="C119" s="33"/>
      <c r="D119" s="27"/>
      <c r="E119" s="47" t="s">
        <v>255</v>
      </c>
      <c r="F119" s="58">
        <v>270000</v>
      </c>
      <c r="G119" s="78">
        <v>270000</v>
      </c>
      <c r="H119" s="38"/>
      <c r="I119" s="38"/>
    </row>
    <row r="120" spans="1:13" s="24" customFormat="1" ht="36">
      <c r="A120" s="20"/>
      <c r="B120" s="20"/>
      <c r="C120" s="33"/>
      <c r="D120" s="27"/>
      <c r="E120" s="47" t="s">
        <v>245</v>
      </c>
      <c r="F120" s="58">
        <v>420000</v>
      </c>
      <c r="G120" s="78">
        <v>420000</v>
      </c>
      <c r="H120" s="38"/>
      <c r="I120" s="38"/>
    </row>
    <row r="121" spans="1:13" s="24" customFormat="1" ht="108">
      <c r="A121" s="20" t="s">
        <v>179</v>
      </c>
      <c r="B121" s="20" t="s">
        <v>180</v>
      </c>
      <c r="C121" s="33" t="s">
        <v>181</v>
      </c>
      <c r="D121" s="27" t="s">
        <v>182</v>
      </c>
      <c r="E121" s="27" t="s">
        <v>190</v>
      </c>
      <c r="F121" s="58">
        <v>674628</v>
      </c>
      <c r="G121" s="78">
        <v>674628</v>
      </c>
      <c r="H121" s="38"/>
      <c r="I121" s="38"/>
    </row>
    <row r="122" spans="1:13" s="24" customFormat="1" ht="108">
      <c r="A122" s="20" t="s">
        <v>265</v>
      </c>
      <c r="B122" s="20" t="s">
        <v>266</v>
      </c>
      <c r="C122" s="33" t="s">
        <v>148</v>
      </c>
      <c r="D122" s="27" t="s">
        <v>264</v>
      </c>
      <c r="E122" s="27" t="s">
        <v>268</v>
      </c>
      <c r="F122" s="58">
        <v>500000</v>
      </c>
      <c r="G122" s="78">
        <v>500000</v>
      </c>
      <c r="H122" s="38"/>
      <c r="I122" s="38"/>
      <c r="J122" s="1"/>
      <c r="K122" s="1"/>
      <c r="L122" s="5"/>
      <c r="M122" s="5"/>
    </row>
    <row r="123" spans="1:13" ht="36" customHeight="1">
      <c r="A123" s="19" t="s">
        <v>91</v>
      </c>
      <c r="B123" s="19"/>
      <c r="C123" s="19"/>
      <c r="D123" s="92" t="s">
        <v>93</v>
      </c>
      <c r="E123" s="93"/>
      <c r="F123" s="22">
        <f t="shared" ref="F123:I123" si="9">F124</f>
        <v>83464184</v>
      </c>
      <c r="G123" s="37">
        <f>G124</f>
        <v>79821384</v>
      </c>
      <c r="H123" s="37">
        <f t="shared" si="9"/>
        <v>362900</v>
      </c>
      <c r="I123" s="37">
        <f t="shared" si="9"/>
        <v>2729900</v>
      </c>
      <c r="J123" s="1"/>
    </row>
    <row r="124" spans="1:13" ht="36.6" customHeight="1">
      <c r="A124" s="19" t="s">
        <v>92</v>
      </c>
      <c r="B124" s="18"/>
      <c r="C124" s="18"/>
      <c r="D124" s="92" t="s">
        <v>93</v>
      </c>
      <c r="E124" s="93"/>
      <c r="F124" s="22">
        <f>F125+F126+F127+F140+F143+F145+F153+F157+F159+F166</f>
        <v>83464184</v>
      </c>
      <c r="G124" s="37">
        <f>G125+G126+G127+G140+G143+G145+G153+G159+G166</f>
        <v>79821384</v>
      </c>
      <c r="H124" s="37">
        <f>H125+H126+H127+H140+H143+H145+H153+H159+H166</f>
        <v>362900</v>
      </c>
      <c r="I124" s="37">
        <f>I125+I126+I127+I140+I143+I145+I153+I159+I166</f>
        <v>2729900</v>
      </c>
      <c r="J124" s="24"/>
      <c r="K124" s="24"/>
      <c r="L124" s="24"/>
      <c r="M124" s="24"/>
    </row>
    <row r="125" spans="1:13" s="24" customFormat="1" ht="126">
      <c r="A125" s="20" t="s">
        <v>94</v>
      </c>
      <c r="B125" s="20" t="s">
        <v>39</v>
      </c>
      <c r="C125" s="33" t="s">
        <v>41</v>
      </c>
      <c r="D125" s="27" t="s">
        <v>40</v>
      </c>
      <c r="E125" s="47" t="s">
        <v>95</v>
      </c>
      <c r="F125" s="28">
        <f>1205627-30000-25000</f>
        <v>1150627</v>
      </c>
      <c r="G125" s="38">
        <f>1205627-30000-25000</f>
        <v>1150627</v>
      </c>
      <c r="H125" s="38"/>
      <c r="I125" s="38"/>
    </row>
    <row r="126" spans="1:13" s="24" customFormat="1" ht="54">
      <c r="A126" s="20" t="s">
        <v>96</v>
      </c>
      <c r="B126" s="20" t="s">
        <v>97</v>
      </c>
      <c r="C126" s="33" t="s">
        <v>84</v>
      </c>
      <c r="D126" s="27" t="s">
        <v>98</v>
      </c>
      <c r="E126" s="43" t="s">
        <v>99</v>
      </c>
      <c r="F126" s="28">
        <v>382750</v>
      </c>
      <c r="G126" s="38">
        <v>382750</v>
      </c>
      <c r="H126" s="38"/>
      <c r="I126" s="38"/>
    </row>
    <row r="127" spans="1:13" s="24" customFormat="1" ht="36">
      <c r="A127" s="20" t="s">
        <v>100</v>
      </c>
      <c r="B127" s="20" t="s">
        <v>82</v>
      </c>
      <c r="C127" s="33" t="s">
        <v>84</v>
      </c>
      <c r="D127" s="27" t="s">
        <v>83</v>
      </c>
      <c r="E127" s="17" t="s">
        <v>10</v>
      </c>
      <c r="F127" s="28">
        <f>SUM(F128:F139)</f>
        <v>17718117</v>
      </c>
      <c r="G127" s="28">
        <f t="shared" ref="G127:I127" si="10">SUM(G128:G139)</f>
        <v>17318217</v>
      </c>
      <c r="H127" s="28">
        <f t="shared" si="10"/>
        <v>0</v>
      </c>
      <c r="I127" s="28">
        <f t="shared" si="10"/>
        <v>399900</v>
      </c>
    </row>
    <row r="128" spans="1:13" s="24" customFormat="1" ht="54">
      <c r="A128" s="20"/>
      <c r="B128" s="20"/>
      <c r="C128" s="33"/>
      <c r="D128" s="54"/>
      <c r="E128" s="64" t="s">
        <v>101</v>
      </c>
      <c r="F128" s="28">
        <f>2056596.21+7494.74+0.05</f>
        <v>2064091</v>
      </c>
      <c r="G128" s="38">
        <f>2056596.21+7494.74+0.05</f>
        <v>2064091</v>
      </c>
      <c r="H128" s="38"/>
      <c r="I128" s="38"/>
    </row>
    <row r="129" spans="1:10" s="24" customFormat="1" ht="54">
      <c r="A129" s="20"/>
      <c r="B129" s="20"/>
      <c r="C129" s="33"/>
      <c r="D129" s="54"/>
      <c r="E129" s="64" t="s">
        <v>102</v>
      </c>
      <c r="F129" s="28">
        <f>1499167.78+4111.79+0.43</f>
        <v>1503280</v>
      </c>
      <c r="G129" s="38">
        <f>1499167.78+4111.79+0.43</f>
        <v>1503280</v>
      </c>
      <c r="H129" s="38"/>
      <c r="I129" s="38"/>
    </row>
    <row r="130" spans="1:10" s="24" customFormat="1" ht="36">
      <c r="A130" s="20"/>
      <c r="B130" s="20"/>
      <c r="C130" s="33"/>
      <c r="D130" s="54"/>
      <c r="E130" s="64" t="s">
        <v>103</v>
      </c>
      <c r="F130" s="61">
        <v>1100020</v>
      </c>
      <c r="G130" s="38">
        <v>1100020</v>
      </c>
      <c r="H130" s="38"/>
      <c r="I130" s="38"/>
    </row>
    <row r="131" spans="1:10" s="24" customFormat="1" ht="54">
      <c r="A131" s="20"/>
      <c r="B131" s="20"/>
      <c r="C131" s="33"/>
      <c r="D131" s="54"/>
      <c r="E131" s="64" t="s">
        <v>104</v>
      </c>
      <c r="F131" s="61">
        <f>38956.27+2126763.13+0.6</f>
        <v>2165720</v>
      </c>
      <c r="G131" s="38">
        <f>38956.27+2126763.13+0.6</f>
        <v>2165720</v>
      </c>
      <c r="H131" s="38"/>
      <c r="I131" s="38"/>
    </row>
    <row r="132" spans="1:10" s="24" customFormat="1" ht="54">
      <c r="A132" s="20"/>
      <c r="B132" s="20"/>
      <c r="C132" s="33"/>
      <c r="D132" s="54"/>
      <c r="E132" s="64" t="s">
        <v>105</v>
      </c>
      <c r="F132" s="61">
        <f>1971768.08+7494.74+0.18</f>
        <v>1979263</v>
      </c>
      <c r="G132" s="38">
        <f>1971768.08+7494.74+0.18</f>
        <v>1979263</v>
      </c>
      <c r="H132" s="38"/>
      <c r="I132" s="38"/>
    </row>
    <row r="133" spans="1:10" s="24" customFormat="1" ht="54">
      <c r="A133" s="20"/>
      <c r="B133" s="20"/>
      <c r="C133" s="33"/>
      <c r="D133" s="54"/>
      <c r="E133" s="64" t="s">
        <v>106</v>
      </c>
      <c r="F133" s="61">
        <f>1496810.5+4111.98+0.52</f>
        <v>1500923</v>
      </c>
      <c r="G133" s="38">
        <f>1496810.5+4111.98+0.52</f>
        <v>1500923</v>
      </c>
      <c r="H133" s="38"/>
      <c r="I133" s="38"/>
    </row>
    <row r="134" spans="1:10" s="24" customFormat="1" ht="54">
      <c r="A134" s="20"/>
      <c r="B134" s="20"/>
      <c r="C134" s="33"/>
      <c r="D134" s="54"/>
      <c r="E134" s="64" t="s">
        <v>107</v>
      </c>
      <c r="F134" s="61">
        <f>1496069.17+4111.98+0.85</f>
        <v>1500182</v>
      </c>
      <c r="G134" s="38">
        <f>1496069.17+4111.98+0.85</f>
        <v>1500182</v>
      </c>
      <c r="H134" s="38"/>
      <c r="I134" s="38"/>
    </row>
    <row r="135" spans="1:10" s="24" customFormat="1" ht="54">
      <c r="A135" s="20"/>
      <c r="B135" s="20"/>
      <c r="C135" s="33"/>
      <c r="D135" s="54"/>
      <c r="E135" s="64" t="s">
        <v>108</v>
      </c>
      <c r="F135" s="61">
        <f>1499053.98+4111.79+0.23</f>
        <v>1503166</v>
      </c>
      <c r="G135" s="38">
        <f>1499053.98+4111.79+0.23</f>
        <v>1503166</v>
      </c>
      <c r="H135" s="38"/>
      <c r="I135" s="38"/>
    </row>
    <row r="136" spans="1:10" s="24" customFormat="1" ht="54">
      <c r="A136" s="20"/>
      <c r="B136" s="20"/>
      <c r="C136" s="33"/>
      <c r="D136" s="54"/>
      <c r="E136" s="64" t="s">
        <v>109</v>
      </c>
      <c r="F136" s="61">
        <f>1444898.12+3747.36+0.52</f>
        <v>1448646.0000000002</v>
      </c>
      <c r="G136" s="38">
        <f>1444898.12+3747.36+0.52</f>
        <v>1448646.0000000002</v>
      </c>
      <c r="H136" s="38"/>
      <c r="I136" s="38"/>
    </row>
    <row r="137" spans="1:10" s="24" customFormat="1" ht="36">
      <c r="A137" s="20"/>
      <c r="B137" s="20"/>
      <c r="C137" s="33"/>
      <c r="D137" s="54"/>
      <c r="E137" s="64" t="s">
        <v>110</v>
      </c>
      <c r="F137" s="61">
        <v>1100020</v>
      </c>
      <c r="G137" s="38">
        <v>1100020</v>
      </c>
      <c r="H137" s="38"/>
      <c r="I137" s="38"/>
    </row>
    <row r="138" spans="1:10" s="24" customFormat="1" ht="54">
      <c r="A138" s="20"/>
      <c r="B138" s="20"/>
      <c r="C138" s="33"/>
      <c r="D138" s="54"/>
      <c r="E138" s="64" t="s">
        <v>111</v>
      </c>
      <c r="F138" s="61">
        <f>1449158.58+3747.36+0.06</f>
        <v>1452906.0000000002</v>
      </c>
      <c r="G138" s="38">
        <f>1449158.58+3747.36+0.06</f>
        <v>1452906.0000000002</v>
      </c>
      <c r="H138" s="38"/>
      <c r="I138" s="38"/>
      <c r="J138" s="74"/>
    </row>
    <row r="139" spans="1:10" s="24" customFormat="1" ht="72">
      <c r="A139" s="20"/>
      <c r="B139" s="20"/>
      <c r="C139" s="33"/>
      <c r="D139" s="54"/>
      <c r="E139" s="64" t="s">
        <v>291</v>
      </c>
      <c r="F139" s="61">
        <v>399900</v>
      </c>
      <c r="G139" s="38"/>
      <c r="H139" s="38"/>
      <c r="I139" s="38">
        <v>399900</v>
      </c>
      <c r="J139" s="51" t="s">
        <v>292</v>
      </c>
    </row>
    <row r="140" spans="1:10" s="24" customFormat="1" ht="54">
      <c r="A140" s="20" t="s">
        <v>246</v>
      </c>
      <c r="B140" s="20" t="s">
        <v>209</v>
      </c>
      <c r="C140" s="33" t="s">
        <v>84</v>
      </c>
      <c r="D140" s="54" t="s">
        <v>247</v>
      </c>
      <c r="E140" s="17" t="s">
        <v>10</v>
      </c>
      <c r="F140" s="61">
        <f>SUM(F141:F142)</f>
        <v>330000</v>
      </c>
      <c r="G140" s="38">
        <f t="shared" ref="G140:I140" si="11">SUM(G141:G142)</f>
        <v>0</v>
      </c>
      <c r="H140" s="38">
        <f t="shared" si="11"/>
        <v>0</v>
      </c>
      <c r="I140" s="38">
        <f t="shared" si="11"/>
        <v>330000</v>
      </c>
      <c r="J140" s="74"/>
    </row>
    <row r="141" spans="1:10" s="24" customFormat="1" ht="54">
      <c r="A141" s="20"/>
      <c r="B141" s="20"/>
      <c r="C141" s="33"/>
      <c r="D141" s="54"/>
      <c r="E141" s="27" t="s">
        <v>252</v>
      </c>
      <c r="F141" s="61">
        <v>155000</v>
      </c>
      <c r="G141" s="38"/>
      <c r="H141" s="38"/>
      <c r="I141" s="38">
        <v>155000</v>
      </c>
      <c r="J141" s="74"/>
    </row>
    <row r="142" spans="1:10" s="24" customFormat="1" ht="72">
      <c r="A142" s="20"/>
      <c r="B142" s="20"/>
      <c r="C142" s="33"/>
      <c r="D142" s="54"/>
      <c r="E142" s="27" t="s">
        <v>253</v>
      </c>
      <c r="F142" s="61">
        <v>175000</v>
      </c>
      <c r="G142" s="38"/>
      <c r="H142" s="38"/>
      <c r="I142" s="38">
        <v>175000</v>
      </c>
      <c r="J142" s="74"/>
    </row>
    <row r="143" spans="1:10" s="24" customFormat="1" ht="108">
      <c r="A143" s="45">
        <v>1516050</v>
      </c>
      <c r="B143" s="33" t="s">
        <v>112</v>
      </c>
      <c r="C143" s="33" t="s">
        <v>84</v>
      </c>
      <c r="D143" s="27" t="s">
        <v>113</v>
      </c>
      <c r="E143" s="17" t="s">
        <v>10</v>
      </c>
      <c r="F143" s="61">
        <f>F144</f>
        <v>1194873</v>
      </c>
      <c r="G143" s="38">
        <f>G144</f>
        <v>1194873</v>
      </c>
      <c r="H143" s="38"/>
      <c r="I143" s="38"/>
    </row>
    <row r="144" spans="1:10" s="24" customFormat="1" ht="72">
      <c r="A144" s="20"/>
      <c r="B144" s="20"/>
      <c r="C144" s="33"/>
      <c r="D144" s="54"/>
      <c r="E144" s="59" t="s">
        <v>114</v>
      </c>
      <c r="F144" s="61">
        <v>1194873</v>
      </c>
      <c r="G144" s="38">
        <v>1194873</v>
      </c>
      <c r="H144" s="38"/>
      <c r="I144" s="38"/>
    </row>
    <row r="145" spans="1:10" s="24" customFormat="1" ht="36">
      <c r="A145" s="20" t="s">
        <v>200</v>
      </c>
      <c r="B145" s="20" t="s">
        <v>201</v>
      </c>
      <c r="C145" s="33" t="s">
        <v>139</v>
      </c>
      <c r="D145" s="47" t="s">
        <v>202</v>
      </c>
      <c r="E145" s="17" t="s">
        <v>10</v>
      </c>
      <c r="F145" s="61">
        <f>SUM(F146:F152)</f>
        <v>14432250</v>
      </c>
      <c r="G145" s="38">
        <f>SUM(G146:G152)</f>
        <v>14432250</v>
      </c>
      <c r="H145" s="38">
        <f>SUM(H146:H152)</f>
        <v>0</v>
      </c>
      <c r="I145" s="38"/>
    </row>
    <row r="146" spans="1:10" s="24" customFormat="1" ht="54">
      <c r="A146" s="20"/>
      <c r="B146" s="20"/>
      <c r="C146" s="33"/>
      <c r="D146" s="54"/>
      <c r="E146" s="27" t="s">
        <v>203</v>
      </c>
      <c r="F146" s="61">
        <v>600000</v>
      </c>
      <c r="G146" s="38">
        <v>600000</v>
      </c>
      <c r="H146" s="38"/>
      <c r="I146" s="38"/>
    </row>
    <row r="147" spans="1:10" s="24" customFormat="1" ht="72">
      <c r="A147" s="20"/>
      <c r="B147" s="20"/>
      <c r="C147" s="33"/>
      <c r="D147" s="54"/>
      <c r="E147" s="27" t="s">
        <v>267</v>
      </c>
      <c r="F147" s="28">
        <v>4634170</v>
      </c>
      <c r="G147" s="38">
        <v>4634170</v>
      </c>
      <c r="H147" s="38"/>
      <c r="I147" s="38"/>
    </row>
    <row r="148" spans="1:10" s="24" customFormat="1" ht="54">
      <c r="A148" s="20"/>
      <c r="B148" s="20"/>
      <c r="C148" s="33"/>
      <c r="D148" s="54"/>
      <c r="E148" s="75" t="s">
        <v>206</v>
      </c>
      <c r="F148" s="28">
        <v>1392820</v>
      </c>
      <c r="G148" s="38">
        <v>1392820</v>
      </c>
      <c r="H148" s="38"/>
      <c r="I148" s="38"/>
    </row>
    <row r="149" spans="1:10" s="24" customFormat="1" ht="54">
      <c r="A149" s="20"/>
      <c r="B149" s="20"/>
      <c r="C149" s="33"/>
      <c r="D149" s="54"/>
      <c r="E149" s="75" t="s">
        <v>207</v>
      </c>
      <c r="F149" s="28">
        <f>3374260+1027000</f>
        <v>4401260</v>
      </c>
      <c r="G149" s="38">
        <f>3374260+1027000</f>
        <v>4401260</v>
      </c>
      <c r="H149" s="38"/>
      <c r="I149" s="38"/>
    </row>
    <row r="150" spans="1:10" s="24" customFormat="1" ht="72">
      <c r="A150" s="20"/>
      <c r="B150" s="20"/>
      <c r="C150" s="33"/>
      <c r="D150" s="54"/>
      <c r="E150" s="80" t="s">
        <v>251</v>
      </c>
      <c r="F150" s="28">
        <v>1492000</v>
      </c>
      <c r="G150" s="38">
        <v>1492000</v>
      </c>
      <c r="H150" s="38"/>
      <c r="I150" s="38"/>
    </row>
    <row r="151" spans="1:10" s="24" customFormat="1" ht="54">
      <c r="A151" s="20"/>
      <c r="B151" s="20"/>
      <c r="C151" s="33"/>
      <c r="D151" s="54"/>
      <c r="E151" s="80" t="s">
        <v>256</v>
      </c>
      <c r="F151" s="28">
        <v>622000</v>
      </c>
      <c r="G151" s="38">
        <v>622000</v>
      </c>
      <c r="H151" s="38"/>
      <c r="I151" s="38"/>
    </row>
    <row r="152" spans="1:10" s="24" customFormat="1" ht="54">
      <c r="A152" s="20"/>
      <c r="B152" s="20"/>
      <c r="C152" s="33"/>
      <c r="D152" s="54"/>
      <c r="E152" s="80" t="s">
        <v>257</v>
      </c>
      <c r="F152" s="28">
        <v>1290000</v>
      </c>
      <c r="G152" s="38">
        <v>1290000</v>
      </c>
      <c r="H152" s="38"/>
      <c r="I152" s="38"/>
    </row>
    <row r="153" spans="1:10" s="24" customFormat="1" ht="54">
      <c r="A153" s="45">
        <v>1517370</v>
      </c>
      <c r="B153" s="33" t="s">
        <v>115</v>
      </c>
      <c r="C153" s="33" t="s">
        <v>116</v>
      </c>
      <c r="D153" s="27" t="s">
        <v>117</v>
      </c>
      <c r="E153" s="17" t="s">
        <v>10</v>
      </c>
      <c r="F153" s="61">
        <f>SUM(F154:F156)</f>
        <v>27740698</v>
      </c>
      <c r="G153" s="38">
        <f>SUM(G154:G156)</f>
        <v>25740698</v>
      </c>
      <c r="H153" s="38">
        <f t="shared" ref="H153:I153" si="12">SUM(H154:H156)</f>
        <v>0</v>
      </c>
      <c r="I153" s="38">
        <f t="shared" si="12"/>
        <v>2000000</v>
      </c>
      <c r="J153" s="70"/>
    </row>
    <row r="154" spans="1:10" s="24" customFormat="1" ht="36">
      <c r="A154" s="20"/>
      <c r="B154" s="20"/>
      <c r="C154" s="33"/>
      <c r="D154" s="54"/>
      <c r="E154" s="64" t="s">
        <v>191</v>
      </c>
      <c r="F154" s="61">
        <f>7664771+2000000+17920251</f>
        <v>27585022</v>
      </c>
      <c r="G154" s="38">
        <f>7664771+17920251</f>
        <v>25585022</v>
      </c>
      <c r="H154" s="38"/>
      <c r="I154" s="38">
        <v>2000000</v>
      </c>
      <c r="J154" s="70"/>
    </row>
    <row r="155" spans="1:10" s="24" customFormat="1" ht="36">
      <c r="A155" s="20"/>
      <c r="B155" s="20"/>
      <c r="C155" s="33"/>
      <c r="D155" s="54"/>
      <c r="E155" s="64" t="s">
        <v>118</v>
      </c>
      <c r="F155" s="61">
        <v>37107</v>
      </c>
      <c r="G155" s="38">
        <v>37107</v>
      </c>
      <c r="H155" s="38"/>
      <c r="I155" s="38"/>
    </row>
    <row r="156" spans="1:10" s="24" customFormat="1" ht="54">
      <c r="A156" s="20"/>
      <c r="B156" s="20"/>
      <c r="C156" s="33"/>
      <c r="D156" s="54"/>
      <c r="E156" s="47" t="s">
        <v>119</v>
      </c>
      <c r="F156" s="61">
        <v>118569</v>
      </c>
      <c r="G156" s="38">
        <v>118569</v>
      </c>
      <c r="H156" s="38"/>
      <c r="I156" s="38"/>
    </row>
    <row r="157" spans="1:10" s="24" customFormat="1" ht="108">
      <c r="A157" s="20" t="s">
        <v>311</v>
      </c>
      <c r="B157" s="20" t="s">
        <v>275</v>
      </c>
      <c r="C157" s="33" t="s">
        <v>116</v>
      </c>
      <c r="D157" s="27" t="s">
        <v>274</v>
      </c>
      <c r="E157" s="66" t="s">
        <v>10</v>
      </c>
      <c r="F157" s="61">
        <f>F158</f>
        <v>550000</v>
      </c>
      <c r="G157" s="38"/>
      <c r="H157" s="38"/>
      <c r="I157" s="38"/>
    </row>
    <row r="158" spans="1:10" s="24" customFormat="1" ht="144">
      <c r="A158" s="20"/>
      <c r="B158" s="20"/>
      <c r="C158" s="33"/>
      <c r="D158" s="54"/>
      <c r="E158" s="80" t="s">
        <v>312</v>
      </c>
      <c r="F158" s="61">
        <v>550000</v>
      </c>
      <c r="G158" s="38"/>
      <c r="H158" s="38"/>
      <c r="I158" s="38"/>
    </row>
    <row r="159" spans="1:10" s="24" customFormat="1">
      <c r="A159" s="20" t="s">
        <v>120</v>
      </c>
      <c r="B159" s="20" t="s">
        <v>121</v>
      </c>
      <c r="C159" s="33" t="s">
        <v>122</v>
      </c>
      <c r="D159" s="27" t="s">
        <v>123</v>
      </c>
      <c r="E159" s="17" t="s">
        <v>10</v>
      </c>
      <c r="F159" s="61">
        <f>SUM(F160:F165)</f>
        <v>7720091</v>
      </c>
      <c r="G159" s="38">
        <f>SUM(G160:G165)</f>
        <v>7720091</v>
      </c>
      <c r="H159" s="38"/>
      <c r="I159" s="38"/>
    </row>
    <row r="160" spans="1:10" s="24" customFormat="1" ht="36">
      <c r="A160" s="20"/>
      <c r="B160" s="20"/>
      <c r="C160" s="33"/>
      <c r="D160" s="54"/>
      <c r="E160" s="27" t="s">
        <v>126</v>
      </c>
      <c r="F160" s="61">
        <v>15339</v>
      </c>
      <c r="G160" s="38">
        <v>15339</v>
      </c>
      <c r="H160" s="38"/>
      <c r="I160" s="38"/>
    </row>
    <row r="161" spans="1:13" s="24" customFormat="1" ht="36">
      <c r="A161" s="20"/>
      <c r="B161" s="20"/>
      <c r="C161" s="33"/>
      <c r="D161" s="54"/>
      <c r="E161" s="27" t="s">
        <v>127</v>
      </c>
      <c r="F161" s="61">
        <v>73574</v>
      </c>
      <c r="G161" s="38">
        <v>73574</v>
      </c>
      <c r="H161" s="38"/>
      <c r="I161" s="38"/>
    </row>
    <row r="162" spans="1:13" s="24" customFormat="1" ht="36">
      <c r="A162" s="20"/>
      <c r="B162" s="20"/>
      <c r="C162" s="33"/>
      <c r="D162" s="54"/>
      <c r="E162" s="27" t="s">
        <v>128</v>
      </c>
      <c r="F162" s="61">
        <v>14952</v>
      </c>
      <c r="G162" s="38">
        <v>14952</v>
      </c>
      <c r="H162" s="38"/>
      <c r="I162" s="38"/>
    </row>
    <row r="163" spans="1:13" s="24" customFormat="1" ht="36">
      <c r="A163" s="20"/>
      <c r="B163" s="20"/>
      <c r="C163" s="33"/>
      <c r="D163" s="54"/>
      <c r="E163" s="27" t="s">
        <v>129</v>
      </c>
      <c r="F163" s="61">
        <v>17357</v>
      </c>
      <c r="G163" s="38">
        <v>17357</v>
      </c>
      <c r="H163" s="38"/>
      <c r="I163" s="38"/>
    </row>
    <row r="164" spans="1:13" s="24" customFormat="1" ht="90">
      <c r="A164" s="20"/>
      <c r="B164" s="20"/>
      <c r="C164" s="33"/>
      <c r="D164" s="54"/>
      <c r="E164" s="64" t="s">
        <v>124</v>
      </c>
      <c r="F164" s="61">
        <v>4787741</v>
      </c>
      <c r="G164" s="38">
        <v>4787741</v>
      </c>
      <c r="H164" s="38"/>
      <c r="I164" s="38"/>
    </row>
    <row r="165" spans="1:13" s="24" customFormat="1" ht="72">
      <c r="A165" s="20"/>
      <c r="B165" s="20"/>
      <c r="C165" s="33"/>
      <c r="D165" s="54"/>
      <c r="E165" s="64" t="s">
        <v>125</v>
      </c>
      <c r="F165" s="61">
        <v>2811128</v>
      </c>
      <c r="G165" s="38">
        <v>2811128</v>
      </c>
      <c r="H165" s="38"/>
      <c r="I165" s="38"/>
    </row>
    <row r="166" spans="1:13" s="24" customFormat="1" ht="54">
      <c r="A166" s="20" t="s">
        <v>130</v>
      </c>
      <c r="B166" s="20" t="s">
        <v>63</v>
      </c>
      <c r="C166" s="33" t="s">
        <v>65</v>
      </c>
      <c r="D166" s="27" t="s">
        <v>64</v>
      </c>
      <c r="E166" s="17" t="s">
        <v>10</v>
      </c>
      <c r="F166" s="61">
        <f>SUM(F167:F169)</f>
        <v>12244778</v>
      </c>
      <c r="G166" s="38">
        <f t="shared" ref="G166:I166" si="13">SUM(G167:G169)</f>
        <v>11881878</v>
      </c>
      <c r="H166" s="38">
        <f t="shared" si="13"/>
        <v>362900</v>
      </c>
      <c r="I166" s="38">
        <f t="shared" si="13"/>
        <v>0</v>
      </c>
    </row>
    <row r="167" spans="1:13" s="24" customFormat="1" ht="108">
      <c r="A167" s="20"/>
      <c r="B167" s="20"/>
      <c r="C167" s="33"/>
      <c r="D167" s="54"/>
      <c r="E167" s="64" t="s">
        <v>131</v>
      </c>
      <c r="F167" s="28">
        <f>3707457-49000-40000</f>
        <v>3618457</v>
      </c>
      <c r="G167" s="38">
        <f>3707457-49000-40000</f>
        <v>3618457</v>
      </c>
      <c r="H167" s="38"/>
      <c r="I167" s="38"/>
    </row>
    <row r="168" spans="1:13" s="24" customFormat="1" ht="90">
      <c r="A168" s="20"/>
      <c r="B168" s="20"/>
      <c r="C168" s="33"/>
      <c r="D168" s="27"/>
      <c r="E168" s="64" t="s">
        <v>132</v>
      </c>
      <c r="F168" s="61">
        <v>1520477</v>
      </c>
      <c r="G168" s="38">
        <v>1520477</v>
      </c>
      <c r="H168" s="38"/>
      <c r="I168" s="38"/>
    </row>
    <row r="169" spans="1:13" s="24" customFormat="1" ht="90">
      <c r="A169" s="20"/>
      <c r="B169" s="20"/>
      <c r="C169" s="33"/>
      <c r="D169" s="27"/>
      <c r="E169" s="27" t="s">
        <v>133</v>
      </c>
      <c r="F169" s="61">
        <v>7105844</v>
      </c>
      <c r="G169" s="38">
        <f>2384785+4358159</f>
        <v>6742944</v>
      </c>
      <c r="H169" s="38">
        <v>362900</v>
      </c>
      <c r="I169" s="38"/>
    </row>
    <row r="170" spans="1:13" s="24" customFormat="1">
      <c r="A170" s="44" t="s">
        <v>293</v>
      </c>
      <c r="B170" s="20" t="s">
        <v>28</v>
      </c>
      <c r="C170" s="20" t="s">
        <v>28</v>
      </c>
      <c r="D170" s="105" t="s">
        <v>295</v>
      </c>
      <c r="E170" s="106"/>
      <c r="F170" s="22">
        <f>F171</f>
        <v>28500</v>
      </c>
      <c r="G170" s="37">
        <f>G171</f>
        <v>28500</v>
      </c>
      <c r="H170" s="39"/>
      <c r="I170" s="39"/>
    </row>
    <row r="171" spans="1:13" s="24" customFormat="1" ht="18" customHeight="1">
      <c r="A171" s="44" t="s">
        <v>294</v>
      </c>
      <c r="B171" s="20" t="s">
        <v>28</v>
      </c>
      <c r="C171" s="20" t="s">
        <v>28</v>
      </c>
      <c r="D171" s="105" t="s">
        <v>295</v>
      </c>
      <c r="E171" s="106"/>
      <c r="F171" s="22">
        <f>F172</f>
        <v>28500</v>
      </c>
      <c r="G171" s="22">
        <f>G172</f>
        <v>28500</v>
      </c>
      <c r="H171" s="39"/>
      <c r="I171" s="39"/>
      <c r="J171" s="5"/>
      <c r="K171" s="5"/>
      <c r="L171" s="5"/>
      <c r="M171" s="5"/>
    </row>
    <row r="172" spans="1:13" s="24" customFormat="1" ht="31.2">
      <c r="A172" s="20" t="s">
        <v>296</v>
      </c>
      <c r="B172" s="20" t="s">
        <v>297</v>
      </c>
      <c r="C172" s="84" t="s">
        <v>116</v>
      </c>
      <c r="D172" s="85" t="s">
        <v>298</v>
      </c>
      <c r="E172" s="91" t="s">
        <v>90</v>
      </c>
      <c r="F172" s="61">
        <v>28500</v>
      </c>
      <c r="G172" s="38">
        <v>28500</v>
      </c>
      <c r="H172" s="38"/>
      <c r="I172" s="38"/>
    </row>
    <row r="173" spans="1:13" s="24" customFormat="1">
      <c r="A173" s="44" t="s">
        <v>27</v>
      </c>
      <c r="B173" s="20" t="s">
        <v>28</v>
      </c>
      <c r="C173" s="20" t="s">
        <v>28</v>
      </c>
      <c r="D173" s="105" t="s">
        <v>29</v>
      </c>
      <c r="E173" s="106"/>
      <c r="F173" s="22">
        <f>F174</f>
        <v>65747223</v>
      </c>
      <c r="G173" s="37">
        <f>G174</f>
        <v>65645767</v>
      </c>
      <c r="H173" s="39"/>
      <c r="I173" s="39"/>
    </row>
    <row r="174" spans="1:13" s="24" customFormat="1">
      <c r="A174" s="44" t="s">
        <v>30</v>
      </c>
      <c r="B174" s="20" t="s">
        <v>28</v>
      </c>
      <c r="C174" s="20" t="s">
        <v>28</v>
      </c>
      <c r="D174" s="105" t="s">
        <v>29</v>
      </c>
      <c r="E174" s="106"/>
      <c r="F174" s="22">
        <f>F175+F177</f>
        <v>65747223</v>
      </c>
      <c r="G174" s="37">
        <f>G175+G177</f>
        <v>65645767</v>
      </c>
      <c r="H174" s="39"/>
      <c r="I174" s="39"/>
      <c r="J174" s="5"/>
      <c r="K174" s="5"/>
      <c r="L174" s="5"/>
      <c r="M174" s="5"/>
    </row>
    <row r="175" spans="1:13" ht="36">
      <c r="A175" s="20" t="s">
        <v>154</v>
      </c>
      <c r="B175" s="45" t="s">
        <v>155</v>
      </c>
      <c r="C175" s="67" t="s">
        <v>33</v>
      </c>
      <c r="D175" s="47" t="s">
        <v>156</v>
      </c>
      <c r="E175" s="47" t="s">
        <v>35</v>
      </c>
      <c r="F175" s="28">
        <f>F176</f>
        <v>1800000</v>
      </c>
      <c r="G175" s="38">
        <f>G176</f>
        <v>1800000</v>
      </c>
      <c r="H175" s="38"/>
      <c r="I175" s="38"/>
      <c r="J175" s="24"/>
      <c r="K175" s="24"/>
      <c r="L175" s="24"/>
      <c r="M175" s="24"/>
    </row>
    <row r="176" spans="1:13" s="24" customFormat="1" ht="72">
      <c r="A176" s="26"/>
      <c r="B176" s="31"/>
      <c r="C176" s="71"/>
      <c r="D176" s="72"/>
      <c r="E176" s="48" t="s">
        <v>134</v>
      </c>
      <c r="F176" s="29">
        <v>1800000</v>
      </c>
      <c r="G176" s="39">
        <v>1800000</v>
      </c>
      <c r="H176" s="39"/>
      <c r="I176" s="39"/>
    </row>
    <row r="177" spans="1:13" s="24" customFormat="1" ht="72">
      <c r="A177" s="20" t="s">
        <v>31</v>
      </c>
      <c r="B177" s="45" t="s">
        <v>32</v>
      </c>
      <c r="C177" s="46" t="s">
        <v>33</v>
      </c>
      <c r="D177" s="47" t="s">
        <v>34</v>
      </c>
      <c r="E177" s="47" t="s">
        <v>35</v>
      </c>
      <c r="F177" s="28">
        <f>F179+F180+F181+F182+F183</f>
        <v>63947223</v>
      </c>
      <c r="G177" s="28">
        <f>G179+G180+G181+G182+G183</f>
        <v>63845767</v>
      </c>
      <c r="H177" s="39"/>
      <c r="I177" s="39"/>
    </row>
    <row r="178" spans="1:13" s="24" customFormat="1">
      <c r="A178" s="20"/>
      <c r="B178" s="45"/>
      <c r="C178" s="46"/>
      <c r="D178" s="47"/>
      <c r="E178" s="47" t="s">
        <v>36</v>
      </c>
      <c r="F178" s="29"/>
      <c r="G178" s="39"/>
      <c r="H178" s="39"/>
      <c r="I178" s="39"/>
    </row>
    <row r="179" spans="1:13" s="24" customFormat="1" ht="108">
      <c r="A179" s="26"/>
      <c r="B179" s="26"/>
      <c r="C179" s="31"/>
      <c r="D179" s="30"/>
      <c r="E179" s="48" t="s">
        <v>37</v>
      </c>
      <c r="F179" s="29">
        <f>1300000+6800000+1902000+4750000+1943963+2204400+5202404+4100000+6000000+10044456</f>
        <v>44247223</v>
      </c>
      <c r="G179" s="39">
        <f>1300000+6800000+1902000+4750000+1943963+2204400+5202404+4100000+6000000+9943000</f>
        <v>44145767</v>
      </c>
      <c r="H179" s="39"/>
      <c r="I179" s="39"/>
    </row>
    <row r="180" spans="1:13" s="24" customFormat="1" ht="72">
      <c r="A180" s="26"/>
      <c r="B180" s="26"/>
      <c r="C180" s="31"/>
      <c r="D180" s="30"/>
      <c r="E180" s="48" t="s">
        <v>134</v>
      </c>
      <c r="F180" s="29">
        <f>5000000+3200000+8000000</f>
        <v>16200000</v>
      </c>
      <c r="G180" s="39">
        <f>5000000+3200000+8000000</f>
        <v>16200000</v>
      </c>
      <c r="H180" s="39"/>
      <c r="I180" s="39"/>
    </row>
    <row r="181" spans="1:13" s="24" customFormat="1" ht="54">
      <c r="A181" s="26"/>
      <c r="B181" s="26"/>
      <c r="C181" s="31"/>
      <c r="D181" s="30"/>
      <c r="E181" s="48" t="s">
        <v>135</v>
      </c>
      <c r="F181" s="29">
        <v>1550000</v>
      </c>
      <c r="G181" s="39">
        <v>1550000</v>
      </c>
      <c r="H181" s="39"/>
      <c r="I181" s="39"/>
    </row>
    <row r="182" spans="1:13" s="24" customFormat="1" ht="54">
      <c r="A182" s="26"/>
      <c r="B182" s="26"/>
      <c r="C182" s="31"/>
      <c r="D182" s="30"/>
      <c r="E182" s="48" t="s">
        <v>147</v>
      </c>
      <c r="F182" s="29">
        <v>950000</v>
      </c>
      <c r="G182" s="39">
        <v>950000</v>
      </c>
      <c r="H182" s="39"/>
      <c r="I182" s="39"/>
      <c r="J182" s="5"/>
      <c r="K182" s="5"/>
      <c r="L182" s="5"/>
      <c r="M182" s="5"/>
    </row>
    <row r="183" spans="1:13" s="24" customFormat="1" ht="36">
      <c r="A183" s="26"/>
      <c r="B183" s="26"/>
      <c r="C183" s="31"/>
      <c r="D183" s="30"/>
      <c r="E183" s="48" t="s">
        <v>304</v>
      </c>
      <c r="F183" s="29">
        <v>1000000</v>
      </c>
      <c r="G183" s="39">
        <v>1000000</v>
      </c>
      <c r="H183" s="39"/>
      <c r="I183" s="39"/>
      <c r="J183" s="5"/>
      <c r="K183" s="5"/>
      <c r="L183" s="5"/>
      <c r="M183" s="5"/>
    </row>
    <row r="184" spans="1:13" ht="21.6" customHeight="1">
      <c r="A184" s="25"/>
      <c r="B184" s="18"/>
      <c r="C184" s="18"/>
      <c r="D184" s="2"/>
      <c r="E184" s="13" t="s">
        <v>0</v>
      </c>
      <c r="F184" s="32">
        <f>F15+F37+F62+F67+F70+F73+F123+F170+F173</f>
        <v>223998850.12</v>
      </c>
      <c r="G184" s="32" t="e">
        <f>G15+G37+G62+G67+G70+G73+G123+G170+G173</f>
        <v>#REF!</v>
      </c>
      <c r="H184" s="32" t="e">
        <f>H15+H37+H62+H67+H70+H73+H123+H170+H173</f>
        <v>#REF!</v>
      </c>
      <c r="I184" s="32" t="e">
        <f>I15+I37+I62+I67+I70+I73+I123+I170+I173</f>
        <v>#REF!</v>
      </c>
      <c r="J184" s="21"/>
      <c r="K184" s="21"/>
      <c r="L184" s="21"/>
      <c r="M184" s="21"/>
    </row>
    <row r="185" spans="1:13" s="21" customFormat="1">
      <c r="A185" s="5"/>
      <c r="B185" s="4"/>
      <c r="C185" s="4"/>
      <c r="D185" s="5"/>
      <c r="E185" s="14"/>
      <c r="F185" s="15"/>
      <c r="G185" s="40"/>
      <c r="H185" s="40"/>
      <c r="I185" s="40"/>
      <c r="J185" s="5"/>
      <c r="K185" s="5"/>
      <c r="L185" s="5"/>
      <c r="M185" s="5"/>
    </row>
    <row r="186" spans="1:13">
      <c r="A186" s="23"/>
      <c r="B186" s="21" t="s">
        <v>20</v>
      </c>
      <c r="C186" s="21"/>
      <c r="D186" s="21"/>
      <c r="E186" s="21"/>
      <c r="F186" s="21"/>
    </row>
    <row r="187" spans="1:13">
      <c r="F187" s="1"/>
      <c r="G187" s="41"/>
      <c r="H187" s="41"/>
      <c r="I187" s="41"/>
    </row>
    <row r="188" spans="1:13">
      <c r="E188" s="73"/>
      <c r="F188" s="65"/>
      <c r="G188" s="41"/>
      <c r="H188" s="41"/>
      <c r="I188" s="41"/>
    </row>
    <row r="189" spans="1:13">
      <c r="E189" s="73"/>
      <c r="F189" s="1"/>
      <c r="G189" s="41"/>
      <c r="H189" s="41"/>
      <c r="I189" s="41"/>
    </row>
    <row r="191" spans="1:13">
      <c r="F191" s="1"/>
      <c r="G191" s="41"/>
      <c r="I191" s="41"/>
    </row>
    <row r="192" spans="1:13">
      <c r="F192" s="1"/>
      <c r="G192" s="41"/>
      <c r="I192" s="41"/>
    </row>
  </sheetData>
  <mergeCells count="30">
    <mergeCell ref="D74:E74"/>
    <mergeCell ref="D123:E123"/>
    <mergeCell ref="D124:E124"/>
    <mergeCell ref="D173:E173"/>
    <mergeCell ref="D174:E174"/>
    <mergeCell ref="D170:E170"/>
    <mergeCell ref="D171:E171"/>
    <mergeCell ref="A8:B8"/>
    <mergeCell ref="A9:B9"/>
    <mergeCell ref="A10:I10"/>
    <mergeCell ref="A12:A13"/>
    <mergeCell ref="B12:B13"/>
    <mergeCell ref="C12:C13"/>
    <mergeCell ref="D12:D13"/>
    <mergeCell ref="E12:E13"/>
    <mergeCell ref="F12:F13"/>
    <mergeCell ref="G12:I12"/>
    <mergeCell ref="D37:E37"/>
    <mergeCell ref="D38:E38"/>
    <mergeCell ref="D73:E73"/>
    <mergeCell ref="D15:E15"/>
    <mergeCell ref="D16:E16"/>
    <mergeCell ref="D62:E62"/>
    <mergeCell ref="D63:E63"/>
    <mergeCell ref="D65:E65"/>
    <mergeCell ref="D66:E66"/>
    <mergeCell ref="D70:E70"/>
    <mergeCell ref="D71:E71"/>
    <mergeCell ref="D67:E67"/>
    <mergeCell ref="D68:E68"/>
  </mergeCells>
  <pageMargins left="0.19685039370078741" right="0.19685039370078741" top="0.59055118110236227" bottom="0.59055118110236227" header="0" footer="0"/>
  <pageSetup paperSize="9" scale="56"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220FU11</cp:lastModifiedBy>
  <cp:lastPrinted>2024-09-23T06:54:54Z</cp:lastPrinted>
  <dcterms:created xsi:type="dcterms:W3CDTF">2005-08-15T04:40:30Z</dcterms:created>
  <dcterms:modified xsi:type="dcterms:W3CDTF">2024-10-28T18:06:31Z</dcterms:modified>
</cp:coreProperties>
</file>