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SHARE\0-Старые данные\SHARE\Бюджет 2024\ВИКОНАННЯ\9 місяців\"/>
    </mc:Choice>
  </mc:AlternateContent>
  <bookViews>
    <workbookView xWindow="120" yWindow="60" windowWidth="19320" windowHeight="10128"/>
  </bookViews>
  <sheets>
    <sheet name="БР" sheetId="1" r:id="rId1"/>
  </sheets>
  <externalReferences>
    <externalReference r:id="rId2"/>
    <externalReference r:id="rId3"/>
  </externalReferences>
  <definedNames>
    <definedName name="Z_02AC496F_F7D9_465B_9A66_D319977CD4A2_.wvu.PrintArea" localSheetId="0" hidden="1">БР!$A$1:$H$8</definedName>
    <definedName name="Z_02AC496F_F7D9_465B_9A66_D319977CD4A2_.wvu.PrintTitles" localSheetId="0" hidden="1">БР!$7:$8</definedName>
    <definedName name="Z_6174BFC3_8EFC_491A_B8A3_28DB8186A904_.wvu.PrintArea" localSheetId="0" hidden="1">БР!$A$1:$H$8</definedName>
    <definedName name="Z_6174BFC3_8EFC_491A_B8A3_28DB8186A904_.wvu.PrintTitles" localSheetId="0" hidden="1">БР!$7:$8</definedName>
    <definedName name="Z_71B4C162_96A9_4CA7_B3F0_0C57B820C4BA_.wvu.PrintArea" localSheetId="0" hidden="1">БР!$A$1:$H$8</definedName>
    <definedName name="Z_71B4C162_96A9_4CA7_B3F0_0C57B820C4BA_.wvu.PrintTitles" localSheetId="0" hidden="1">БР!$7:$8</definedName>
    <definedName name="Z_9D5EF3DD_3431_45D7_BCA1_2268CCD9FD10_.wvu.PrintArea" localSheetId="0" hidden="1">БР!$A$1:$H$8</definedName>
    <definedName name="Z_9D5EF3DD_3431_45D7_BCA1_2268CCD9FD10_.wvu.PrintTitles" localSheetId="0" hidden="1">БР!$7:$8</definedName>
    <definedName name="_xlnm.Print_Titles" localSheetId="0">БР!$7:$8</definedName>
    <definedName name="_xlnm.Print_Area" localSheetId="0">БР!$A$1:$H$132</definedName>
  </definedNames>
  <calcPr calcId="152511"/>
  <customWorkbookViews>
    <customWorkbookView name="220FU6 - Личное представление" guid="{6174BFC3-8EFC-491A-B8A3-28DB8186A904}" mergeInterval="0" personalView="1" maximized="1" xWindow="-8" yWindow="-8" windowWidth="1616" windowHeight="876" activeSheetId="1"/>
    <customWorkbookView name="220FU5 - Личное представление" guid="{71B4C162-96A9-4CA7-B3F0-0C57B820C4BA}" mergeInterval="0" personalView="1" maximized="1" xWindow="-8" yWindow="-8" windowWidth="1936" windowHeight="1056" activeSheetId="1"/>
    <customWorkbookView name="220FU3 - Личное представление" guid="{9D5EF3DD-3431-45D7-BCA1-2268CCD9FD10}" mergeInterval="0" personalView="1" maximized="1" xWindow="-8" yWindow="-8" windowWidth="1382" windowHeight="744" activeSheetId="1"/>
    <customWorkbookView name="220FU1 - Личное представление" guid="{02AC496F-F7D9-465B-9A66-D319977CD4A2}" mergeInterval="0" personalView="1" maximized="1" xWindow="-8" yWindow="-8" windowWidth="1936" windowHeight="1056" activeSheetId="1"/>
  </customWorkbookViews>
</workbook>
</file>

<file path=xl/calcChain.xml><?xml version="1.0" encoding="utf-8"?>
<calcChain xmlns="http://schemas.openxmlformats.org/spreadsheetml/2006/main">
  <c r="G55" i="1" l="1"/>
  <c r="G137" i="1" l="1"/>
  <c r="F137" i="1"/>
  <c r="G134" i="1"/>
  <c r="F134" i="1"/>
  <c r="F135" i="1" s="1"/>
  <c r="F138" i="1" s="1"/>
  <c r="F26" i="1"/>
  <c r="H38" i="1"/>
  <c r="H13" i="1" l="1"/>
  <c r="H14" i="1"/>
  <c r="H15" i="1"/>
  <c r="H16" i="1"/>
  <c r="H17" i="1"/>
  <c r="H18" i="1"/>
  <c r="H19" i="1"/>
  <c r="H20" i="1"/>
  <c r="H21" i="1"/>
  <c r="H22" i="1"/>
  <c r="H23" i="1"/>
  <c r="H24" i="1"/>
  <c r="H28" i="1"/>
  <c r="H29" i="1"/>
  <c r="H30" i="1"/>
  <c r="H31" i="1"/>
  <c r="H32" i="1"/>
  <c r="H34" i="1"/>
  <c r="H35" i="1"/>
  <c r="H36" i="1"/>
  <c r="H37" i="1"/>
  <c r="H39" i="1"/>
  <c r="H40" i="1"/>
  <c r="H42" i="1"/>
  <c r="H43" i="1"/>
  <c r="H44" i="1"/>
  <c r="H45" i="1"/>
  <c r="H48" i="1"/>
  <c r="H49" i="1"/>
  <c r="H52" i="1"/>
  <c r="H55" i="1"/>
  <c r="H56" i="1"/>
  <c r="H57" i="1"/>
  <c r="H58" i="1"/>
  <c r="H59" i="1"/>
  <c r="H60" i="1"/>
  <c r="H61" i="1"/>
  <c r="H62" i="1"/>
  <c r="H63" i="1"/>
  <c r="H64" i="1"/>
  <c r="H65" i="1"/>
  <c r="H66" i="1"/>
  <c r="H69" i="1"/>
  <c r="H70" i="1"/>
  <c r="H72" i="1"/>
  <c r="H74" i="1"/>
  <c r="H75" i="1"/>
  <c r="H76" i="1"/>
  <c r="H77" i="1"/>
  <c r="H78" i="1"/>
  <c r="H81" i="1"/>
  <c r="H82" i="1"/>
  <c r="H84" i="1"/>
  <c r="H85" i="1"/>
  <c r="H86" i="1"/>
  <c r="H87" i="1"/>
  <c r="H88" i="1"/>
  <c r="H89" i="1"/>
  <c r="H90" i="1"/>
  <c r="H91" i="1"/>
  <c r="H92" i="1"/>
  <c r="H93" i="1"/>
  <c r="H94" i="1"/>
  <c r="H95" i="1"/>
  <c r="H97" i="1"/>
  <c r="H99" i="1"/>
  <c r="H100" i="1"/>
  <c r="H101" i="1"/>
  <c r="H102" i="1"/>
  <c r="H103" i="1"/>
  <c r="H104" i="1"/>
  <c r="H105" i="1"/>
  <c r="H106" i="1"/>
  <c r="H108" i="1"/>
  <c r="H109" i="1"/>
  <c r="H110" i="1"/>
  <c r="H111" i="1"/>
  <c r="H112" i="1"/>
  <c r="H113" i="1"/>
  <c r="H115" i="1"/>
  <c r="H116" i="1"/>
  <c r="H117" i="1"/>
  <c r="H121" i="1"/>
  <c r="H122" i="1"/>
  <c r="H125" i="1"/>
  <c r="H126" i="1"/>
  <c r="H127" i="1"/>
  <c r="H128" i="1"/>
  <c r="G12" i="1"/>
  <c r="G11" i="1" s="1"/>
  <c r="G10" i="1" s="1"/>
  <c r="G27" i="1"/>
  <c r="G33" i="1"/>
  <c r="H33" i="1" s="1"/>
  <c r="G41" i="1"/>
  <c r="H41" i="1" s="1"/>
  <c r="G47" i="1"/>
  <c r="G46" i="1" s="1"/>
  <c r="H46" i="1" s="1"/>
  <c r="G54" i="1"/>
  <c r="G53" i="1" s="1"/>
  <c r="H53" i="1" s="1"/>
  <c r="G68" i="1"/>
  <c r="G67" i="1" s="1"/>
  <c r="H67" i="1" s="1"/>
  <c r="G71" i="1"/>
  <c r="H71" i="1" s="1"/>
  <c r="G73" i="1"/>
  <c r="H73" i="1" s="1"/>
  <c r="G83" i="1"/>
  <c r="H83" i="1" s="1"/>
  <c r="G96" i="1"/>
  <c r="H96" i="1" s="1"/>
  <c r="G98" i="1"/>
  <c r="H98" i="1" s="1"/>
  <c r="G103" i="1"/>
  <c r="G107" i="1"/>
  <c r="H107" i="1" s="1"/>
  <c r="G114" i="1"/>
  <c r="H114" i="1" s="1"/>
  <c r="G120" i="1"/>
  <c r="H120" i="1" s="1"/>
  <c r="G123" i="1"/>
  <c r="H123" i="1" s="1"/>
  <c r="F126" i="1"/>
  <c r="F125" i="1"/>
  <c r="F123" i="1"/>
  <c r="F120" i="1"/>
  <c r="F119" i="1" s="1"/>
  <c r="F118" i="1" s="1"/>
  <c r="F115" i="1"/>
  <c r="F114" i="1"/>
  <c r="F107" i="1"/>
  <c r="F104" i="1"/>
  <c r="F103" i="1"/>
  <c r="F98" i="1"/>
  <c r="F96" i="1"/>
  <c r="F95" i="1"/>
  <c r="F94" i="1"/>
  <c r="F92" i="1"/>
  <c r="F91" i="1"/>
  <c r="F90" i="1"/>
  <c r="F89" i="1"/>
  <c r="F83" i="1" s="1"/>
  <c r="F80" i="1" s="1"/>
  <c r="F79" i="1" s="1"/>
  <c r="F88" i="1"/>
  <c r="F87" i="1"/>
  <c r="F85" i="1"/>
  <c r="F84" i="1"/>
  <c r="F81" i="1"/>
  <c r="F73" i="1"/>
  <c r="F71" i="1"/>
  <c r="F69" i="1"/>
  <c r="F68" i="1"/>
  <c r="F67" i="1"/>
  <c r="F59" i="1"/>
  <c r="F58" i="1"/>
  <c r="F57" i="1"/>
  <c r="F54" i="1" s="1"/>
  <c r="F53" i="1" s="1"/>
  <c r="F51" i="1" s="1"/>
  <c r="F50" i="1" s="1"/>
  <c r="F56" i="1"/>
  <c r="F55" i="1"/>
  <c r="F47" i="1"/>
  <c r="F46" i="1"/>
  <c r="F44" i="1"/>
  <c r="F43" i="1"/>
  <c r="F42" i="1"/>
  <c r="F41" i="1"/>
  <c r="F33" i="1"/>
  <c r="F27" i="1"/>
  <c r="F25" i="1"/>
  <c r="F20" i="1"/>
  <c r="F19" i="1"/>
  <c r="F14" i="1"/>
  <c r="F12" i="1"/>
  <c r="F11" i="1"/>
  <c r="F10" i="1"/>
  <c r="H68" i="1" l="1"/>
  <c r="G26" i="1"/>
  <c r="G25" i="1" s="1"/>
  <c r="H25" i="1" s="1"/>
  <c r="H12" i="1"/>
  <c r="G119" i="1"/>
  <c r="H54" i="1"/>
  <c r="H47" i="1"/>
  <c r="H27" i="1"/>
  <c r="G80" i="1"/>
  <c r="G51" i="1"/>
  <c r="F129" i="1"/>
  <c r="G118" i="1" l="1"/>
  <c r="H118" i="1" s="1"/>
  <c r="H119" i="1"/>
  <c r="G79" i="1"/>
  <c r="H79" i="1" s="1"/>
  <c r="H80" i="1"/>
  <c r="G50" i="1"/>
  <c r="H50" i="1" s="1"/>
  <c r="H51" i="1"/>
  <c r="H26" i="1"/>
  <c r="G129" i="1" l="1"/>
  <c r="H129" i="1" l="1"/>
  <c r="G135" i="1"/>
  <c r="G138" i="1" s="1"/>
  <c r="H11" i="1"/>
  <c r="H10" i="1" l="1"/>
</calcChain>
</file>

<file path=xl/sharedStrings.xml><?xml version="1.0" encoding="utf-8"?>
<sst xmlns="http://schemas.openxmlformats.org/spreadsheetml/2006/main" count="285" uniqueCount="225">
  <si>
    <t>% виконання</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</si>
  <si>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</si>
  <si>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</si>
  <si>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</si>
  <si>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</si>
  <si>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0600000</t>
  </si>
  <si>
    <t>0610000</t>
  </si>
  <si>
    <t>3700000</t>
  </si>
  <si>
    <t>3710000</t>
  </si>
  <si>
    <t>0180</t>
  </si>
  <si>
    <t>ВСЬОГО</t>
  </si>
  <si>
    <t>(код бюджету)</t>
  </si>
  <si>
    <t>0200000</t>
  </si>
  <si>
    <t>0210000</t>
  </si>
  <si>
    <t>Капітальні видатки</t>
  </si>
  <si>
    <t>0731</t>
  </si>
  <si>
    <t>Багатопрофільна стаціонарна медична допомога населенню</t>
  </si>
  <si>
    <t>6030</t>
  </si>
  <si>
    <t>0620</t>
  </si>
  <si>
    <t>Організація благоустрою населених пунктів</t>
  </si>
  <si>
    <t>0490</t>
  </si>
  <si>
    <t>0611021</t>
  </si>
  <si>
    <t>1021</t>
  </si>
  <si>
    <t>0921</t>
  </si>
  <si>
    <t>Капітальні видатки разом, в т.ч.:</t>
  </si>
  <si>
    <t>0610</t>
  </si>
  <si>
    <t>1200000</t>
  </si>
  <si>
    <t>1210000</t>
  </si>
  <si>
    <t>Експлуатація та технічне обслуговування житлового фонду</t>
  </si>
  <si>
    <t>Забезпечення діяльності водопровідно-каналізаційного господарства</t>
  </si>
  <si>
    <t>1216015</t>
  </si>
  <si>
    <t>6015</t>
  </si>
  <si>
    <t>Забезпечення надійної та безперебійної експлуатації ліфтів</t>
  </si>
  <si>
    <t>1216030</t>
  </si>
  <si>
    <t>0470</t>
  </si>
  <si>
    <t>Заходи з енергозбереження</t>
  </si>
  <si>
    <t>1500000</t>
  </si>
  <si>
    <t>1510000</t>
  </si>
  <si>
    <t>Реалізація інших заходів щодо соціально-економічного розвитку територій</t>
  </si>
  <si>
    <t>Виконавчий комітет Чорноморської  міської ради  Одеського району Одеської області</t>
  </si>
  <si>
    <t>1518110</t>
  </si>
  <si>
    <t>8110</t>
  </si>
  <si>
    <t>Заходи із запобігання та ліквідації надзвичайних ситуацій та наслідків стихійного лиха</t>
  </si>
  <si>
    <t>Субвенція з місцевого бюджету державному бюджету на виконання програм соціально-економічного розвитку регіонів</t>
  </si>
  <si>
    <t>Начальник фінансового управління</t>
  </si>
  <si>
    <t>Ольга ЯКОВЕНКО</t>
  </si>
  <si>
    <t>0320</t>
  </si>
  <si>
    <t>0212010</t>
  </si>
  <si>
    <t>2010</t>
  </si>
  <si>
    <t/>
  </si>
  <si>
    <t>Надання загальної середньої освіти закладами загальної середньої освіти за рахунок коштів місцевого бюджету</t>
  </si>
  <si>
    <t>6011</t>
  </si>
  <si>
    <t>1516013</t>
  </si>
  <si>
    <t>6013</t>
  </si>
  <si>
    <t>1516015</t>
  </si>
  <si>
    <t>7370</t>
  </si>
  <si>
    <t>1517640</t>
  </si>
  <si>
    <t>7640</t>
  </si>
  <si>
    <t xml:space="preserve">Капітальний ремонт з заміною вікон та заходами з енергозбереження в будівлі поліклініки КНП "Чорноморська лікарня" ЧМР, за адресою: вул. 1 Травня, буд.1, м.Чорноморськ, Одеського району, Одеської області </t>
  </si>
  <si>
    <t>Капітальний ремонт системи пожежної сигналізації, системи керування евакуюванням, системи централізованого пожежного спостерігання  будинку побуту "Райдуга" за адресою: Одеська область, Одеський район, м.Чорноморськ,вул.1-го Травня буд.3</t>
  </si>
  <si>
    <t>Фiнансове управлiння Чорноморської мiської ради Одеського району Одеської областi</t>
  </si>
  <si>
    <t>3719800</t>
  </si>
  <si>
    <t>9800</t>
  </si>
  <si>
    <t>до рішення Чорноморської міської ради</t>
  </si>
  <si>
    <t>0380</t>
  </si>
  <si>
    <t>Капітальний ремонт каналізаційного колектору Ду 800 мм за адресою: Одеська область, Одеський район, м.Чорноморськ, вул.1 Травня (частково) - парк Молодіжний</t>
  </si>
  <si>
    <t>0611010</t>
  </si>
  <si>
    <t>1010</t>
  </si>
  <si>
    <t>0910</t>
  </si>
  <si>
    <t>Надання дошкільної освіти</t>
  </si>
  <si>
    <t>0618110</t>
  </si>
  <si>
    <t>Найменування робіт</t>
  </si>
  <si>
    <t>0218240</t>
  </si>
  <si>
    <t>8240</t>
  </si>
  <si>
    <t>Заходи та роботи з територіальної оборони</t>
  </si>
  <si>
    <t>Придбання затворів (засувок) з демонтажними вставками для заміни на водогонах</t>
  </si>
  <si>
    <t>Капітальний ремонт підвального приміщення будівлі КНП "Чорноморська лікарня" Чорноморської міської ради Одеського району Одеської області, з улаштуванням під найпростіше укриття, за адресою: Одеська область, м.Чорноморськ, вул.Віталія Шума, 4, літ.А</t>
  </si>
  <si>
    <t>Додаток 5</t>
  </si>
  <si>
    <t>Реконструкція частини приміщення акушерського відділення головного корпусу Комунального некомерційного підприємства "Чорноморська лікарня" Чорноморської міської ради Одеського району Одеської області під гінекологічне відділення за адресою: м.Чорноморськ, вул.В.Шума, 4</t>
  </si>
  <si>
    <t>Придбання обладнання для облаштування реабілітаційного відділення КНП "Чорноморська лікарня" Чорноморської міської ради Одеського району Одеської області за адресою: м.Чорноморськ, вул.В.Шума, 4</t>
  </si>
  <si>
    <t>Управління освіти Чорноморської  міської ради  Одеського району Одеської області</t>
  </si>
  <si>
    <t xml:space="preserve">Капітальний ремонт вимощення, водовідведення, вхідних груп закладу дошкільної освіти (ясла - садок) № 1 за адресою: Одеська область, Одеський район, місто Чорноморськ, вулиця 1 Травня, 4-Б </t>
  </si>
  <si>
    <t>Капітальний ремонт покрівлі з встановленням геліосистеми в закладі дошкільної освіти (ясла - садок) № 1 за адресою: Одеська область, Одеський район, місто Чорноморськ, вулиця 1 Травня, 4-Б</t>
  </si>
  <si>
    <t>Проектно-кошторисна документація з встановлення сонячних колекторів на даху закладу дошкільної освіти (ясла - садок) № 1 за адресою: Одеська область, Одеський район, місто Чорноморськ, вулиця 1 Травня, 4-Б</t>
  </si>
  <si>
    <t>Капітальний ремонт покрівлі та вимощення закладу дошкільної освіти (ясла-садок) № 12 за адресою: Одеська область, Одеський район, місто Чорноморськ, вулиця 1 Травня, 11-А</t>
  </si>
  <si>
    <t xml:space="preserve">Капітальний ремонт системи опалення та покрівлі Чорноморського ліцею № 2 за адресою: місто Чорноморськ, проспект Миру, 17А </t>
  </si>
  <si>
    <t xml:space="preserve">Капітальний ремонт системи опалення та покрівлі Чорноморського ліцею № 3 за адресою: місто Чорноморськ, вулиця Паркова, 10-А </t>
  </si>
  <si>
    <t>Капітальний ремонт покрівлі та харчоблоку Малодолинської ЗЗСО за адресою: Одеська область, місто Чорноморськ, селище  Малодолинське, вулиця Зелена, 2</t>
  </si>
  <si>
    <t>Відділ комунального господарства та благоустрою Чорноморської  міської ради  Одеського району Одеської області</t>
  </si>
  <si>
    <t>1216011</t>
  </si>
  <si>
    <t>Міська програма сприяння діяльності об'єднань співвласників багатоквартирних будинків, житлово-будівельних кооперативів в багатоквартирних будинках на території Чорноморської міської ради Одеської області (проєкт), всього - в т ч:</t>
  </si>
  <si>
    <t>Капітальний ремонт покрівлі житлового будинку за адресою: Одеська область, Одеський район, м.Чорноморськ, вул.1 Травня, 10-Б (ОСББ "Будинки АББО")</t>
  </si>
  <si>
    <t>Капітальний ремонт покрівлі над 3 та 4 під'їздами житлового будинку за адресою: Одеська область, Одеський район, м.Чорноморськ, вул.Шевченка, 9-А (ОСББ "Номер шість")</t>
  </si>
  <si>
    <t>Капітальний ремонт (заміна) ліфту у 3му під'їзді житлового будинку за адресою: Одеська область, Одеський район, м. Чорноморськ, пр. Миру, 30 (ОСББ "Мирний 30")</t>
  </si>
  <si>
    <t>Реконструкція скверу за адресою: Одеська область, м.Чорноморськ, проспект Миру, 14. Коригування</t>
  </si>
  <si>
    <t>Управління капітального будівництва Чорноморської  міської ради  Одеського району Одеської області</t>
  </si>
  <si>
    <t>1512010</t>
  </si>
  <si>
    <t>Капітальний ремонт системи  протипожежного захисту: системи пожежної сигналізації, системи оповіщення та управління евакуацією людей на об'єкті Комунального некомерційного підприємства "Чорноморська лікарня" Чорноморської міської ради  Одеського району Одеської області за адресою: м.Чорноморськ, вул.В.Шума, 4. Коригування</t>
  </si>
  <si>
    <t>Експертне обстеження, капітальний ремонт, заміна ліфтів (Міська програма модернізації ліфтового господарства Чорноморської міської ради Одеської області на 2019 - 2025 роки)</t>
  </si>
  <si>
    <t>6050</t>
  </si>
  <si>
    <t>Попередження аварій та запобігання техногенним катастрофам у житлово-комунальному господарстві та на інших аварійних об'єктах комунальної власності</t>
  </si>
  <si>
    <t>Будівництво паркової зони біля головної КНС в м.Чорноморськ. Проектні роботи.</t>
  </si>
  <si>
    <t>Будівництво автобусної зупинки біля Малодолинської ЗОШ по вул.Зелена, 2 в с.Малодолинське, м.Чорноморськ, Одеського району Одеської області. Коригування</t>
  </si>
  <si>
    <t xml:space="preserve">Капітальний ремонт з заміною вікон та заходами з енергозбереження в будівлі КНП "Чорноморська лікарня" ЧМР, за адресою: вул. Віталія Шума, буд.4, м.Чорноморськ, Одеського району, Одеської області </t>
  </si>
  <si>
    <t xml:space="preserve">Капітальний ремонт системи протипожежного захисту будівлі поліклініки № 1 з вбудованою захисною спорудою цивільного захисту (цивільної оборони) сховище обліковий № 57620. розташованої за адресою: вул.1 Травня, буд.1 м.Чорноморськ, Одеської області (інв.номер № 101310011) </t>
  </si>
  <si>
    <t>Капітальні видатки, разом -</t>
  </si>
  <si>
    <t>в т.ч. за програмами</t>
  </si>
  <si>
    <t xml:space="preserve">Міська цільова програма підтримки Сил територіальної оборони Збройних Сил України, військових частин Збройних Сил України та посилення  заходів громадської безпеки в умовах воєнного стану на території Чорноморської міської  ради Одеського району Одеської області на 2024 рік </t>
  </si>
  <si>
    <t>Міська цільова програма зміцнення законності, безпеки та порядку на території Чорноморської міської територіальної громади "Безпечне місто Чорноморськ" на 2023-2024 роки</t>
  </si>
  <si>
    <t>Міська цільова програма протидії злочинності на території Чорноморської міської територіальної громади на 2024 рік</t>
  </si>
  <si>
    <r>
      <t xml:space="preserve">Міська цільова програма підтримки Сил територіальної оборони Збройних Сил України, військових частин Збройних Сил України та посилення  заходів громадської безпеки в умовах воєнного стану на території Чорноморської міської  ради Одеського району Одеської області на 2024 рік / </t>
    </r>
    <r>
      <rPr>
        <i/>
        <sz val="12"/>
        <rFont val="Times New Roman"/>
        <family val="1"/>
        <charset val="204"/>
      </rPr>
      <t>Капітальні видатки</t>
    </r>
  </si>
  <si>
    <r>
      <t xml:space="preserve">Капітальний ремонт інженерних мереж холодного водопостачання з улаштуванням приладів колективного обліку та водовідведення, електропостачання з улаштуванням приладів індивідуального обліку, автоматичної системи пожежної сигналізації, капітальний ремонт ліфтів, гідроізоляція душових </t>
    </r>
    <r>
      <rPr>
        <sz val="12"/>
        <color indexed="8"/>
        <rFont val="Times New Roman"/>
        <family val="1"/>
        <charset val="204"/>
      </rPr>
      <t>в гуртожитку за адресою: Одеська область, Одеський район, м.Чорноморськ, вул.Олександрійська, 16 (розробка проектно-кошторисної документації стадії "РП" (Робочий проект))</t>
    </r>
  </si>
  <si>
    <r>
      <t xml:space="preserve">Капітальний ремонт інженерних мереж холодного водопостачання з улаштуванням приладів колективного обліку та водовідведення, електропостачання з улаштуванням приладів індивідуального обліку, автоматичної системи пожежної сигналізації, капітальний ремонт фасаду, гідроізоляція душових </t>
    </r>
    <r>
      <rPr>
        <sz val="12"/>
        <color indexed="8"/>
        <rFont val="Times New Roman"/>
        <family val="1"/>
        <charset val="204"/>
      </rPr>
      <t>в гуртожитку за адресою: Одеська область, Одеський район, м.Чорноморськ, провул.Шкільний, 4-А (розробка проектно-кошторисної документації стадії "РП" (Робочий проект))</t>
    </r>
  </si>
  <si>
    <r>
      <t xml:space="preserve">Капітальний ремонт системи протипожежної безпеки багатоквартирного будинку підвищеної поверховості за адресою: м.Чорноморськ, </t>
    </r>
    <r>
      <rPr>
        <sz val="12"/>
        <color indexed="8"/>
        <rFont val="Times New Roman"/>
        <family val="1"/>
        <charset val="204"/>
      </rPr>
      <t>вул.Данченка, 3-Б (розробка пректно-кошторисної документації, експертиза)</t>
    </r>
  </si>
  <si>
    <r>
      <t xml:space="preserve">Реконструкція системи центрального опалення в багатоквартирному будинку за адресою: м. Чорноморськ, </t>
    </r>
    <r>
      <rPr>
        <sz val="12"/>
        <color indexed="8"/>
        <rFont val="Times New Roman"/>
        <family val="1"/>
        <charset val="204"/>
      </rPr>
      <t>вул. Данченка, 3-Б (проведення експертизи проектно-кошторисної документації)</t>
    </r>
  </si>
  <si>
    <r>
      <t xml:space="preserve">Капітальний ремонт системи протипожежної безпеки багатоквартирного будинку підвищеної поверховості за адресою: м.Чорноморськ, </t>
    </r>
    <r>
      <rPr>
        <sz val="12"/>
        <color indexed="8"/>
        <rFont val="Times New Roman"/>
        <family val="1"/>
        <charset val="204"/>
      </rPr>
      <t>проспект Миру, 35-Б (розробка пректно-кошторисної документації, експертиза)</t>
    </r>
  </si>
  <si>
    <r>
      <t xml:space="preserve">Капітальний ремонт системи протипожежної безпеки багатоквартирного будинку підвищеної поверховості за адресою: м.Чорноморськ, </t>
    </r>
    <r>
      <rPr>
        <sz val="12"/>
        <color indexed="8"/>
        <rFont val="Times New Roman"/>
        <family val="1"/>
        <charset val="204"/>
      </rPr>
      <t>проспект Миру, 35-Г (розробка пректно-кошторисної документації, експертиза)</t>
    </r>
  </si>
  <si>
    <r>
      <t xml:space="preserve">Реконструкція системи центрального опалення в багатоквартирному будинку за адресою: м. Чорноморськ, </t>
    </r>
    <r>
      <rPr>
        <sz val="12"/>
        <color indexed="8"/>
        <rFont val="Times New Roman"/>
        <family val="1"/>
        <charset val="204"/>
      </rPr>
      <t>вул. 1 Травня, 2 (проведення експертизи проектно-кошторисної документації)</t>
    </r>
  </si>
  <si>
    <r>
      <t xml:space="preserve">Капітальний ремонт системи протипожежної безпеки багатоквартирного будинку підвищеної поверховості за адресою: м.Чорноморськ, </t>
    </r>
    <r>
      <rPr>
        <sz val="12"/>
        <color indexed="8"/>
        <rFont val="Times New Roman"/>
        <family val="1"/>
        <charset val="204"/>
      </rPr>
      <t>вул.1 Травня, 2 (розробка пректно-кошторисної документації, експертиза)</t>
    </r>
  </si>
  <si>
    <r>
      <t xml:space="preserve">Капітальний ремонт (заміна) ліфту за адресою: Одеський район, Одеська область, м.Чорноморськ, </t>
    </r>
    <r>
      <rPr>
        <sz val="12"/>
        <color indexed="8"/>
        <rFont val="Times New Roman"/>
        <family val="1"/>
        <charset val="204"/>
      </rPr>
      <t>вул.Данченка, 3-Б (2П)</t>
    </r>
  </si>
  <si>
    <r>
      <t xml:space="preserve">Капітальний ремонт (заміна) ліфту за адресою: Одеський район, Одеська область, м.Чорноморськ, </t>
    </r>
    <r>
      <rPr>
        <sz val="12"/>
        <color indexed="8"/>
        <rFont val="Times New Roman"/>
        <family val="1"/>
        <charset val="204"/>
      </rPr>
      <t>вул.Лазурна, 7 (1)</t>
    </r>
  </si>
  <si>
    <r>
      <t>Капітальний ремонт (заміна) ліфтів за адресою: м. Чорноморськ,</t>
    </r>
    <r>
      <rPr>
        <sz val="12"/>
        <color indexed="8"/>
        <rFont val="Times New Roman"/>
        <family val="1"/>
        <charset val="204"/>
      </rPr>
      <t xml:space="preserve"> пр.Миру, 28 (5п.)</t>
    </r>
  </si>
  <si>
    <r>
      <t xml:space="preserve">Капітальний ремонт (заміна) ліфту за адресою: Одеський район, Одеська область, м.Чорноморськ, </t>
    </r>
    <r>
      <rPr>
        <sz val="12"/>
        <color indexed="8"/>
        <rFont val="Times New Roman"/>
        <family val="1"/>
        <charset val="204"/>
      </rPr>
      <t>проспект Миру, 28 (4)</t>
    </r>
  </si>
  <si>
    <r>
      <t xml:space="preserve">Капітальний ремонт (заміна) ліфту за адресою: Одеський район, Одеська область, м.Чорноморськ, </t>
    </r>
    <r>
      <rPr>
        <sz val="12"/>
        <color indexed="8"/>
        <rFont val="Times New Roman"/>
        <family val="1"/>
        <charset val="204"/>
      </rPr>
      <t>проспект Миру, 35-Г</t>
    </r>
  </si>
  <si>
    <r>
      <t xml:space="preserve">Капітальний ремонт (заміна) ліфту за адресою: Одеський район, Одеська область, м.Чорноморськ, </t>
    </r>
    <r>
      <rPr>
        <sz val="12"/>
        <color indexed="8"/>
        <rFont val="Times New Roman"/>
        <family val="1"/>
        <charset val="204"/>
      </rPr>
      <t>вул.Олександрійська, 4-А (1)</t>
    </r>
  </si>
  <si>
    <r>
      <t xml:space="preserve">Капітальний ремонт (заміна) ліфту за адресою: Одеський район, Одеська область, м.Чорноморськ, </t>
    </r>
    <r>
      <rPr>
        <sz val="12"/>
        <color indexed="8"/>
        <rFont val="Times New Roman"/>
        <family val="1"/>
        <charset val="204"/>
      </rPr>
      <t>вул.Олександрійська, 10 (4)</t>
    </r>
  </si>
  <si>
    <r>
      <t xml:space="preserve">Капітальний ремонт (заміна) ліфту за адресою: Одеський район, Одеська область, м.Чорноморськ, </t>
    </r>
    <r>
      <rPr>
        <sz val="12"/>
        <color indexed="8"/>
        <rFont val="Times New Roman"/>
        <family val="1"/>
        <charset val="204"/>
      </rPr>
      <t>вул.Паркова, 36 (4)</t>
    </r>
  </si>
  <si>
    <r>
      <t xml:space="preserve">Капітальний ремонт (заміна) ліфту за адресою: Одеський район, Одеська область, м.Чорноморськ, </t>
    </r>
    <r>
      <rPr>
        <sz val="12"/>
        <color indexed="8"/>
        <rFont val="Times New Roman"/>
        <family val="1"/>
        <charset val="204"/>
      </rPr>
      <t>вул.Парусна, 10 (2)</t>
    </r>
  </si>
  <si>
    <r>
      <t>Капітальний ремонт (заміна) ліфтів за адресою: м. Чорноморськ,</t>
    </r>
    <r>
      <rPr>
        <sz val="12"/>
        <color indexed="8"/>
        <rFont val="Times New Roman"/>
        <family val="1"/>
        <charset val="204"/>
      </rPr>
      <t xml:space="preserve"> вул.Парусна, 16 (6п.)</t>
    </r>
  </si>
  <si>
    <r>
      <t xml:space="preserve">Капітальний ремонт (заміна) ліфту за адресою: Одеський район, Одеська область, м.Чорноморськ, </t>
    </r>
    <r>
      <rPr>
        <sz val="12"/>
        <color indexed="8"/>
        <rFont val="Times New Roman"/>
        <family val="1"/>
        <charset val="204"/>
      </rPr>
      <t>вул.1 Травня, 5 (1)</t>
    </r>
  </si>
  <si>
    <r>
      <t xml:space="preserve">Капітальний ремонт (заміна вікон) в багатоквартирному будинку за адресою: м.Чорноморськ, </t>
    </r>
    <r>
      <rPr>
        <sz val="12"/>
        <color indexed="8"/>
        <rFont val="Times New Roman"/>
        <family val="1"/>
        <charset val="204"/>
      </rPr>
      <t>проспект Миру, 3</t>
    </r>
  </si>
  <si>
    <r>
      <t xml:space="preserve">Капітальний ремонт (заміна вікон) в багатоквартирному будинку за адресою: м.Чорноморськ, </t>
    </r>
    <r>
      <rPr>
        <sz val="12"/>
        <color indexed="8"/>
        <rFont val="Times New Roman"/>
        <family val="1"/>
        <charset val="204"/>
      </rPr>
      <t>проспект Миру, 3а</t>
    </r>
  </si>
  <si>
    <r>
      <t xml:space="preserve">Капітальний ремонт (заміна вікон) в багатоквартирному будинку за адресою: м.Чорноморськ, </t>
    </r>
    <r>
      <rPr>
        <sz val="12"/>
        <color indexed="8"/>
        <rFont val="Times New Roman"/>
        <family val="1"/>
        <charset val="204"/>
      </rPr>
      <t>проспект Миру, 5а</t>
    </r>
  </si>
  <si>
    <r>
      <t xml:space="preserve">Капітальний ремонт (заміна вікон) в багатоквартирному будинку за адресою: м.Чорноморськ, </t>
    </r>
    <r>
      <rPr>
        <sz val="12"/>
        <color indexed="8"/>
        <rFont val="Times New Roman"/>
        <family val="1"/>
        <charset val="204"/>
      </rPr>
      <t>проспект Миру, 7</t>
    </r>
  </si>
  <si>
    <t>Виконано за звітний період, грн</t>
  </si>
  <si>
    <t>Реконструкція системи забезпечення медичним киснем лікарняних ліжок частини приміщень акушерського відділення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 м. Чорноморськ, вул. Віталія Шума, буд. 4, літ. "А"</t>
  </si>
  <si>
    <t>0212111</t>
  </si>
  <si>
    <t>2111</t>
  </si>
  <si>
    <t>0726</t>
  </si>
  <si>
    <t xml:space="preserve"> Первинна медична допомога населенню, що надається центрами первинної медичної (медико-санітарної) допомоги</t>
  </si>
  <si>
    <t>0217350</t>
  </si>
  <si>
    <t>7350</t>
  </si>
  <si>
    <t>0443</t>
  </si>
  <si>
    <t>Розроблення схем планування та забудови територій (містобудівної документації)</t>
  </si>
  <si>
    <t>Розроблення детального плану частини території 13-го мікрорайону м. Чорноморська Одеського району Одеської області загальною площею 1,5 га для будівництва багатоповерхового житлового будинку</t>
  </si>
  <si>
    <t>0218210</t>
  </si>
  <si>
    <t>8210</t>
  </si>
  <si>
    <t>Муніципальні формування з охорони громадського порядку</t>
  </si>
  <si>
    <t>Капітальний ремонт будівельних та огороджувальних конструкцій закладу дошкільної освіти (ясла-садок) № 12 "Мальва", розташованого за адресою: Одеська область, Одеський район, місто Чорноморськ, вулиця 1 Травня, 11-А</t>
  </si>
  <si>
    <t>0611291</t>
  </si>
  <si>
    <t>1291</t>
  </si>
  <si>
    <t>0990</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</si>
  <si>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</si>
  <si>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1210160</t>
  </si>
  <si>
    <t>0160</t>
  </si>
  <si>
    <t>0111</t>
  </si>
  <si>
    <t>Керівництво і управління у відповідній сфері у містах (місті Києві), селищах, селах, територіальних громадах</t>
  </si>
  <si>
    <t>1216013</t>
  </si>
  <si>
    <t>Придбання насосних станцій підвищеного тиску</t>
  </si>
  <si>
    <t>1218110</t>
  </si>
  <si>
    <t>Капітальний ремонт покрівлі будівлі  Пункту Незламності (ЦТП № 57) за адресою: вул.Паркова, буд.14-В, м.Чорноморськ Одеського району Одеської області</t>
  </si>
  <si>
    <t>3719770</t>
  </si>
  <si>
    <t>9770</t>
  </si>
  <si>
    <t>Інші субвенції з місцевого бюджету</t>
  </si>
  <si>
    <t>Міська цільова соціальна програма розвитку цивільного захисту Чорноморської міської територіальної громади на 2021-2025 роки</t>
  </si>
  <si>
    <t>від                          2024 №      - VІII</t>
  </si>
  <si>
    <t>1218761</t>
  </si>
  <si>
    <t>8761</t>
  </si>
  <si>
    <t>0540</t>
  </si>
  <si>
    <t>Заходи із запобігання та ліквідації наслідків надзвичайної ситуації внаслідок стихійного лиха за рахунок коштів резервного фонду місцевого бюджету</t>
  </si>
  <si>
    <t xml:space="preserve">Звіт про використання коштів бюджету розвитку у складі бюджету Чорноморської міської територіальної громади  за 9 місяців 2024 року </t>
  </si>
  <si>
    <t>Обсяг видатків бюджету розвитку на 2024 рік, грн</t>
  </si>
  <si>
    <t>Виготовлення проектно-кошторисної документації по об'єкту "Капітальний ремонт (заміна) ліфту пасажирського для лікувально-профілактичних установ, реєстраційний № 6342, у будівлі стаціонару літ."А", встановленого біля відділення анестезіології з палатами інтенсивної терапії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t>
  </si>
  <si>
    <t>Виготовлення проектно-кошторисної документації по об'єкту "Капітальний ремонт приміщень поліклініки на 3-му поверсі за адресою: Одеська область, Одеський район, м.Чорноморськ, вул.1 Травня, 1"</t>
  </si>
  <si>
    <t>0217520</t>
  </si>
  <si>
    <t>7520</t>
  </si>
  <si>
    <t>0460</t>
  </si>
  <si>
    <t>Реалізація Національної програми інформатизації</t>
  </si>
  <si>
    <t>0218230</t>
  </si>
  <si>
    <t>8230</t>
  </si>
  <si>
    <t>Інші заходи громадського порядку та безпеки</t>
  </si>
  <si>
    <t>Реконструкція системи пожежної сигналізації (СПС), системи оповіщення про пожежу та управління евакуацією людей (Технічне переоснащення системи протипожежного захисту) Малодолинського закладу загальної середньої освіти Чорноморської міської ради Одеського району Одеської області за адресою: Україна, Одеська область, с.Малодолинське, вул.Зелена, 2</t>
  </si>
  <si>
    <t>Капітальний ремонт підвального приміщення з пристосуванням під СПП з властивостями ПРУ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</si>
  <si>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Капітальний ремонт вентиляції (Найпростішого укриття)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</si>
  <si>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Капітальний ремонт  стилобатної частини підвального поверху з улаштуванням заходів  гідроізоляції в найпростішому укритті Чорноморського ліцею № 6, розташованого за адресою: місто Чорноморськ, вулиця Спортивна, 3А</t>
  </si>
  <si>
    <t>Капітальний ремонт підвального приміщення  з пристосуванням під СПП з властивостями ПРУ в будівлі закладу дошкільної освіти № 4 Чорноморської міської ради Одеського району Одеської області за адресою Одеська область, Одеський район, м.Чорноморськ, вулиця Олександрійська, 19-А</t>
  </si>
  <si>
    <t>0800000</t>
  </si>
  <si>
    <t>Управління соціальної політики Чорноморської  міської ради  Одеського району Одеської області</t>
  </si>
  <si>
    <t>0810000</t>
  </si>
  <si>
    <t>0813221</t>
  </si>
  <si>
    <t>3221</t>
  </si>
  <si>
    <t>Грошова компенсація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11 - 14 частини другої статті 7 Закону України "Про статус ветеранів війни, гарантії їх соціального захисту", та які потребують поліпшення житлових умов</t>
  </si>
  <si>
    <t>0813223</t>
  </si>
  <si>
    <t>3223</t>
  </si>
  <si>
    <t>Грошова компенсація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I-II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t>
  </si>
  <si>
    <t>Капітальний ремонт фасаду житлового будинку за адресою: Одеська область, Одеський район, м.Чорноморськ, вул.Паркова, 22-А (ОСББ "Паркова - 22-А")</t>
  </si>
  <si>
    <t>Міська програма сприяння діяльності об'єднань співвласників багатоквартирних будинків, житлово-будівельних кооперативів в багатоквартирних будинках на території Чорноморської міської ради Одеської області , всього - в т ч:</t>
  </si>
  <si>
    <t>1216017</t>
  </si>
  <si>
    <t>6017</t>
  </si>
  <si>
    <t>Інша діяльність, пов`язана з експлуатацією об`єктів житлово-комунального господарства</t>
  </si>
  <si>
    <t>Капітальний ремонт: улаштування зовнішньої гідроізоляції цокольного поверху (найпростішого укриття), вимощення, системи дощової каналізації гуртожитку за адресою: Одеський район, Одеська область, м.Чорноморськ, с.Малодолинське, вул.Зелена, 2-Б</t>
  </si>
  <si>
    <t>Придбання пристроїв резервного живлення для світлофорних об'єктів</t>
  </si>
  <si>
    <t>Капітальний ремонт покрівлі житлового багатоквартирного будинку № 20 по вул.Парусна, м.Чорноморськ</t>
  </si>
  <si>
    <t>1218773</t>
  </si>
  <si>
    <t>8773</t>
  </si>
  <si>
    <t>Заходи, пов'язані із підготовкою та проведенням позачергових місцевих виборів, за рахунок коштів резервного фонду місцевого бюджету</t>
  </si>
  <si>
    <t>Капітальний ремонт світлофорного об'єкту за адресою: Одеська область, Одеський район, м.Чорноморськ, перехрестя доріг М27, Т1641 та Т1620 в бік вул.Перемоги</t>
  </si>
  <si>
    <t>1517310</t>
  </si>
  <si>
    <t>7310</t>
  </si>
  <si>
    <t>Будівництво об'єктів житлово-комунального господарства</t>
  </si>
  <si>
    <t>Реконструкція вводу теплової мережі до житлового будинку №4-Б по вул. Корабельній у м. Чорноморськ  Одеського району  Одеської  області</t>
  </si>
  <si>
    <t>Збільшення електропотужностей для 13-го мікрорайону міста Чорноморськ, Одеської області</t>
  </si>
  <si>
    <t xml:space="preserve">Субвенція обласному бюджету Одеської області на співфінансування придбання шкільного автобусу відповідно до п. 4 Порядку та умов надання субвенції з державного бюджету місцевим бюджетам на придбання шкільних автобусів, затверджених постановою Кабінету Міністрів України від 28 квітня 2023 р. № 418 (зі змінами) </t>
  </si>
  <si>
    <r>
      <t>Виготовлення проектно-кошторисної документації по об'єкту "К</t>
    </r>
    <r>
      <rPr>
        <sz val="12"/>
        <color indexed="8"/>
        <rFont val="Times New Roman"/>
        <family val="1"/>
        <charset val="204"/>
      </rPr>
      <t>апітальний ремонт (заміна) ліфту пасажирського для лікувально-профілактичних установ, реєстраційний № 6379, у будівлі стаціонару літ."А", встановленого біля акушерського відділення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t>
    </r>
  </si>
  <si>
    <r>
      <t>Міська цільова програма часткової компенсації вартості закупівлі генераторів для забезпечення потреб мешканців багатоквартирних житлових будинків на території Чорноморської міської територіальної громади на 2024-2025 роки /</t>
    </r>
    <r>
      <rPr>
        <i/>
        <sz val="12"/>
        <rFont val="Times New Roman"/>
        <family val="1"/>
        <charset val="204"/>
      </rPr>
      <t xml:space="preserve"> Компенсація на відшкодування вартості закупівлі генераторів для забезпечення життєдіяльності багатоквартирних житлових будинків</t>
    </r>
  </si>
  <si>
    <r>
      <t>Реконструкція напірного каналізаційного колектору за адресою: Одеська область, Одеський район, м.Чорноморськ,</t>
    </r>
    <r>
      <rPr>
        <sz val="12"/>
        <color indexed="8"/>
        <rFont val="Times New Roman"/>
        <family val="1"/>
        <charset val="204"/>
      </rPr>
      <t xml:space="preserve"> від вул.Космонавтов, 59Г в с.Малодолинське до вул.Світла, 51 в смт.Олександрівка</t>
    </r>
  </si>
  <si>
    <r>
      <t xml:space="preserve">Реконструкція водопровідної мережі по </t>
    </r>
    <r>
      <rPr>
        <sz val="12"/>
        <color indexed="8"/>
        <rFont val="Times New Roman"/>
        <family val="1"/>
        <charset val="204"/>
      </rPr>
      <t>вул.Затишна в смт.Олександрівка, м.Чорноморськ, Одеського району, Одеської області</t>
    </r>
  </si>
  <si>
    <r>
      <t xml:space="preserve">Реконструкція мереж водопроводу за адресою: Одеська область, Одеський район, </t>
    </r>
    <r>
      <rPr>
        <sz val="12"/>
        <color indexed="8"/>
        <rFont val="Times New Roman"/>
        <family val="1"/>
        <charset val="204"/>
      </rPr>
      <t>м.Чорноморськ, вул.Паркова, 46-50</t>
    </r>
  </si>
  <si>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</si>
  <si>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</si>
  <si>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</si>
  <si>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Інвест</t>
  </si>
  <si>
    <t>Разом БР</t>
  </si>
  <si>
    <t>Дод.3</t>
  </si>
  <si>
    <t>відхилення (повинно бути ноль)</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</si>
</sst>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р_._-;\-* #,##0.00_р_._-;_-* &quot;-&quot;??_р_._-;_-@_-"/>
    <numFmt numFmtId="165" formatCode="0.0%"/>
  </numFmts>
  <fonts count="23">
    <font>
      <sz val="11"/>
      <color theme="1"/>
      <name val="Calibri"/>
      <family val="2"/>
      <charset val="204"/>
      <scheme val="minor"/>
    </font>
    <font>
      <sz val="10"/>
      <name val="Arial Cyr"/>
      <charset val="204"/>
    </font>
    <font>
      <b/>
      <sz val="12"/>
      <name val="Times New Roman"/>
      <family val="1"/>
      <charset val="204"/>
    </font>
    <font>
      <sz val="12"/>
      <name val="Times New Roman"/>
      <family val="1"/>
      <charset val="204"/>
    </font>
    <font>
      <sz val="10"/>
      <color theme="1"/>
      <name val="Calibri"/>
      <family val="2"/>
      <charset val="204"/>
      <scheme val="minor"/>
    </font>
    <font>
      <sz val="11"/>
      <color indexed="8"/>
      <name val="Calibri"/>
      <family val="2"/>
      <charset val="204"/>
    </font>
    <font>
      <sz val="13"/>
      <color indexed="12"/>
      <name val="Times New Roman"/>
      <family val="1"/>
    </font>
    <font>
      <sz val="14"/>
      <name val="Times New Roman"/>
      <family val="1"/>
      <charset val="204"/>
    </font>
    <font>
      <b/>
      <sz val="16"/>
      <name val="Times New Roman"/>
      <family val="1"/>
      <charset val="204"/>
    </font>
    <font>
      <sz val="16"/>
      <name val="Times New Roman"/>
      <family val="1"/>
      <charset val="204"/>
    </font>
    <font>
      <u/>
      <sz val="10"/>
      <color indexed="12"/>
      <name val="Arial Cyr"/>
      <charset val="204"/>
    </font>
    <font>
      <b/>
      <sz val="10"/>
      <name val="Times New Roman"/>
      <family val="1"/>
    </font>
    <font>
      <sz val="10"/>
      <name val="Times New Roman"/>
      <family val="1"/>
    </font>
    <font>
      <sz val="10"/>
      <color theme="1"/>
      <name val="Times New Roman"/>
      <family val="1"/>
      <charset val="204"/>
    </font>
    <font>
      <sz val="10"/>
      <color rgb="FF000000"/>
      <name val="Arimo"/>
    </font>
    <font>
      <sz val="11"/>
      <color theme="1"/>
      <name val="Calibri"/>
      <family val="2"/>
      <scheme val="minor"/>
    </font>
    <font>
      <sz val="11"/>
      <color theme="1"/>
      <name val="Calibri"/>
      <family val="2"/>
      <charset val="204"/>
      <scheme val="minor"/>
    </font>
    <font>
      <sz val="12"/>
      <color theme="1"/>
      <name val="Times New Roman"/>
      <family val="1"/>
      <charset val="204"/>
    </font>
    <font>
      <i/>
      <sz val="12"/>
      <name val="Times New Roman"/>
      <family val="1"/>
      <charset val="204"/>
    </font>
    <font>
      <i/>
      <sz val="12"/>
      <color theme="1"/>
      <name val="Times New Roman"/>
      <family val="1"/>
      <charset val="204"/>
    </font>
    <font>
      <sz val="12"/>
      <color indexed="8"/>
      <name val="Times New Roman"/>
      <family val="1"/>
      <charset val="204"/>
    </font>
    <font>
      <sz val="10"/>
      <color indexed="8"/>
      <name val="Arial"/>
      <family val="2"/>
      <charset val="204"/>
    </font>
    <font>
      <sz val="10"/>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11">
    <xf numFmtId="0" fontId="0" fillId="0" borderId="0"/>
    <xf numFmtId="0" fontId="1" fillId="0" borderId="0"/>
    <xf numFmtId="164" fontId="1" fillId="0" borderId="0" applyFont="0" applyFill="0" applyBorder="0" applyAlignment="0" applyProtection="0"/>
    <xf numFmtId="0" fontId="4" fillId="0" borderId="0"/>
    <xf numFmtId="0" fontId="5" fillId="0" borderId="0"/>
    <xf numFmtId="0" fontId="10" fillId="0" borderId="0" applyNumberFormat="0" applyFill="0" applyBorder="0" applyAlignment="0" applyProtection="0">
      <alignment vertical="top"/>
      <protection locked="0"/>
    </xf>
    <xf numFmtId="0" fontId="1" fillId="0" borderId="0"/>
    <xf numFmtId="0" fontId="14" fillId="0" borderId="0"/>
    <xf numFmtId="0" fontId="15" fillId="0" borderId="0"/>
    <xf numFmtId="9" fontId="16" fillId="0" borderId="0" applyFont="0" applyFill="0" applyBorder="0" applyAlignment="0" applyProtection="0"/>
    <xf numFmtId="0" fontId="21" fillId="0" borderId="0"/>
  </cellStyleXfs>
  <cellXfs count="83">
    <xf numFmtId="0" fontId="0" fillId="0" borderId="0" xfId="0"/>
    <xf numFmtId="0" fontId="7" fillId="2" borderId="0" xfId="0" applyFont="1" applyFill="1"/>
    <xf numFmtId="0" fontId="7" fillId="2" borderId="0" xfId="0" applyFont="1" applyFill="1" applyAlignment="1">
      <alignment horizontal="center"/>
    </xf>
    <xf numFmtId="0" fontId="7" fillId="2" borderId="0" xfId="0" applyFont="1" applyFill="1" applyAlignment="1">
      <alignment horizontal="left" vertical="center"/>
    </xf>
    <xf numFmtId="0" fontId="9" fillId="2" borderId="0" xfId="0" applyFont="1" applyFill="1"/>
    <xf numFmtId="0" fontId="8" fillId="2" borderId="0" xfId="0" applyFont="1" applyFill="1" applyAlignment="1">
      <alignment horizontal="center" vertical="center" wrapText="1"/>
    </xf>
    <xf numFmtId="0" fontId="12" fillId="0" borderId="5" xfId="5" applyFont="1" applyBorder="1" applyAlignment="1" applyProtection="1">
      <alignment horizontal="left"/>
    </xf>
    <xf numFmtId="0" fontId="11" fillId="0" borderId="0" xfId="5" applyFont="1" applyAlignment="1" applyProtection="1">
      <alignment horizontal="center"/>
    </xf>
    <xf numFmtId="9" fontId="6" fillId="2" borderId="0" xfId="9" applyFont="1" applyFill="1" applyAlignment="1">
      <alignment horizontal="left"/>
    </xf>
    <xf numFmtId="9" fontId="7" fillId="2" borderId="0" xfId="9" applyFont="1" applyFill="1"/>
    <xf numFmtId="9" fontId="7" fillId="2" borderId="0" xfId="9" applyFont="1" applyFill="1" applyAlignment="1">
      <alignment horizontal="center"/>
    </xf>
    <xf numFmtId="9" fontId="7" fillId="2" borderId="0" xfId="9" applyFont="1" applyFill="1" applyAlignment="1">
      <alignment horizontal="left" vertical="center"/>
    </xf>
    <xf numFmtId="49" fontId="2" fillId="2" borderId="1" xfId="0" applyNumberFormat="1" applyFont="1" applyFill="1" applyBorder="1" applyAlignment="1">
      <alignment horizontal="center"/>
    </xf>
    <xf numFmtId="0" fontId="3" fillId="2" borderId="0" xfId="0" applyFont="1" applyFill="1"/>
    <xf numFmtId="49" fontId="3" fillId="2" borderId="1" xfId="0" applyNumberFormat="1" applyFont="1" applyFill="1" applyBorder="1" applyAlignment="1">
      <alignment horizontal="center"/>
    </xf>
    <xf numFmtId="49" fontId="3" fillId="2" borderId="1" xfId="0" applyNumberFormat="1" applyFont="1" applyFill="1" applyBorder="1" applyAlignment="1">
      <alignment horizontal="center" vertical="center"/>
    </xf>
    <xf numFmtId="0" fontId="17" fillId="2" borderId="1" xfId="0" applyFont="1" applyFill="1" applyBorder="1" applyAlignment="1">
      <alignment horizontal="center" vertical="center" wrapText="1"/>
    </xf>
    <xf numFmtId="0" fontId="17" fillId="2" borderId="1" xfId="0" quotePrefix="1" applyFont="1" applyFill="1" applyBorder="1" applyAlignment="1">
      <alignment vertical="center" wrapText="1"/>
    </xf>
    <xf numFmtId="0" fontId="3" fillId="2" borderId="1" xfId="0" applyFont="1" applyFill="1" applyBorder="1" applyAlignment="1">
      <alignment horizontal="left" vertical="center" wrapText="1"/>
    </xf>
    <xf numFmtId="49" fontId="18" fillId="2" borderId="1" xfId="0" applyNumberFormat="1" applyFont="1" applyFill="1" applyBorder="1" applyAlignment="1">
      <alignment horizontal="center" vertical="center"/>
    </xf>
    <xf numFmtId="0" fontId="19" fillId="2" borderId="1" xfId="0" applyFont="1" applyFill="1" applyBorder="1" applyAlignment="1">
      <alignment horizontal="center" vertical="center" wrapText="1"/>
    </xf>
    <xf numFmtId="0" fontId="19" fillId="2" borderId="1" xfId="0" quotePrefix="1" applyFont="1" applyFill="1" applyBorder="1" applyAlignment="1">
      <alignment vertical="center" wrapText="1"/>
    </xf>
    <xf numFmtId="49" fontId="17" fillId="2" borderId="1" xfId="0" applyNumberFormat="1" applyFont="1" applyFill="1" applyBorder="1" applyAlignment="1">
      <alignment horizontal="center" vertical="center" wrapText="1"/>
    </xf>
    <xf numFmtId="0" fontId="3" fillId="2" borderId="1" xfId="0" quotePrefix="1" applyFont="1" applyFill="1" applyBorder="1" applyAlignment="1">
      <alignment horizontal="left" vertical="center" wrapText="1"/>
    </xf>
    <xf numFmtId="49" fontId="2" fillId="2" borderId="1" xfId="0" applyNumberFormat="1" applyFont="1" applyFill="1" applyBorder="1" applyAlignment="1">
      <alignment horizontal="center" vertical="center"/>
    </xf>
    <xf numFmtId="0" fontId="3" fillId="2" borderId="1" xfId="4" applyFont="1" applyFill="1" applyBorder="1" applyAlignment="1">
      <alignment horizontal="left" vertical="center" wrapText="1"/>
    </xf>
    <xf numFmtId="49" fontId="19" fillId="2" borderId="1" xfId="0" applyNumberFormat="1" applyFont="1" applyFill="1" applyBorder="1" applyAlignment="1">
      <alignment horizontal="center" vertical="center" wrapText="1"/>
    </xf>
    <xf numFmtId="0" fontId="3" fillId="2" borderId="4" xfId="0" quotePrefix="1" applyFont="1" applyFill="1" applyBorder="1" applyAlignment="1">
      <alignment horizontal="left" vertical="center" wrapText="1"/>
    </xf>
    <xf numFmtId="4" fontId="3" fillId="2" borderId="0" xfId="0" applyNumberFormat="1" applyFont="1" applyFill="1"/>
    <xf numFmtId="0" fontId="17" fillId="2" borderId="1" xfId="0" applyFont="1" applyFill="1" applyBorder="1" applyAlignment="1">
      <alignment vertical="center" wrapText="1"/>
    </xf>
    <xf numFmtId="0" fontId="17" fillId="0" borderId="1" xfId="0" applyFont="1" applyBorder="1" applyAlignment="1">
      <alignment vertical="center" wrapText="1"/>
    </xf>
    <xf numFmtId="0" fontId="3" fillId="2" borderId="1" xfId="0" quotePrefix="1" applyFont="1" applyFill="1" applyBorder="1" applyAlignment="1">
      <alignment vertical="center" wrapText="1"/>
    </xf>
    <xf numFmtId="0" fontId="17" fillId="2" borderId="1" xfId="0" quotePrefix="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2" fillId="2" borderId="1" xfId="0" applyFont="1" applyFill="1" applyBorder="1"/>
    <xf numFmtId="0" fontId="2" fillId="2" borderId="1" xfId="0" applyFont="1" applyFill="1" applyBorder="1" applyAlignment="1">
      <alignment horizontal="left" wrapText="1"/>
    </xf>
    <xf numFmtId="0" fontId="9" fillId="2" borderId="0" xfId="0" applyFont="1" applyFill="1" applyAlignment="1">
      <alignment horizontal="center" vertical="center" wrapText="1"/>
    </xf>
    <xf numFmtId="165" fontId="2" fillId="2" borderId="1" xfId="0" applyNumberFormat="1" applyFont="1" applyFill="1" applyBorder="1" applyAlignment="1">
      <alignment horizontal="center" vertical="center" wrapText="1"/>
    </xf>
    <xf numFmtId="165" fontId="3" fillId="2" borderId="1" xfId="0" applyNumberFormat="1" applyFont="1" applyFill="1" applyBorder="1" applyAlignment="1">
      <alignment horizontal="center" vertical="center" wrapText="1"/>
    </xf>
    <xf numFmtId="165" fontId="18" fillId="2" borderId="1" xfId="0" applyNumberFormat="1" applyFont="1" applyFill="1" applyBorder="1" applyAlignment="1">
      <alignment horizontal="center" vertical="center" wrapText="1"/>
    </xf>
    <xf numFmtId="0" fontId="3" fillId="2" borderId="3" xfId="4" applyFont="1" applyFill="1" applyBorder="1" applyAlignment="1">
      <alignment horizontal="left" vertical="center" wrapText="1"/>
    </xf>
    <xf numFmtId="0" fontId="3" fillId="2" borderId="1" xfId="4" applyFont="1" applyFill="1" applyBorder="1" applyAlignment="1">
      <alignment horizontal="center" vertical="center" wrapText="1"/>
    </xf>
    <xf numFmtId="0" fontId="17" fillId="2" borderId="3" xfId="0" quotePrefix="1" applyFont="1" applyFill="1" applyBorder="1" applyAlignment="1">
      <alignment vertical="center" wrapText="1"/>
    </xf>
    <xf numFmtId="0" fontId="3" fillId="0" borderId="1" xfId="0" quotePrefix="1" applyFont="1" applyFill="1" applyBorder="1" applyAlignment="1">
      <alignment vertical="center" wrapText="1"/>
    </xf>
    <xf numFmtId="0" fontId="19" fillId="2" borderId="3" xfId="0" quotePrefix="1" applyFont="1" applyFill="1" applyBorder="1" applyAlignment="1">
      <alignment vertical="center" wrapText="1"/>
    </xf>
    <xf numFmtId="0" fontId="18" fillId="2" borderId="4" xfId="0" quotePrefix="1" applyFont="1" applyFill="1" applyBorder="1" applyAlignment="1">
      <alignment horizontal="left" vertical="center" wrapText="1"/>
    </xf>
    <xf numFmtId="0" fontId="3" fillId="2" borderId="4" xfId="4" applyFont="1" applyFill="1" applyBorder="1" applyAlignment="1">
      <alignment horizontal="left" vertical="center" wrapText="1"/>
    </xf>
    <xf numFmtId="0" fontId="17" fillId="2" borderId="1" xfId="8" quotePrefix="1" applyFont="1" applyFill="1" applyBorder="1" applyAlignment="1">
      <alignment vertical="center" wrapText="1"/>
    </xf>
    <xf numFmtId="49" fontId="17" fillId="2" borderId="1" xfId="0" quotePrefix="1" applyNumberFormat="1" applyFont="1" applyFill="1" applyBorder="1" applyAlignment="1">
      <alignment horizontal="center" vertical="center" wrapText="1"/>
    </xf>
    <xf numFmtId="3" fontId="7" fillId="2" borderId="0" xfId="0" applyNumberFormat="1" applyFont="1" applyFill="1"/>
    <xf numFmtId="3" fontId="3" fillId="2" borderId="0" xfId="0" applyNumberFormat="1" applyFont="1" applyFill="1"/>
    <xf numFmtId="0" fontId="20" fillId="2" borderId="1" xfId="8" quotePrefix="1" applyFont="1" applyFill="1" applyBorder="1" applyAlignment="1">
      <alignment vertical="center" wrapText="1"/>
    </xf>
    <xf numFmtId="0" fontId="17" fillId="2" borderId="4" xfId="8" quotePrefix="1" applyFont="1" applyFill="1" applyBorder="1" applyAlignment="1">
      <alignment vertical="center" wrapText="1"/>
    </xf>
    <xf numFmtId="0" fontId="17" fillId="2" borderId="1" xfId="10" quotePrefix="1" applyFont="1" applyFill="1" applyBorder="1" applyAlignment="1">
      <alignment vertical="center" wrapText="1"/>
    </xf>
    <xf numFmtId="49" fontId="19" fillId="2" borderId="1" xfId="0" quotePrefix="1" applyNumberFormat="1" applyFont="1" applyFill="1" applyBorder="1" applyAlignment="1">
      <alignment horizontal="center" vertical="center" wrapText="1"/>
    </xf>
    <xf numFmtId="0" fontId="18" fillId="2" borderId="1" xfId="0" quotePrefix="1" applyFont="1" applyFill="1" applyBorder="1" applyAlignment="1">
      <alignment horizontal="left" vertical="center" wrapText="1"/>
    </xf>
    <xf numFmtId="0" fontId="22" fillId="2" borderId="6"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2" borderId="0" xfId="0" applyFont="1" applyFill="1"/>
    <xf numFmtId="0" fontId="7" fillId="2" borderId="0" xfId="0" applyFont="1" applyFill="1" applyAlignment="1">
      <alignment horizontal="right" vertical="center"/>
    </xf>
    <xf numFmtId="4" fontId="7" fillId="2" borderId="0" xfId="0" applyNumberFormat="1" applyFont="1" applyFill="1"/>
    <xf numFmtId="3" fontId="2"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3" fontId="18" fillId="2" borderId="1" xfId="0" applyNumberFormat="1" applyFont="1" applyFill="1" applyBorder="1" applyAlignment="1">
      <alignment horizontal="center" vertical="center"/>
    </xf>
    <xf numFmtId="3" fontId="18"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xf>
    <xf numFmtId="0" fontId="2" fillId="2" borderId="3" xfId="4" applyFont="1" applyFill="1" applyBorder="1" applyAlignment="1">
      <alignment horizontal="center" wrapText="1"/>
    </xf>
    <xf numFmtId="0" fontId="2" fillId="2" borderId="4" xfId="4" applyFont="1" applyFill="1" applyBorder="1" applyAlignment="1">
      <alignment horizontal="center" wrapText="1"/>
    </xf>
    <xf numFmtId="0" fontId="2" fillId="2" borderId="3" xfId="4" applyFont="1" applyFill="1" applyBorder="1" applyAlignment="1">
      <alignment horizontal="center" vertical="center" wrapText="1"/>
    </xf>
    <xf numFmtId="0" fontId="2" fillId="2" borderId="4" xfId="4" applyFont="1" applyFill="1" applyBorder="1" applyAlignment="1">
      <alignment horizontal="center" vertical="center" wrapText="1"/>
    </xf>
    <xf numFmtId="0" fontId="17" fillId="0" borderId="3" xfId="8" applyFont="1" applyBorder="1" applyAlignment="1">
      <alignment horizontal="left" vertical="center" wrapText="1"/>
    </xf>
    <xf numFmtId="0" fontId="17" fillId="0" borderId="4" xfId="8" applyFont="1" applyBorder="1" applyAlignment="1">
      <alignment horizontal="left" vertical="center" wrapText="1"/>
    </xf>
    <xf numFmtId="0" fontId="22" fillId="2" borderId="2" xfId="0" applyFont="1" applyFill="1" applyBorder="1" applyAlignment="1">
      <alignment horizontal="center" vertical="center" wrapText="1"/>
    </xf>
    <xf numFmtId="0" fontId="22" fillId="2" borderId="6" xfId="0" applyFont="1" applyFill="1" applyBorder="1" applyAlignment="1">
      <alignment horizontal="center" vertical="center" wrapText="1"/>
    </xf>
    <xf numFmtId="9" fontId="13" fillId="0" borderId="0" xfId="9" applyFont="1" applyAlignment="1">
      <alignment horizontal="left"/>
    </xf>
    <xf numFmtId="0" fontId="1" fillId="0" borderId="6" xfId="0" applyFont="1" applyBorder="1"/>
    <xf numFmtId="9" fontId="3" fillId="2" borderId="0" xfId="9" applyFont="1" applyFill="1" applyAlignment="1">
      <alignment horizontal="left"/>
    </xf>
    <xf numFmtId="9" fontId="17" fillId="0" borderId="0" xfId="9" applyFont="1" applyAlignment="1">
      <alignment horizontal="left"/>
    </xf>
    <xf numFmtId="0" fontId="2" fillId="2" borderId="0" xfId="0" applyFont="1" applyFill="1" applyAlignment="1">
      <alignment horizontal="center" vertical="center" wrapText="1"/>
    </xf>
    <xf numFmtId="0" fontId="11" fillId="0" borderId="0" xfId="5" applyFont="1" applyAlignment="1" applyProtection="1">
      <alignment horizontal="left"/>
    </xf>
  </cellXfs>
  <cellStyles count="11">
    <cellStyle name="Відсотковий" xfId="9" builtinId="5"/>
    <cellStyle name="Гіперпосилання" xfId="5" builtinId="8"/>
    <cellStyle name="Звичайний" xfId="0" builtinId="0"/>
    <cellStyle name="Звичайний 2" xfId="10"/>
    <cellStyle name="Обычный 10" xfId="7"/>
    <cellStyle name="Обычный 2" xfId="1"/>
    <cellStyle name="Обычный 2 2" xfId="6"/>
    <cellStyle name="Обычный 3" xfId="3"/>
    <cellStyle name="Обычный 9" xfId="8"/>
    <cellStyle name="Обычный_дод 3" xfId="4"/>
    <cellStyle name="Финансовый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4;&#1086;&#1076;.6%20&#1030;&#1085;&#1074;&#1077;&#1089;&#1090;.&#1087;&#1088;&#1086;&#1077;&#1082;&#1090;&#1080;%20&#1074;%20&#1088;&#1086;&#1073;&#1086;&#1090;&#11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44;&#1086;&#1076;.3%20&#1042;&#1080;&#1076;&#1072;&#1090;&#1082;&#1080;%20&#1074;%20&#1088;&#1086;&#1073;&#1086;&#1090;&#11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Інвест"/>
    </sheetNames>
    <sheetDataSet>
      <sheetData sheetId="0">
        <row r="24">
          <cell r="F24">
            <v>154917902</v>
          </cell>
          <cell r="G24">
            <v>372583.1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4"/>
    </sheetNames>
    <sheetDataSet>
      <sheetData sheetId="0">
        <row r="187">
          <cell r="H187">
            <v>337097226.36000001</v>
          </cell>
          <cell r="L187">
            <v>87289608.409999996</v>
          </cell>
        </row>
      </sheetData>
    </sheetDataSet>
  </externalBook>
</externalLink>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8"/>
  <sheetViews>
    <sheetView tabSelected="1" view="pageBreakPreview" topLeftCell="A123" zoomScale="80" zoomScaleNormal="90" zoomScaleSheetLayoutView="80" workbookViewId="0">
      <selection activeCell="I128" sqref="I128"/>
    </sheetView>
  </sheetViews>
  <sheetFormatPr defaultColWidth="9.109375" defaultRowHeight="18"/>
  <cols>
    <col min="1" max="1" width="15.88671875" style="2" customWidth="1"/>
    <col min="2" max="2" width="14.88671875" style="1" customWidth="1"/>
    <col min="3" max="3" width="16" style="1" customWidth="1"/>
    <col min="4" max="4" width="50" style="1" customWidth="1"/>
    <col min="5" max="5" width="55.5546875" style="3" customWidth="1"/>
    <col min="6" max="6" width="18.33203125" style="1" customWidth="1"/>
    <col min="7" max="7" width="18" style="1" customWidth="1"/>
    <col min="8" max="8" width="12.6640625" style="2" customWidth="1"/>
    <col min="9" max="9" width="24" style="1" customWidth="1"/>
    <col min="10" max="10" width="18.44140625" style="1" bestFit="1" customWidth="1"/>
    <col min="11" max="11" width="16.88671875" style="1" bestFit="1" customWidth="1"/>
    <col min="12" max="12" width="15.5546875" style="1" bestFit="1" customWidth="1"/>
    <col min="13" max="16384" width="9.109375" style="1"/>
  </cols>
  <sheetData>
    <row r="1" spans="1:9" s="9" customFormat="1">
      <c r="A1" s="8"/>
      <c r="D1" s="10"/>
      <c r="E1" s="11"/>
      <c r="F1" s="77" t="s">
        <v>77</v>
      </c>
      <c r="G1" s="77"/>
      <c r="H1" s="77"/>
    </row>
    <row r="2" spans="1:9" s="9" customFormat="1">
      <c r="A2" s="8"/>
      <c r="D2" s="10"/>
      <c r="E2" s="11"/>
      <c r="F2" s="79" t="s">
        <v>63</v>
      </c>
      <c r="G2" s="79"/>
      <c r="H2" s="79"/>
    </row>
    <row r="3" spans="1:9" s="9" customFormat="1">
      <c r="A3" s="8"/>
      <c r="D3" s="10"/>
      <c r="E3" s="11"/>
      <c r="F3" s="80" t="s">
        <v>165</v>
      </c>
      <c r="G3" s="80"/>
      <c r="H3" s="80"/>
    </row>
    <row r="4" spans="1:9" s="4" customFormat="1" ht="21">
      <c r="A4" s="81" t="s">
        <v>170</v>
      </c>
      <c r="B4" s="81"/>
      <c r="C4" s="81"/>
      <c r="D4" s="81"/>
      <c r="E4" s="81"/>
      <c r="F4" s="81"/>
      <c r="G4" s="81"/>
      <c r="H4" s="81"/>
    </row>
    <row r="5" spans="1:9" s="4" customFormat="1" ht="21">
      <c r="A5" s="82">
        <v>1558900000</v>
      </c>
      <c r="B5" s="82"/>
      <c r="C5" s="5"/>
      <c r="D5" s="5"/>
      <c r="E5" s="5"/>
      <c r="F5" s="5"/>
      <c r="G5" s="5"/>
      <c r="H5" s="36"/>
    </row>
    <row r="6" spans="1:9" s="4" customFormat="1" ht="21">
      <c r="A6" s="6" t="s">
        <v>11</v>
      </c>
      <c r="B6" s="7"/>
      <c r="C6" s="5"/>
      <c r="D6" s="5"/>
      <c r="E6" s="5"/>
      <c r="F6" s="5"/>
      <c r="G6" s="5"/>
      <c r="H6" s="36"/>
    </row>
    <row r="7" spans="1:9">
      <c r="A7" s="75" t="s">
        <v>1</v>
      </c>
      <c r="B7" s="75" t="s">
        <v>2</v>
      </c>
      <c r="C7" s="75" t="s">
        <v>3</v>
      </c>
      <c r="D7" s="75" t="s">
        <v>4</v>
      </c>
      <c r="E7" s="75" t="s">
        <v>71</v>
      </c>
      <c r="F7" s="75" t="s">
        <v>171</v>
      </c>
      <c r="G7" s="75" t="s">
        <v>134</v>
      </c>
      <c r="H7" s="75" t="s">
        <v>0</v>
      </c>
    </row>
    <row r="8" spans="1:9" ht="36.6" customHeight="1">
      <c r="A8" s="78"/>
      <c r="B8" s="78"/>
      <c r="C8" s="78"/>
      <c r="D8" s="76"/>
      <c r="E8" s="76"/>
      <c r="F8" s="76"/>
      <c r="G8" s="76"/>
      <c r="H8" s="76"/>
    </row>
    <row r="9" spans="1:9" s="58" customFormat="1" ht="13.2">
      <c r="A9" s="56">
        <v>1</v>
      </c>
      <c r="B9" s="56">
        <v>2</v>
      </c>
      <c r="C9" s="56">
        <v>3</v>
      </c>
      <c r="D9" s="57">
        <v>4</v>
      </c>
      <c r="E9" s="57">
        <v>5</v>
      </c>
      <c r="F9" s="57">
        <v>6</v>
      </c>
      <c r="G9" s="57">
        <v>7</v>
      </c>
      <c r="H9" s="57">
        <v>8</v>
      </c>
    </row>
    <row r="10" spans="1:9" s="13" customFormat="1" ht="15.6">
      <c r="A10" s="12" t="s">
        <v>12</v>
      </c>
      <c r="B10" s="12"/>
      <c r="C10" s="12"/>
      <c r="D10" s="69" t="s">
        <v>39</v>
      </c>
      <c r="E10" s="70"/>
      <c r="F10" s="61">
        <f t="shared" ref="F10:G10" si="0">F11</f>
        <v>5857489</v>
      </c>
      <c r="G10" s="61">
        <f t="shared" si="0"/>
        <v>4206035.32</v>
      </c>
      <c r="H10" s="37">
        <f>G10/F10</f>
        <v>0.71806115555658756</v>
      </c>
      <c r="I10" s="50"/>
    </row>
    <row r="11" spans="1:9" s="13" customFormat="1" ht="15.6">
      <c r="A11" s="12" t="s">
        <v>13</v>
      </c>
      <c r="B11" s="14"/>
      <c r="C11" s="14"/>
      <c r="D11" s="69" t="s">
        <v>39</v>
      </c>
      <c r="E11" s="70"/>
      <c r="F11" s="61">
        <f>F12+F19+F20+F21+F22+F23+F24</f>
        <v>5857489</v>
      </c>
      <c r="G11" s="61">
        <f>G12+G19+G20+G21+G22+G23+G24</f>
        <v>4206035.32</v>
      </c>
      <c r="H11" s="37">
        <f t="shared" ref="H11:H76" si="1">G11/F11</f>
        <v>0.71806115555658756</v>
      </c>
    </row>
    <row r="12" spans="1:9" s="13" customFormat="1" ht="31.2">
      <c r="A12" s="15" t="s">
        <v>47</v>
      </c>
      <c r="B12" s="15" t="s">
        <v>48</v>
      </c>
      <c r="C12" s="15" t="s">
        <v>15</v>
      </c>
      <c r="D12" s="40" t="s">
        <v>16</v>
      </c>
      <c r="E12" s="18" t="s">
        <v>24</v>
      </c>
      <c r="F12" s="62">
        <f>SUM(F13:F18)</f>
        <v>2670690</v>
      </c>
      <c r="G12" s="62">
        <f>SUM(G13:G18)</f>
        <v>2491196.3199999998</v>
      </c>
      <c r="H12" s="38">
        <f t="shared" si="1"/>
        <v>0.93279127116962279</v>
      </c>
    </row>
    <row r="13" spans="1:9" s="13" customFormat="1" ht="93.6">
      <c r="A13" s="15"/>
      <c r="B13" s="15"/>
      <c r="C13" s="15"/>
      <c r="D13" s="41"/>
      <c r="E13" s="25" t="s">
        <v>78</v>
      </c>
      <c r="F13" s="62">
        <v>334805</v>
      </c>
      <c r="G13" s="62">
        <v>334804.25</v>
      </c>
      <c r="H13" s="38">
        <f t="shared" si="1"/>
        <v>0.99999775989008532</v>
      </c>
    </row>
    <row r="14" spans="1:9" s="13" customFormat="1" ht="78">
      <c r="A14" s="15"/>
      <c r="B14" s="15"/>
      <c r="C14" s="15"/>
      <c r="D14" s="41"/>
      <c r="E14" s="25" t="s">
        <v>79</v>
      </c>
      <c r="F14" s="62">
        <f>1400000+700000</f>
        <v>2100000</v>
      </c>
      <c r="G14" s="62">
        <v>2099833</v>
      </c>
      <c r="H14" s="38">
        <f t="shared" si="1"/>
        <v>0.99992047619047619</v>
      </c>
    </row>
    <row r="15" spans="1:9" s="13" customFormat="1" ht="109.2">
      <c r="A15" s="15"/>
      <c r="B15" s="15"/>
      <c r="C15" s="15"/>
      <c r="D15" s="41"/>
      <c r="E15" s="46" t="s">
        <v>135</v>
      </c>
      <c r="F15" s="62">
        <v>66000</v>
      </c>
      <c r="G15" s="62">
        <v>56559.07</v>
      </c>
      <c r="H15" s="38">
        <f t="shared" si="1"/>
        <v>0.85695560606060606</v>
      </c>
    </row>
    <row r="16" spans="1:9" s="13" customFormat="1" ht="156">
      <c r="A16" s="15"/>
      <c r="B16" s="15"/>
      <c r="C16" s="15"/>
      <c r="D16" s="41"/>
      <c r="E16" s="51" t="s">
        <v>172</v>
      </c>
      <c r="F16" s="62">
        <v>47706</v>
      </c>
      <c r="G16" s="62">
        <v>0</v>
      </c>
      <c r="H16" s="38">
        <f t="shared" si="1"/>
        <v>0</v>
      </c>
    </row>
    <row r="17" spans="1:8" s="13" customFormat="1" ht="156">
      <c r="A17" s="15"/>
      <c r="B17" s="15"/>
      <c r="C17" s="15"/>
      <c r="D17" s="41"/>
      <c r="E17" s="47" t="s">
        <v>213</v>
      </c>
      <c r="F17" s="62">
        <v>47706</v>
      </c>
      <c r="G17" s="62">
        <v>0</v>
      </c>
      <c r="H17" s="38">
        <f t="shared" si="1"/>
        <v>0</v>
      </c>
    </row>
    <row r="18" spans="1:8" s="13" customFormat="1" ht="62.4">
      <c r="A18" s="15"/>
      <c r="B18" s="15"/>
      <c r="C18" s="15"/>
      <c r="D18" s="41"/>
      <c r="E18" s="52" t="s">
        <v>173</v>
      </c>
      <c r="F18" s="62">
        <v>74473</v>
      </c>
      <c r="G18" s="62">
        <v>0</v>
      </c>
      <c r="H18" s="38">
        <f t="shared" si="1"/>
        <v>0</v>
      </c>
    </row>
    <row r="19" spans="1:8" s="13" customFormat="1" ht="46.8">
      <c r="A19" s="15" t="s">
        <v>136</v>
      </c>
      <c r="B19" s="15" t="s">
        <v>137</v>
      </c>
      <c r="C19" s="15" t="s">
        <v>138</v>
      </c>
      <c r="D19" s="25" t="s">
        <v>139</v>
      </c>
      <c r="E19" s="46" t="s">
        <v>14</v>
      </c>
      <c r="F19" s="62">
        <f>1000000-36000</f>
        <v>964000</v>
      </c>
      <c r="G19" s="62">
        <v>142390</v>
      </c>
      <c r="H19" s="38">
        <f t="shared" si="1"/>
        <v>0.14770746887966804</v>
      </c>
    </row>
    <row r="20" spans="1:8" s="13" customFormat="1" ht="62.4">
      <c r="A20" s="15" t="s">
        <v>140</v>
      </c>
      <c r="B20" s="15" t="s">
        <v>141</v>
      </c>
      <c r="C20" s="22" t="s">
        <v>142</v>
      </c>
      <c r="D20" s="17" t="s">
        <v>143</v>
      </c>
      <c r="E20" s="46" t="s">
        <v>144</v>
      </c>
      <c r="F20" s="62">
        <f>260000+400000</f>
        <v>660000</v>
      </c>
      <c r="G20" s="62">
        <v>259999</v>
      </c>
      <c r="H20" s="38">
        <f t="shared" si="1"/>
        <v>0.39393787878787878</v>
      </c>
    </row>
    <row r="21" spans="1:8" s="13" customFormat="1" ht="31.2">
      <c r="A21" s="15" t="s">
        <v>174</v>
      </c>
      <c r="B21" s="15" t="s">
        <v>175</v>
      </c>
      <c r="C21" s="22" t="s">
        <v>176</v>
      </c>
      <c r="D21" s="17" t="s">
        <v>177</v>
      </c>
      <c r="E21" s="23" t="s">
        <v>14</v>
      </c>
      <c r="F21" s="63">
        <v>58200</v>
      </c>
      <c r="G21" s="63"/>
      <c r="H21" s="38">
        <f t="shared" si="1"/>
        <v>0</v>
      </c>
    </row>
    <row r="22" spans="1:8" s="13" customFormat="1" ht="31.2">
      <c r="A22" s="15" t="s">
        <v>145</v>
      </c>
      <c r="B22" s="15" t="s">
        <v>146</v>
      </c>
      <c r="C22" s="16" t="s">
        <v>64</v>
      </c>
      <c r="D22" s="17" t="s">
        <v>147</v>
      </c>
      <c r="E22" s="46" t="s">
        <v>14</v>
      </c>
      <c r="F22" s="62">
        <v>37299</v>
      </c>
      <c r="G22" s="62">
        <v>35950</v>
      </c>
      <c r="H22" s="38">
        <f t="shared" si="1"/>
        <v>0.96383281053111347</v>
      </c>
    </row>
    <row r="23" spans="1:8" s="13" customFormat="1" ht="15.6">
      <c r="A23" s="15" t="s">
        <v>178</v>
      </c>
      <c r="B23" s="15" t="s">
        <v>179</v>
      </c>
      <c r="C23" s="22" t="s">
        <v>64</v>
      </c>
      <c r="D23" s="17" t="s">
        <v>180</v>
      </c>
      <c r="E23" s="46" t="s">
        <v>14</v>
      </c>
      <c r="F23" s="62">
        <v>190800</v>
      </c>
      <c r="G23" s="62">
        <v>0</v>
      </c>
      <c r="H23" s="38">
        <f t="shared" si="1"/>
        <v>0</v>
      </c>
    </row>
    <row r="24" spans="1:8" s="13" customFormat="1" ht="109.2">
      <c r="A24" s="15" t="s">
        <v>72</v>
      </c>
      <c r="B24" s="15" t="s">
        <v>73</v>
      </c>
      <c r="C24" s="22" t="s">
        <v>64</v>
      </c>
      <c r="D24" s="17" t="s">
        <v>74</v>
      </c>
      <c r="E24" s="27" t="s">
        <v>110</v>
      </c>
      <c r="F24" s="62">
        <v>1276500</v>
      </c>
      <c r="G24" s="62">
        <v>1276500</v>
      </c>
      <c r="H24" s="38">
        <f t="shared" si="1"/>
        <v>1</v>
      </c>
    </row>
    <row r="25" spans="1:8" s="13" customFormat="1" ht="15.6">
      <c r="A25" s="12" t="s">
        <v>5</v>
      </c>
      <c r="B25" s="12"/>
      <c r="C25" s="12"/>
      <c r="D25" s="69" t="s">
        <v>80</v>
      </c>
      <c r="E25" s="70"/>
      <c r="F25" s="61">
        <f t="shared" ref="F25:G25" si="2">F26</f>
        <v>23755000.359999999</v>
      </c>
      <c r="G25" s="61">
        <f t="shared" si="2"/>
        <v>2777105.09</v>
      </c>
      <c r="H25" s="37">
        <f t="shared" si="1"/>
        <v>0.11690612704330854</v>
      </c>
    </row>
    <row r="26" spans="1:8" s="13" customFormat="1" ht="15.6">
      <c r="A26" s="12" t="s">
        <v>6</v>
      </c>
      <c r="B26" s="14"/>
      <c r="C26" s="14"/>
      <c r="D26" s="69" t="s">
        <v>80</v>
      </c>
      <c r="E26" s="70"/>
      <c r="F26" s="61">
        <f>F27+F33+F38+F39+F40+F41</f>
        <v>23755000.359999999</v>
      </c>
      <c r="G26" s="61">
        <f>G27+G33+G38+G39+G40+G41</f>
        <v>2777105.09</v>
      </c>
      <c r="H26" s="37">
        <f t="shared" si="1"/>
        <v>0.11690612704330854</v>
      </c>
    </row>
    <row r="27" spans="1:8" s="13" customFormat="1" ht="15.6">
      <c r="A27" s="15" t="s">
        <v>66</v>
      </c>
      <c r="B27" s="15" t="s">
        <v>67</v>
      </c>
      <c r="C27" s="15" t="s">
        <v>68</v>
      </c>
      <c r="D27" s="40" t="s">
        <v>69</v>
      </c>
      <c r="E27" s="18" t="s">
        <v>24</v>
      </c>
      <c r="F27" s="62">
        <f>SUM(F28:F32)</f>
        <v>3908713</v>
      </c>
      <c r="G27" s="62">
        <f>SUM(G28:G32)</f>
        <v>287282.61</v>
      </c>
      <c r="H27" s="38">
        <f t="shared" si="1"/>
        <v>7.3498005609519038E-2</v>
      </c>
    </row>
    <row r="28" spans="1:8" s="13" customFormat="1" ht="62.4">
      <c r="A28" s="15"/>
      <c r="B28" s="15"/>
      <c r="C28" s="22"/>
      <c r="D28" s="42"/>
      <c r="E28" s="43" t="s">
        <v>81</v>
      </c>
      <c r="F28" s="63">
        <v>1071430</v>
      </c>
      <c r="G28" s="63"/>
      <c r="H28" s="38">
        <f t="shared" si="1"/>
        <v>0</v>
      </c>
    </row>
    <row r="29" spans="1:8" s="13" customFormat="1" ht="62.4">
      <c r="A29" s="15"/>
      <c r="B29" s="15"/>
      <c r="C29" s="22"/>
      <c r="D29" s="42"/>
      <c r="E29" s="43" t="s">
        <v>82</v>
      </c>
      <c r="F29" s="63">
        <v>1100000</v>
      </c>
      <c r="G29" s="63"/>
      <c r="H29" s="38">
        <f t="shared" si="1"/>
        <v>0</v>
      </c>
    </row>
    <row r="30" spans="1:8" s="13" customFormat="1" ht="78">
      <c r="A30" s="15"/>
      <c r="B30" s="15"/>
      <c r="C30" s="22"/>
      <c r="D30" s="42"/>
      <c r="E30" s="31" t="s">
        <v>83</v>
      </c>
      <c r="F30" s="63">
        <v>200000</v>
      </c>
      <c r="G30" s="63"/>
      <c r="H30" s="38">
        <f t="shared" si="1"/>
        <v>0</v>
      </c>
    </row>
    <row r="31" spans="1:8" s="13" customFormat="1" ht="62.4">
      <c r="A31" s="15"/>
      <c r="B31" s="15"/>
      <c r="C31" s="22"/>
      <c r="D31" s="42"/>
      <c r="E31" s="43" t="s">
        <v>84</v>
      </c>
      <c r="F31" s="63">
        <v>1250000</v>
      </c>
      <c r="G31" s="63"/>
      <c r="H31" s="38">
        <f t="shared" si="1"/>
        <v>0</v>
      </c>
    </row>
    <row r="32" spans="1:8" s="13" customFormat="1" ht="78">
      <c r="A32" s="15"/>
      <c r="B32" s="15"/>
      <c r="C32" s="22"/>
      <c r="D32" s="42"/>
      <c r="E32" s="43" t="s">
        <v>148</v>
      </c>
      <c r="F32" s="63">
        <v>287283</v>
      </c>
      <c r="G32" s="63">
        <v>287282.61</v>
      </c>
      <c r="H32" s="38">
        <f t="shared" si="1"/>
        <v>0.99999864245360837</v>
      </c>
    </row>
    <row r="33" spans="1:8" s="13" customFormat="1" ht="46.8">
      <c r="A33" s="15" t="s">
        <v>21</v>
      </c>
      <c r="B33" s="15" t="s">
        <v>22</v>
      </c>
      <c r="C33" s="15" t="s">
        <v>23</v>
      </c>
      <c r="D33" s="40" t="s">
        <v>50</v>
      </c>
      <c r="E33" s="18" t="s">
        <v>24</v>
      </c>
      <c r="F33" s="62">
        <f>SUM(F34:F37)</f>
        <v>3974770</v>
      </c>
      <c r="G33" s="62">
        <f>SUM(G34:G37)</f>
        <v>1800000</v>
      </c>
      <c r="H33" s="38">
        <f t="shared" si="1"/>
        <v>0.45285639169058839</v>
      </c>
    </row>
    <row r="34" spans="1:8" s="13" customFormat="1" ht="46.8">
      <c r="A34" s="15"/>
      <c r="B34" s="15"/>
      <c r="C34" s="22"/>
      <c r="D34" s="42"/>
      <c r="E34" s="23" t="s">
        <v>85</v>
      </c>
      <c r="F34" s="63">
        <v>1173330</v>
      </c>
      <c r="G34" s="63">
        <v>1020000</v>
      </c>
      <c r="H34" s="38">
        <f t="shared" si="1"/>
        <v>0.86932065147912352</v>
      </c>
    </row>
    <row r="35" spans="1:8" s="13" customFormat="1" ht="46.8">
      <c r="A35" s="15"/>
      <c r="B35" s="15"/>
      <c r="C35" s="22"/>
      <c r="D35" s="42"/>
      <c r="E35" s="23" t="s">
        <v>86</v>
      </c>
      <c r="F35" s="63">
        <v>888180</v>
      </c>
      <c r="G35" s="63">
        <v>780000</v>
      </c>
      <c r="H35" s="38">
        <f t="shared" si="1"/>
        <v>0.87820036479092078</v>
      </c>
    </row>
    <row r="36" spans="1:8" s="13" customFormat="1" ht="62.4">
      <c r="A36" s="15"/>
      <c r="B36" s="15"/>
      <c r="C36" s="22"/>
      <c r="D36" s="42"/>
      <c r="E36" s="23" t="s">
        <v>87</v>
      </c>
      <c r="F36" s="63">
        <v>193260</v>
      </c>
      <c r="G36" s="63"/>
      <c r="H36" s="38">
        <f t="shared" si="1"/>
        <v>0</v>
      </c>
    </row>
    <row r="37" spans="1:8" s="13" customFormat="1" ht="124.8">
      <c r="A37" s="15"/>
      <c r="B37" s="15"/>
      <c r="C37" s="22"/>
      <c r="D37" s="42"/>
      <c r="E37" s="23" t="s">
        <v>181</v>
      </c>
      <c r="F37" s="63">
        <v>1720000</v>
      </c>
      <c r="G37" s="63"/>
      <c r="H37" s="38">
        <f t="shared" si="1"/>
        <v>0</v>
      </c>
    </row>
    <row r="38" spans="1:8" s="13" customFormat="1" ht="78">
      <c r="A38" s="15" t="s">
        <v>218</v>
      </c>
      <c r="B38" s="15" t="s">
        <v>219</v>
      </c>
      <c r="C38" s="22" t="s">
        <v>151</v>
      </c>
      <c r="D38" s="42" t="s">
        <v>220</v>
      </c>
      <c r="E38" s="23" t="s">
        <v>14</v>
      </c>
      <c r="F38" s="63">
        <v>2361528</v>
      </c>
      <c r="G38" s="63"/>
      <c r="H38" s="38">
        <f t="shared" si="1"/>
        <v>0</v>
      </c>
    </row>
    <row r="39" spans="1:8" s="13" customFormat="1" ht="109.2">
      <c r="A39" s="15" t="s">
        <v>149</v>
      </c>
      <c r="B39" s="15" t="s">
        <v>150</v>
      </c>
      <c r="C39" s="15" t="s">
        <v>151</v>
      </c>
      <c r="D39" s="17" t="s">
        <v>152</v>
      </c>
      <c r="E39" s="23" t="s">
        <v>14</v>
      </c>
      <c r="F39" s="63">
        <v>656964</v>
      </c>
      <c r="G39" s="63"/>
      <c r="H39" s="38">
        <f t="shared" si="1"/>
        <v>0</v>
      </c>
    </row>
    <row r="40" spans="1:8" s="13" customFormat="1" ht="31.2">
      <c r="A40" s="15" t="s">
        <v>174</v>
      </c>
      <c r="B40" s="15" t="s">
        <v>175</v>
      </c>
      <c r="C40" s="22" t="s">
        <v>176</v>
      </c>
      <c r="D40" s="17" t="s">
        <v>177</v>
      </c>
      <c r="E40" s="23" t="s">
        <v>14</v>
      </c>
      <c r="F40" s="63">
        <v>205000</v>
      </c>
      <c r="G40" s="63"/>
      <c r="H40" s="38">
        <f t="shared" si="1"/>
        <v>0</v>
      </c>
    </row>
    <row r="41" spans="1:8" s="13" customFormat="1" ht="31.2">
      <c r="A41" s="15" t="s">
        <v>70</v>
      </c>
      <c r="B41" s="15" t="s">
        <v>41</v>
      </c>
      <c r="C41" s="22" t="s">
        <v>46</v>
      </c>
      <c r="D41" s="42" t="s">
        <v>42</v>
      </c>
      <c r="E41" s="18" t="s">
        <v>24</v>
      </c>
      <c r="F41" s="62">
        <f>SUM(F42:F45)</f>
        <v>12648025.359999999</v>
      </c>
      <c r="G41" s="62">
        <f>SUM(G42:G45)</f>
        <v>689822.48</v>
      </c>
      <c r="H41" s="38">
        <f t="shared" si="1"/>
        <v>5.453993491992809E-2</v>
      </c>
    </row>
    <row r="42" spans="1:8" s="13" customFormat="1" ht="93.6">
      <c r="A42" s="15"/>
      <c r="B42" s="15"/>
      <c r="C42" s="22"/>
      <c r="D42" s="42"/>
      <c r="E42" s="23" t="s">
        <v>182</v>
      </c>
      <c r="F42" s="63">
        <f>1400000+383680+1822017</f>
        <v>3605697</v>
      </c>
      <c r="G42" s="63">
        <v>383678.33</v>
      </c>
      <c r="H42" s="38">
        <f t="shared" si="1"/>
        <v>0.10640892177018757</v>
      </c>
    </row>
    <row r="43" spans="1:8" s="13" customFormat="1" ht="78">
      <c r="A43" s="15"/>
      <c r="B43" s="15"/>
      <c r="C43" s="22"/>
      <c r="D43" s="42"/>
      <c r="E43" s="23" t="s">
        <v>183</v>
      </c>
      <c r="F43" s="63">
        <f>900000+306196+667364</f>
        <v>1873560</v>
      </c>
      <c r="G43" s="63">
        <v>306144.15000000002</v>
      </c>
      <c r="H43" s="38">
        <f t="shared" si="1"/>
        <v>0.16340237302248128</v>
      </c>
    </row>
    <row r="44" spans="1:8" s="13" customFormat="1" ht="78">
      <c r="A44" s="15"/>
      <c r="B44" s="15"/>
      <c r="C44" s="22"/>
      <c r="D44" s="42"/>
      <c r="E44" s="23" t="s">
        <v>184</v>
      </c>
      <c r="F44" s="63">
        <f>168768.36+5000000</f>
        <v>5168768.3600000003</v>
      </c>
      <c r="G44" s="63"/>
      <c r="H44" s="38">
        <f t="shared" si="1"/>
        <v>0</v>
      </c>
    </row>
    <row r="45" spans="1:8" s="13" customFormat="1" ht="93.6">
      <c r="A45" s="15"/>
      <c r="B45" s="15"/>
      <c r="C45" s="22"/>
      <c r="D45" s="17"/>
      <c r="E45" s="23" t="s">
        <v>185</v>
      </c>
      <c r="F45" s="63">
        <v>2000000</v>
      </c>
      <c r="G45" s="63"/>
      <c r="H45" s="38">
        <f t="shared" si="1"/>
        <v>0</v>
      </c>
    </row>
    <row r="46" spans="1:8" s="13" customFormat="1" ht="15.6">
      <c r="A46" s="12" t="s">
        <v>186</v>
      </c>
      <c r="B46" s="12"/>
      <c r="C46" s="12"/>
      <c r="D46" s="69" t="s">
        <v>187</v>
      </c>
      <c r="E46" s="70"/>
      <c r="F46" s="61">
        <f t="shared" ref="F46:G46" si="3">F47</f>
        <v>6603847</v>
      </c>
      <c r="G46" s="61">
        <f t="shared" si="3"/>
        <v>6600229.0200000005</v>
      </c>
      <c r="H46" s="37">
        <f t="shared" si="1"/>
        <v>0.99945214054777476</v>
      </c>
    </row>
    <row r="47" spans="1:8" s="13" customFormat="1" ht="15.6">
      <c r="A47" s="12" t="s">
        <v>188</v>
      </c>
      <c r="B47" s="14"/>
      <c r="C47" s="14"/>
      <c r="D47" s="69" t="s">
        <v>187</v>
      </c>
      <c r="E47" s="70"/>
      <c r="F47" s="61">
        <f>F48+F49</f>
        <v>6603847</v>
      </c>
      <c r="G47" s="61">
        <f>G48+G49</f>
        <v>6600229.0200000005</v>
      </c>
      <c r="H47" s="37">
        <f t="shared" si="1"/>
        <v>0.99945214054777476</v>
      </c>
    </row>
    <row r="48" spans="1:8" s="13" customFormat="1" ht="147.6" customHeight="1">
      <c r="A48" s="15" t="s">
        <v>189</v>
      </c>
      <c r="B48" s="15" t="s">
        <v>190</v>
      </c>
      <c r="C48" s="16">
        <v>1060</v>
      </c>
      <c r="D48" s="73" t="s">
        <v>191</v>
      </c>
      <c r="E48" s="74"/>
      <c r="F48" s="63">
        <v>1859158</v>
      </c>
      <c r="G48" s="63">
        <v>1859157.58</v>
      </c>
      <c r="H48" s="38">
        <f t="shared" si="1"/>
        <v>0.99999977409128227</v>
      </c>
    </row>
    <row r="49" spans="1:10" s="13" customFormat="1" ht="111.6" customHeight="1">
      <c r="A49" s="15" t="s">
        <v>192</v>
      </c>
      <c r="B49" s="15" t="s">
        <v>193</v>
      </c>
      <c r="C49" s="16">
        <v>1060</v>
      </c>
      <c r="D49" s="73" t="s">
        <v>194</v>
      </c>
      <c r="E49" s="74"/>
      <c r="F49" s="63">
        <v>4744689</v>
      </c>
      <c r="G49" s="63">
        <v>4741071.4400000004</v>
      </c>
      <c r="H49" s="38">
        <f t="shared" si="1"/>
        <v>0.99923755592832331</v>
      </c>
    </row>
    <row r="50" spans="1:10" s="13" customFormat="1" ht="15.6">
      <c r="A50" s="12" t="s">
        <v>26</v>
      </c>
      <c r="B50" s="12"/>
      <c r="C50" s="12"/>
      <c r="D50" s="69" t="s">
        <v>88</v>
      </c>
      <c r="E50" s="70"/>
      <c r="F50" s="61">
        <f t="shared" ref="F50:G50" si="4">F51</f>
        <v>11869937</v>
      </c>
      <c r="G50" s="61">
        <f t="shared" si="4"/>
        <v>3291798.64</v>
      </c>
      <c r="H50" s="37">
        <f t="shared" si="1"/>
        <v>0.27732233456672939</v>
      </c>
      <c r="J50" s="28"/>
    </row>
    <row r="51" spans="1:10" s="13" customFormat="1" ht="15.6">
      <c r="A51" s="12" t="s">
        <v>27</v>
      </c>
      <c r="B51" s="14"/>
      <c r="C51" s="14"/>
      <c r="D51" s="69" t="s">
        <v>88</v>
      </c>
      <c r="E51" s="70"/>
      <c r="F51" s="61">
        <f>F52+F53+F66+F67+F70+F71+F73+F77+F78</f>
        <v>11869937</v>
      </c>
      <c r="G51" s="61">
        <f>G52+G53+G66+G67+G70+G71+G73+G77+G78</f>
        <v>3291798.64</v>
      </c>
      <c r="H51" s="37">
        <f t="shared" si="1"/>
        <v>0.27732233456672939</v>
      </c>
    </row>
    <row r="52" spans="1:10" s="13" customFormat="1" ht="46.8">
      <c r="A52" s="15" t="s">
        <v>153</v>
      </c>
      <c r="B52" s="15" t="s">
        <v>154</v>
      </c>
      <c r="C52" s="22" t="s">
        <v>155</v>
      </c>
      <c r="D52" s="42" t="s">
        <v>156</v>
      </c>
      <c r="E52" s="18" t="s">
        <v>14</v>
      </c>
      <c r="F52" s="63">
        <v>36000</v>
      </c>
      <c r="G52" s="63"/>
      <c r="H52" s="38">
        <f t="shared" si="1"/>
        <v>0</v>
      </c>
    </row>
    <row r="53" spans="1:10" s="13" customFormat="1" ht="31.2">
      <c r="A53" s="15" t="s">
        <v>89</v>
      </c>
      <c r="B53" s="15" t="s">
        <v>51</v>
      </c>
      <c r="C53" s="22" t="s">
        <v>25</v>
      </c>
      <c r="D53" s="42" t="s">
        <v>28</v>
      </c>
      <c r="E53" s="18" t="s">
        <v>24</v>
      </c>
      <c r="F53" s="63">
        <f>F54+F58+F59+F60+F61+F62+F63+F64+F65</f>
        <v>4231826</v>
      </c>
      <c r="G53" s="63">
        <f>G54+G58+G59+G60+G61+G62+G63+G64+G65</f>
        <v>1890251.1700000002</v>
      </c>
      <c r="H53" s="38">
        <f t="shared" si="1"/>
        <v>0.44667506887097913</v>
      </c>
      <c r="J53" s="28"/>
    </row>
    <row r="54" spans="1:10" s="13" customFormat="1" ht="78">
      <c r="A54" s="15"/>
      <c r="B54" s="15"/>
      <c r="C54" s="22"/>
      <c r="D54" s="42"/>
      <c r="E54" s="17" t="s">
        <v>90</v>
      </c>
      <c r="F54" s="62">
        <f t="shared" ref="F54:G54" si="5">F55+F56+F57</f>
        <v>3246524</v>
      </c>
      <c r="G54" s="62">
        <f t="shared" si="5"/>
        <v>1075977.1000000001</v>
      </c>
      <c r="H54" s="38">
        <f t="shared" si="1"/>
        <v>0.33142434801036436</v>
      </c>
    </row>
    <row r="55" spans="1:10" s="13" customFormat="1" ht="62.4">
      <c r="A55" s="15"/>
      <c r="B55" s="15"/>
      <c r="C55" s="22"/>
      <c r="D55" s="42"/>
      <c r="E55" s="21" t="s">
        <v>195</v>
      </c>
      <c r="F55" s="64">
        <f>973214-32514.68</f>
        <v>940699.32</v>
      </c>
      <c r="G55" s="64">
        <f>940547.46-23257.83</f>
        <v>917289.63</v>
      </c>
      <c r="H55" s="39">
        <f t="shared" si="1"/>
        <v>0.97511458815554375</v>
      </c>
    </row>
    <row r="56" spans="1:10" s="13" customFormat="1" ht="62.4">
      <c r="A56" s="15"/>
      <c r="B56" s="15"/>
      <c r="C56" s="22"/>
      <c r="D56" s="42"/>
      <c r="E56" s="21" t="s">
        <v>91</v>
      </c>
      <c r="F56" s="64">
        <f>1878462+277921.81</f>
        <v>2156383.81</v>
      </c>
      <c r="G56" s="64">
        <v>9246.6</v>
      </c>
      <c r="H56" s="39">
        <f t="shared" si="1"/>
        <v>4.2880121605068074E-3</v>
      </c>
    </row>
    <row r="57" spans="1:10" s="13" customFormat="1" ht="62.4">
      <c r="A57" s="15"/>
      <c r="B57" s="15"/>
      <c r="C57" s="22"/>
      <c r="D57" s="42"/>
      <c r="E57" s="21" t="s">
        <v>92</v>
      </c>
      <c r="F57" s="64">
        <f>192509-43068.13</f>
        <v>149440.87</v>
      </c>
      <c r="G57" s="64">
        <v>149440.87</v>
      </c>
      <c r="H57" s="39">
        <f t="shared" si="1"/>
        <v>1</v>
      </c>
    </row>
    <row r="58" spans="1:10" s="13" customFormat="1" ht="156">
      <c r="A58" s="15"/>
      <c r="B58" s="15"/>
      <c r="C58" s="22"/>
      <c r="D58" s="42"/>
      <c r="E58" s="17" t="s">
        <v>111</v>
      </c>
      <c r="F58" s="65">
        <f>158368.14+0.86</f>
        <v>158369</v>
      </c>
      <c r="G58" s="65"/>
      <c r="H58" s="38">
        <f t="shared" si="1"/>
        <v>0</v>
      </c>
    </row>
    <row r="59" spans="1:10" s="13" customFormat="1" ht="156">
      <c r="A59" s="15"/>
      <c r="B59" s="15"/>
      <c r="C59" s="22"/>
      <c r="D59" s="42"/>
      <c r="E59" s="17" t="s">
        <v>112</v>
      </c>
      <c r="F59" s="65">
        <f>166805.43+0.57</f>
        <v>166806</v>
      </c>
      <c r="G59" s="65">
        <v>166805.43</v>
      </c>
      <c r="H59" s="38">
        <f t="shared" si="1"/>
        <v>0.99999658285673176</v>
      </c>
    </row>
    <row r="60" spans="1:10" s="13" customFormat="1" ht="62.4">
      <c r="A60" s="15"/>
      <c r="B60" s="15"/>
      <c r="C60" s="22"/>
      <c r="D60" s="42"/>
      <c r="E60" s="30" t="s">
        <v>113</v>
      </c>
      <c r="F60" s="65">
        <v>182708</v>
      </c>
      <c r="G60" s="65">
        <v>182707.09</v>
      </c>
      <c r="H60" s="38">
        <f t="shared" si="1"/>
        <v>0.99999501937517787</v>
      </c>
    </row>
    <row r="61" spans="1:10" s="13" customFormat="1" ht="62.4">
      <c r="A61" s="15"/>
      <c r="B61" s="15"/>
      <c r="C61" s="22"/>
      <c r="D61" s="42"/>
      <c r="E61" s="17" t="s">
        <v>114</v>
      </c>
      <c r="F61" s="65">
        <v>13964</v>
      </c>
      <c r="G61" s="65">
        <v>7600.27</v>
      </c>
      <c r="H61" s="38">
        <f t="shared" si="1"/>
        <v>0.54427599541678606</v>
      </c>
    </row>
    <row r="62" spans="1:10" s="13" customFormat="1" ht="78">
      <c r="A62" s="15"/>
      <c r="B62" s="15"/>
      <c r="C62" s="22"/>
      <c r="D62" s="42"/>
      <c r="E62" s="30" t="s">
        <v>115</v>
      </c>
      <c r="F62" s="65">
        <v>151219</v>
      </c>
      <c r="G62" s="65">
        <v>151218.07</v>
      </c>
      <c r="H62" s="38">
        <f t="shared" si="1"/>
        <v>0.99999384997916929</v>
      </c>
    </row>
    <row r="63" spans="1:10" s="13" customFormat="1" ht="78">
      <c r="A63" s="15"/>
      <c r="B63" s="15"/>
      <c r="C63" s="22"/>
      <c r="D63" s="42"/>
      <c r="E63" s="30" t="s">
        <v>116</v>
      </c>
      <c r="F63" s="65">
        <v>151219</v>
      </c>
      <c r="G63" s="65">
        <v>151218.07</v>
      </c>
      <c r="H63" s="38">
        <f t="shared" si="1"/>
        <v>0.99999384997916929</v>
      </c>
    </row>
    <row r="64" spans="1:10" s="13" customFormat="1" ht="62.4">
      <c r="A64" s="15"/>
      <c r="B64" s="15"/>
      <c r="C64" s="22"/>
      <c r="D64" s="42"/>
      <c r="E64" s="17" t="s">
        <v>117</v>
      </c>
      <c r="F64" s="65">
        <v>13964</v>
      </c>
      <c r="G64" s="65">
        <v>7672.2</v>
      </c>
      <c r="H64" s="38">
        <f t="shared" si="1"/>
        <v>0.54942709825264968</v>
      </c>
      <c r="I64" s="50"/>
    </row>
    <row r="65" spans="1:10" s="13" customFormat="1" ht="62.4">
      <c r="A65" s="15"/>
      <c r="B65" s="15"/>
      <c r="C65" s="22"/>
      <c r="D65" s="42"/>
      <c r="E65" s="30" t="s">
        <v>118</v>
      </c>
      <c r="F65" s="65">
        <v>147053</v>
      </c>
      <c r="G65" s="65">
        <v>147052.94</v>
      </c>
      <c r="H65" s="38">
        <f t="shared" si="1"/>
        <v>0.99999959198384258</v>
      </c>
    </row>
    <row r="66" spans="1:10" s="13" customFormat="1" ht="31.2">
      <c r="A66" s="15" t="s">
        <v>157</v>
      </c>
      <c r="B66" s="15" t="s">
        <v>53</v>
      </c>
      <c r="C66" s="22" t="s">
        <v>18</v>
      </c>
      <c r="D66" s="42" t="s">
        <v>29</v>
      </c>
      <c r="E66" s="30" t="s">
        <v>158</v>
      </c>
      <c r="F66" s="65">
        <v>1244281</v>
      </c>
      <c r="G66" s="65">
        <v>1244281</v>
      </c>
      <c r="H66" s="38">
        <f t="shared" si="1"/>
        <v>1</v>
      </c>
    </row>
    <row r="67" spans="1:10" s="13" customFormat="1" ht="31.2">
      <c r="A67" s="15" t="s">
        <v>30</v>
      </c>
      <c r="B67" s="15" t="s">
        <v>31</v>
      </c>
      <c r="C67" s="22" t="s">
        <v>18</v>
      </c>
      <c r="D67" s="42" t="s">
        <v>32</v>
      </c>
      <c r="E67" s="18" t="s">
        <v>24</v>
      </c>
      <c r="F67" s="63">
        <f>F68</f>
        <v>1980702</v>
      </c>
      <c r="G67" s="63">
        <f>G68</f>
        <v>35060.639999999999</v>
      </c>
      <c r="H67" s="38">
        <f t="shared" si="1"/>
        <v>1.7701118088435313E-2</v>
      </c>
    </row>
    <row r="68" spans="1:10" s="13" customFormat="1" ht="78">
      <c r="A68" s="15"/>
      <c r="B68" s="15"/>
      <c r="C68" s="22"/>
      <c r="D68" s="42"/>
      <c r="E68" s="17" t="s">
        <v>196</v>
      </c>
      <c r="F68" s="63">
        <f>F69</f>
        <v>1980702</v>
      </c>
      <c r="G68" s="63">
        <f>G69</f>
        <v>35060.639999999999</v>
      </c>
      <c r="H68" s="38">
        <f t="shared" si="1"/>
        <v>1.7701118088435313E-2</v>
      </c>
    </row>
    <row r="69" spans="1:10" s="13" customFormat="1" ht="62.4">
      <c r="A69" s="19"/>
      <c r="B69" s="19"/>
      <c r="C69" s="26"/>
      <c r="D69" s="44"/>
      <c r="E69" s="21" t="s">
        <v>93</v>
      </c>
      <c r="F69" s="66">
        <f>495000+1485702</f>
        <v>1980702</v>
      </c>
      <c r="G69" s="66">
        <v>35060.639999999999</v>
      </c>
      <c r="H69" s="39">
        <f t="shared" si="1"/>
        <v>1.7701118088435313E-2</v>
      </c>
    </row>
    <row r="70" spans="1:10" s="13" customFormat="1" ht="124.8">
      <c r="A70" s="15" t="s">
        <v>197</v>
      </c>
      <c r="B70" s="15" t="s">
        <v>198</v>
      </c>
      <c r="C70" s="16" t="s">
        <v>18</v>
      </c>
      <c r="D70" s="17" t="s">
        <v>199</v>
      </c>
      <c r="E70" s="23" t="s">
        <v>214</v>
      </c>
      <c r="F70" s="63">
        <v>1200000</v>
      </c>
      <c r="G70" s="63"/>
      <c r="H70" s="38">
        <f t="shared" si="1"/>
        <v>0</v>
      </c>
    </row>
    <row r="71" spans="1:10" s="13" customFormat="1" ht="15.6">
      <c r="A71" s="15" t="s">
        <v>33</v>
      </c>
      <c r="B71" s="15" t="s">
        <v>17</v>
      </c>
      <c r="C71" s="22" t="s">
        <v>18</v>
      </c>
      <c r="D71" s="42" t="s">
        <v>19</v>
      </c>
      <c r="E71" s="18" t="s">
        <v>24</v>
      </c>
      <c r="F71" s="63">
        <f>F72</f>
        <v>839500</v>
      </c>
      <c r="G71" s="63">
        <f>G72</f>
        <v>0</v>
      </c>
      <c r="H71" s="38">
        <f t="shared" si="1"/>
        <v>0</v>
      </c>
    </row>
    <row r="72" spans="1:10" s="13" customFormat="1" ht="31.2">
      <c r="A72" s="15"/>
      <c r="B72" s="15"/>
      <c r="C72" s="22"/>
      <c r="D72" s="17"/>
      <c r="E72" s="23" t="s">
        <v>94</v>
      </c>
      <c r="F72" s="63">
        <v>839500</v>
      </c>
      <c r="G72" s="63"/>
      <c r="H72" s="38">
        <f t="shared" si="1"/>
        <v>0</v>
      </c>
    </row>
    <row r="73" spans="1:10" s="13" customFormat="1" ht="31.2">
      <c r="A73" s="15" t="s">
        <v>159</v>
      </c>
      <c r="B73" s="15" t="s">
        <v>41</v>
      </c>
      <c r="C73" s="22" t="s">
        <v>46</v>
      </c>
      <c r="D73" s="17" t="s">
        <v>42</v>
      </c>
      <c r="E73" s="18" t="s">
        <v>24</v>
      </c>
      <c r="F73" s="63">
        <f>SUM(F74:F76)</f>
        <v>1163000</v>
      </c>
      <c r="G73" s="63">
        <f>SUM(G74:G76)</f>
        <v>122205.83</v>
      </c>
      <c r="H73" s="38">
        <f t="shared" si="1"/>
        <v>0.10507809974204643</v>
      </c>
    </row>
    <row r="74" spans="1:10" s="13" customFormat="1" ht="62.4">
      <c r="A74" s="15"/>
      <c r="B74" s="15"/>
      <c r="C74" s="22"/>
      <c r="D74" s="17"/>
      <c r="E74" s="23" t="s">
        <v>160</v>
      </c>
      <c r="F74" s="63">
        <v>150000</v>
      </c>
      <c r="G74" s="63">
        <v>122205.83</v>
      </c>
      <c r="H74" s="38">
        <f t="shared" si="1"/>
        <v>0.8147055333333334</v>
      </c>
    </row>
    <row r="75" spans="1:10" s="13" customFormat="1" ht="93.6">
      <c r="A75" s="15"/>
      <c r="B75" s="15"/>
      <c r="C75" s="22"/>
      <c r="D75" s="17"/>
      <c r="E75" s="23" t="s">
        <v>200</v>
      </c>
      <c r="F75" s="63">
        <v>419000</v>
      </c>
      <c r="G75" s="63"/>
      <c r="H75" s="38">
        <f t="shared" si="1"/>
        <v>0</v>
      </c>
    </row>
    <row r="76" spans="1:10" s="13" customFormat="1" ht="31.2">
      <c r="A76" s="15"/>
      <c r="B76" s="15"/>
      <c r="C76" s="22"/>
      <c r="D76" s="17"/>
      <c r="E76" s="23" t="s">
        <v>201</v>
      </c>
      <c r="F76" s="63">
        <v>594000</v>
      </c>
      <c r="G76" s="63"/>
      <c r="H76" s="38">
        <f t="shared" si="1"/>
        <v>0</v>
      </c>
    </row>
    <row r="77" spans="1:10" s="13" customFormat="1" ht="62.4">
      <c r="A77" s="15" t="s">
        <v>166</v>
      </c>
      <c r="B77" s="15" t="s">
        <v>167</v>
      </c>
      <c r="C77" s="22" t="s">
        <v>168</v>
      </c>
      <c r="D77" s="17" t="s">
        <v>169</v>
      </c>
      <c r="E77" s="17" t="s">
        <v>202</v>
      </c>
      <c r="F77" s="63">
        <v>674628</v>
      </c>
      <c r="G77" s="63"/>
      <c r="H77" s="38">
        <f t="shared" ref="H77:H129" si="6">G77/F77</f>
        <v>0</v>
      </c>
      <c r="J77" s="28"/>
    </row>
    <row r="78" spans="1:10" s="13" customFormat="1" ht="62.4">
      <c r="A78" s="15" t="s">
        <v>203</v>
      </c>
      <c r="B78" s="15" t="s">
        <v>204</v>
      </c>
      <c r="C78" s="22" t="s">
        <v>154</v>
      </c>
      <c r="D78" s="17" t="s">
        <v>205</v>
      </c>
      <c r="E78" s="17" t="s">
        <v>206</v>
      </c>
      <c r="F78" s="63">
        <v>500000</v>
      </c>
      <c r="G78" s="63"/>
      <c r="H78" s="38">
        <f t="shared" si="6"/>
        <v>0</v>
      </c>
    </row>
    <row r="79" spans="1:10" s="13" customFormat="1" ht="15.6">
      <c r="A79" s="12" t="s">
        <v>36</v>
      </c>
      <c r="B79" s="12"/>
      <c r="C79" s="12"/>
      <c r="D79" s="69" t="s">
        <v>95</v>
      </c>
      <c r="E79" s="70"/>
      <c r="F79" s="61">
        <f t="shared" ref="F79:G79" si="7">F80</f>
        <v>83890284</v>
      </c>
      <c r="G79" s="61">
        <f t="shared" si="7"/>
        <v>23673466.240000002</v>
      </c>
      <c r="H79" s="37">
        <f t="shared" si="6"/>
        <v>0.282195566771475</v>
      </c>
    </row>
    <row r="80" spans="1:10" s="13" customFormat="1" ht="15.6">
      <c r="A80" s="12" t="s">
        <v>37</v>
      </c>
      <c r="B80" s="14"/>
      <c r="C80" s="14"/>
      <c r="D80" s="69" t="s">
        <v>95</v>
      </c>
      <c r="E80" s="70"/>
      <c r="F80" s="61">
        <f>F81+F82+F83+F96+F98+F103+F107+F114</f>
        <v>83890284</v>
      </c>
      <c r="G80" s="61">
        <f>G81+G82+G83+G96+G98+G103+G107+G114</f>
        <v>23673466.240000002</v>
      </c>
      <c r="H80" s="37">
        <f t="shared" si="6"/>
        <v>0.282195566771475</v>
      </c>
    </row>
    <row r="81" spans="1:9" s="13" customFormat="1" ht="109.2">
      <c r="A81" s="15" t="s">
        <v>96</v>
      </c>
      <c r="B81" s="15" t="s">
        <v>48</v>
      </c>
      <c r="C81" s="22" t="s">
        <v>15</v>
      </c>
      <c r="D81" s="17" t="s">
        <v>16</v>
      </c>
      <c r="E81" s="23" t="s">
        <v>97</v>
      </c>
      <c r="F81" s="62">
        <f>1205627-30000-25000</f>
        <v>1150627</v>
      </c>
      <c r="G81" s="62">
        <v>1110730.92</v>
      </c>
      <c r="H81" s="38">
        <f t="shared" si="6"/>
        <v>0.96532666102916054</v>
      </c>
    </row>
    <row r="82" spans="1:9" s="13" customFormat="1" ht="31.2">
      <c r="A82" s="15" t="s">
        <v>52</v>
      </c>
      <c r="B82" s="15" t="s">
        <v>53</v>
      </c>
      <c r="C82" s="22" t="s">
        <v>18</v>
      </c>
      <c r="D82" s="17" t="s">
        <v>29</v>
      </c>
      <c r="E82" s="27" t="s">
        <v>75</v>
      </c>
      <c r="F82" s="62">
        <v>382750</v>
      </c>
      <c r="G82" s="62">
        <v>382749.55</v>
      </c>
      <c r="H82" s="38">
        <f t="shared" si="6"/>
        <v>0.99999882429784448</v>
      </c>
    </row>
    <row r="83" spans="1:9" s="13" customFormat="1" ht="31.2">
      <c r="A83" s="15" t="s">
        <v>54</v>
      </c>
      <c r="B83" s="15" t="s">
        <v>31</v>
      </c>
      <c r="C83" s="22" t="s">
        <v>18</v>
      </c>
      <c r="D83" s="17" t="s">
        <v>32</v>
      </c>
      <c r="E83" s="18" t="s">
        <v>24</v>
      </c>
      <c r="F83" s="62">
        <f>SUM(F84:F95)</f>
        <v>23415217</v>
      </c>
      <c r="G83" s="62">
        <f>SUM(G84:G95)</f>
        <v>6038058.5899999999</v>
      </c>
      <c r="H83" s="38">
        <f t="shared" si="6"/>
        <v>0.25786899989011419</v>
      </c>
      <c r="I83" s="28"/>
    </row>
    <row r="84" spans="1:9" s="13" customFormat="1" ht="46.8">
      <c r="A84" s="15"/>
      <c r="B84" s="15"/>
      <c r="C84" s="22"/>
      <c r="D84" s="42"/>
      <c r="E84" s="29" t="s">
        <v>119</v>
      </c>
      <c r="F84" s="62">
        <f>2056596.21+7494.74+0.05</f>
        <v>2064091</v>
      </c>
      <c r="G84" s="62">
        <v>1822862.84</v>
      </c>
      <c r="H84" s="38">
        <f t="shared" si="6"/>
        <v>0.88313104412547705</v>
      </c>
    </row>
    <row r="85" spans="1:9" s="13" customFormat="1" ht="46.8">
      <c r="A85" s="15"/>
      <c r="B85" s="15"/>
      <c r="C85" s="22"/>
      <c r="D85" s="42"/>
      <c r="E85" s="29" t="s">
        <v>120</v>
      </c>
      <c r="F85" s="62">
        <f>1499167.78+4111.79+0.43</f>
        <v>1503280</v>
      </c>
      <c r="G85" s="62"/>
      <c r="H85" s="38">
        <f t="shared" si="6"/>
        <v>0</v>
      </c>
    </row>
    <row r="86" spans="1:9" s="13" customFormat="1" ht="31.2">
      <c r="A86" s="15"/>
      <c r="B86" s="15"/>
      <c r="C86" s="22"/>
      <c r="D86" s="42"/>
      <c r="E86" s="29" t="s">
        <v>121</v>
      </c>
      <c r="F86" s="65">
        <v>1100020</v>
      </c>
      <c r="G86" s="65"/>
      <c r="H86" s="38">
        <f t="shared" si="6"/>
        <v>0</v>
      </c>
    </row>
    <row r="87" spans="1:9" s="13" customFormat="1" ht="46.8">
      <c r="A87" s="15"/>
      <c r="B87" s="15"/>
      <c r="C87" s="22"/>
      <c r="D87" s="42"/>
      <c r="E87" s="29" t="s">
        <v>122</v>
      </c>
      <c r="F87" s="65">
        <f>38956.27+2126763.13+0.6</f>
        <v>2165720</v>
      </c>
      <c r="G87" s="65">
        <v>38956.269999999997</v>
      </c>
      <c r="H87" s="38">
        <f t="shared" si="6"/>
        <v>1.7987676153888774E-2</v>
      </c>
    </row>
    <row r="88" spans="1:9" s="13" customFormat="1" ht="46.8">
      <c r="A88" s="15"/>
      <c r="B88" s="15"/>
      <c r="C88" s="22"/>
      <c r="D88" s="42"/>
      <c r="E88" s="29" t="s">
        <v>123</v>
      </c>
      <c r="F88" s="65">
        <f>1971768.08+7494.74+0.18</f>
        <v>1979263</v>
      </c>
      <c r="G88" s="65">
        <v>1805004.91</v>
      </c>
      <c r="H88" s="38">
        <f t="shared" si="6"/>
        <v>0.91195809248189852</v>
      </c>
    </row>
    <row r="89" spans="1:9" s="13" customFormat="1" ht="46.8">
      <c r="A89" s="15"/>
      <c r="B89" s="15"/>
      <c r="C89" s="22"/>
      <c r="D89" s="42"/>
      <c r="E89" s="29" t="s">
        <v>124</v>
      </c>
      <c r="F89" s="65">
        <f>1496810.5+4111.98+0.52</f>
        <v>1500923</v>
      </c>
      <c r="G89" s="65">
        <v>1214453.3</v>
      </c>
      <c r="H89" s="38">
        <f t="shared" si="6"/>
        <v>0.80913764396974397</v>
      </c>
    </row>
    <row r="90" spans="1:9" s="13" customFormat="1" ht="46.8">
      <c r="A90" s="15"/>
      <c r="B90" s="15"/>
      <c r="C90" s="22"/>
      <c r="D90" s="42"/>
      <c r="E90" s="29" t="s">
        <v>125</v>
      </c>
      <c r="F90" s="65">
        <f>1496069.17+4111.98+0.85</f>
        <v>1500182</v>
      </c>
      <c r="G90" s="65"/>
      <c r="H90" s="38">
        <f t="shared" si="6"/>
        <v>0</v>
      </c>
    </row>
    <row r="91" spans="1:9" s="13" customFormat="1" ht="46.8">
      <c r="A91" s="15"/>
      <c r="B91" s="15"/>
      <c r="C91" s="22"/>
      <c r="D91" s="42"/>
      <c r="E91" s="29" t="s">
        <v>126</v>
      </c>
      <c r="F91" s="65">
        <f>1499053.98+4111.79+0.23</f>
        <v>1503166</v>
      </c>
      <c r="G91" s="65"/>
      <c r="H91" s="38">
        <f t="shared" si="6"/>
        <v>0</v>
      </c>
    </row>
    <row r="92" spans="1:9" s="13" customFormat="1" ht="46.8">
      <c r="A92" s="15"/>
      <c r="B92" s="15"/>
      <c r="C92" s="22"/>
      <c r="D92" s="42"/>
      <c r="E92" s="29" t="s">
        <v>127</v>
      </c>
      <c r="F92" s="65">
        <f>1444898.12+3747.36+0.52</f>
        <v>1448646.0000000002</v>
      </c>
      <c r="G92" s="65"/>
      <c r="H92" s="38">
        <f t="shared" si="6"/>
        <v>0</v>
      </c>
    </row>
    <row r="93" spans="1:9" s="13" customFormat="1" ht="31.2">
      <c r="A93" s="15"/>
      <c r="B93" s="15"/>
      <c r="C93" s="22"/>
      <c r="D93" s="42"/>
      <c r="E93" s="29" t="s">
        <v>128</v>
      </c>
      <c r="F93" s="65">
        <v>1100020</v>
      </c>
      <c r="G93" s="65"/>
      <c r="H93" s="38">
        <f t="shared" si="6"/>
        <v>0</v>
      </c>
    </row>
    <row r="94" spans="1:9" s="13" customFormat="1" ht="46.8">
      <c r="A94" s="15"/>
      <c r="B94" s="15"/>
      <c r="C94" s="22"/>
      <c r="D94" s="42"/>
      <c r="E94" s="29" t="s">
        <v>129</v>
      </c>
      <c r="F94" s="65">
        <f>1449158.58+3747.36+0.06</f>
        <v>1452906.0000000002</v>
      </c>
      <c r="G94" s="65">
        <v>1156781.27</v>
      </c>
      <c r="H94" s="38">
        <f t="shared" si="6"/>
        <v>0.79618452260504113</v>
      </c>
    </row>
    <row r="95" spans="1:9" s="13" customFormat="1" ht="62.4">
      <c r="A95" s="15"/>
      <c r="B95" s="15"/>
      <c r="C95" s="22"/>
      <c r="D95" s="42"/>
      <c r="E95" s="17" t="s">
        <v>98</v>
      </c>
      <c r="F95" s="65">
        <f>6097000</f>
        <v>6097000</v>
      </c>
      <c r="G95" s="65"/>
      <c r="H95" s="38">
        <f t="shared" si="6"/>
        <v>0</v>
      </c>
    </row>
    <row r="96" spans="1:9" s="13" customFormat="1" ht="62.4">
      <c r="A96" s="16">
        <v>1516050</v>
      </c>
      <c r="B96" s="22" t="s">
        <v>99</v>
      </c>
      <c r="C96" s="22" t="s">
        <v>18</v>
      </c>
      <c r="D96" s="17" t="s">
        <v>100</v>
      </c>
      <c r="E96" s="18" t="s">
        <v>24</v>
      </c>
      <c r="F96" s="65">
        <f>F97</f>
        <v>1194873</v>
      </c>
      <c r="G96" s="65">
        <f>G97</f>
        <v>1194872.49</v>
      </c>
      <c r="H96" s="38">
        <f t="shared" si="6"/>
        <v>0.99999957317639609</v>
      </c>
    </row>
    <row r="97" spans="1:8" s="13" customFormat="1" ht="62.4">
      <c r="A97" s="15"/>
      <c r="B97" s="15"/>
      <c r="C97" s="22"/>
      <c r="D97" s="42"/>
      <c r="E97" s="30" t="s">
        <v>65</v>
      </c>
      <c r="F97" s="65">
        <v>1194873</v>
      </c>
      <c r="G97" s="65">
        <v>1194872.49</v>
      </c>
      <c r="H97" s="38">
        <f t="shared" si="6"/>
        <v>0.99999957317639609</v>
      </c>
    </row>
    <row r="98" spans="1:8" s="13" customFormat="1" ht="31.2">
      <c r="A98" s="15" t="s">
        <v>207</v>
      </c>
      <c r="B98" s="15" t="s">
        <v>208</v>
      </c>
      <c r="C98" s="22" t="s">
        <v>142</v>
      </c>
      <c r="D98" s="23" t="s">
        <v>209</v>
      </c>
      <c r="E98" s="18" t="s">
        <v>24</v>
      </c>
      <c r="F98" s="65">
        <f>SUM(F99:F102)</f>
        <v>10001250</v>
      </c>
      <c r="G98" s="65">
        <f>SUM(G99:G102)</f>
        <v>0</v>
      </c>
      <c r="H98" s="38">
        <f t="shared" si="6"/>
        <v>0</v>
      </c>
    </row>
    <row r="99" spans="1:8" s="13" customFormat="1" ht="46.8">
      <c r="A99" s="15"/>
      <c r="B99" s="15"/>
      <c r="C99" s="22"/>
      <c r="D99" s="42"/>
      <c r="E99" s="17" t="s">
        <v>210</v>
      </c>
      <c r="F99" s="65">
        <v>600000</v>
      </c>
      <c r="G99" s="65"/>
      <c r="H99" s="38">
        <f t="shared" si="6"/>
        <v>0</v>
      </c>
    </row>
    <row r="100" spans="1:8" ht="62.4">
      <c r="A100" s="15"/>
      <c r="B100" s="15"/>
      <c r="C100" s="22"/>
      <c r="D100" s="42"/>
      <c r="E100" s="17" t="s">
        <v>215</v>
      </c>
      <c r="F100" s="62">
        <v>4634170</v>
      </c>
      <c r="G100" s="62"/>
      <c r="H100" s="38">
        <f t="shared" si="6"/>
        <v>0</v>
      </c>
    </row>
    <row r="101" spans="1:8" ht="46.8">
      <c r="A101" s="15"/>
      <c r="B101" s="15"/>
      <c r="C101" s="22"/>
      <c r="D101" s="42"/>
      <c r="E101" s="53" t="s">
        <v>216</v>
      </c>
      <c r="F101" s="62">
        <v>1392820</v>
      </c>
      <c r="G101" s="62"/>
      <c r="H101" s="38">
        <f t="shared" si="6"/>
        <v>0</v>
      </c>
    </row>
    <row r="102" spans="1:8" ht="46.8">
      <c r="A102" s="15"/>
      <c r="B102" s="15"/>
      <c r="C102" s="22"/>
      <c r="D102" s="42"/>
      <c r="E102" s="53" t="s">
        <v>217</v>
      </c>
      <c r="F102" s="62">
        <v>3374260</v>
      </c>
      <c r="G102" s="62"/>
      <c r="H102" s="38">
        <f t="shared" si="6"/>
        <v>0</v>
      </c>
    </row>
    <row r="103" spans="1:8" ht="31.2">
      <c r="A103" s="16">
        <v>1517370</v>
      </c>
      <c r="B103" s="22" t="s">
        <v>55</v>
      </c>
      <c r="C103" s="22" t="s">
        <v>20</v>
      </c>
      <c r="D103" s="17" t="s">
        <v>38</v>
      </c>
      <c r="E103" s="18" t="s">
        <v>24</v>
      </c>
      <c r="F103" s="65">
        <f>SUM(F104:F106)</f>
        <v>27740698</v>
      </c>
      <c r="G103" s="65">
        <f>SUM(G104:G106)</f>
        <v>0</v>
      </c>
      <c r="H103" s="38">
        <f t="shared" si="6"/>
        <v>0</v>
      </c>
    </row>
    <row r="104" spans="1:8" ht="31.2">
      <c r="A104" s="15"/>
      <c r="B104" s="15"/>
      <c r="C104" s="22"/>
      <c r="D104" s="42"/>
      <c r="E104" s="29" t="s">
        <v>211</v>
      </c>
      <c r="F104" s="65">
        <f>7664771+2000000+17920251</f>
        <v>27585022</v>
      </c>
      <c r="G104" s="65"/>
      <c r="H104" s="38">
        <f t="shared" si="6"/>
        <v>0</v>
      </c>
    </row>
    <row r="105" spans="1:8" ht="31.2">
      <c r="A105" s="15"/>
      <c r="B105" s="15"/>
      <c r="C105" s="22"/>
      <c r="D105" s="42"/>
      <c r="E105" s="29" t="s">
        <v>101</v>
      </c>
      <c r="F105" s="65">
        <v>37107</v>
      </c>
      <c r="G105" s="65"/>
      <c r="H105" s="38">
        <f t="shared" si="6"/>
        <v>0</v>
      </c>
    </row>
    <row r="106" spans="1:8" ht="62.4">
      <c r="A106" s="15"/>
      <c r="B106" s="15"/>
      <c r="C106" s="22"/>
      <c r="D106" s="42"/>
      <c r="E106" s="23" t="s">
        <v>102</v>
      </c>
      <c r="F106" s="65">
        <v>118569</v>
      </c>
      <c r="G106" s="65"/>
      <c r="H106" s="38">
        <f t="shared" si="6"/>
        <v>0</v>
      </c>
    </row>
    <row r="107" spans="1:8">
      <c r="A107" s="15" t="s">
        <v>56</v>
      </c>
      <c r="B107" s="15" t="s">
        <v>57</v>
      </c>
      <c r="C107" s="22" t="s">
        <v>34</v>
      </c>
      <c r="D107" s="17" t="s">
        <v>35</v>
      </c>
      <c r="E107" s="18" t="s">
        <v>24</v>
      </c>
      <c r="F107" s="65">
        <f>SUM(F108:F113)</f>
        <v>7720091</v>
      </c>
      <c r="G107" s="65">
        <f>SUM(G108:G113)</f>
        <v>5675313.7000000002</v>
      </c>
      <c r="H107" s="38">
        <f t="shared" si="6"/>
        <v>0.73513559619957847</v>
      </c>
    </row>
    <row r="108" spans="1:8" ht="46.8">
      <c r="A108" s="15"/>
      <c r="B108" s="15"/>
      <c r="C108" s="22"/>
      <c r="D108" s="42"/>
      <c r="E108" s="17" t="s">
        <v>130</v>
      </c>
      <c r="F108" s="65">
        <v>15339</v>
      </c>
      <c r="G108" s="65">
        <v>6015.5</v>
      </c>
      <c r="H108" s="38">
        <f t="shared" si="6"/>
        <v>0.39217028489471284</v>
      </c>
    </row>
    <row r="109" spans="1:8" ht="46.8">
      <c r="A109" s="15"/>
      <c r="B109" s="15"/>
      <c r="C109" s="22"/>
      <c r="D109" s="42"/>
      <c r="E109" s="17" t="s">
        <v>131</v>
      </c>
      <c r="F109" s="65">
        <v>73574</v>
      </c>
      <c r="G109" s="65">
        <v>54375.05</v>
      </c>
      <c r="H109" s="38">
        <f t="shared" si="6"/>
        <v>0.73905251855274967</v>
      </c>
    </row>
    <row r="110" spans="1:8" ht="46.8">
      <c r="A110" s="15"/>
      <c r="B110" s="15"/>
      <c r="C110" s="22"/>
      <c r="D110" s="42"/>
      <c r="E110" s="17" t="s">
        <v>132</v>
      </c>
      <c r="F110" s="65">
        <v>14952</v>
      </c>
      <c r="G110" s="65">
        <v>5774.85</v>
      </c>
      <c r="H110" s="38">
        <f t="shared" si="6"/>
        <v>0.3862259229534511</v>
      </c>
    </row>
    <row r="111" spans="1:8" ht="46.8">
      <c r="A111" s="15"/>
      <c r="B111" s="15"/>
      <c r="C111" s="22"/>
      <c r="D111" s="42"/>
      <c r="E111" s="17" t="s">
        <v>133</v>
      </c>
      <c r="F111" s="65">
        <v>17357</v>
      </c>
      <c r="G111" s="65">
        <v>7792.94</v>
      </c>
      <c r="H111" s="38">
        <f t="shared" si="6"/>
        <v>0.44897966238405251</v>
      </c>
    </row>
    <row r="112" spans="1:8" ht="78">
      <c r="A112" s="15"/>
      <c r="B112" s="15"/>
      <c r="C112" s="22"/>
      <c r="D112" s="42"/>
      <c r="E112" s="29" t="s">
        <v>58</v>
      </c>
      <c r="F112" s="65">
        <v>4787741</v>
      </c>
      <c r="G112" s="65">
        <v>3802795.99</v>
      </c>
      <c r="H112" s="38">
        <f t="shared" si="6"/>
        <v>0.79427771677707715</v>
      </c>
    </row>
    <row r="113" spans="1:8" ht="62.4">
      <c r="A113" s="15"/>
      <c r="B113" s="15"/>
      <c r="C113" s="22"/>
      <c r="D113" s="42"/>
      <c r="E113" s="29" t="s">
        <v>103</v>
      </c>
      <c r="F113" s="65">
        <v>2811128</v>
      </c>
      <c r="G113" s="65">
        <v>1798559.37</v>
      </c>
      <c r="H113" s="38">
        <f t="shared" si="6"/>
        <v>0.63979988460148385</v>
      </c>
    </row>
    <row r="114" spans="1:8" ht="31.2">
      <c r="A114" s="15" t="s">
        <v>40</v>
      </c>
      <c r="B114" s="15" t="s">
        <v>41</v>
      </c>
      <c r="C114" s="22" t="s">
        <v>46</v>
      </c>
      <c r="D114" s="17" t="s">
        <v>42</v>
      </c>
      <c r="E114" s="18" t="s">
        <v>24</v>
      </c>
      <c r="F114" s="65">
        <f>SUM(F115:F117)</f>
        <v>12284778</v>
      </c>
      <c r="G114" s="65">
        <f>SUM(G115:G117)</f>
        <v>9271740.9900000002</v>
      </c>
      <c r="H114" s="38">
        <f t="shared" si="6"/>
        <v>0.75473410996926438</v>
      </c>
    </row>
    <row r="115" spans="1:8" ht="93.6">
      <c r="A115" s="15"/>
      <c r="B115" s="15"/>
      <c r="C115" s="22"/>
      <c r="D115" s="42"/>
      <c r="E115" s="29" t="s">
        <v>104</v>
      </c>
      <c r="F115" s="62">
        <f>3707457-49000</f>
        <v>3658457</v>
      </c>
      <c r="G115" s="62">
        <v>3575938.72</v>
      </c>
      <c r="H115" s="38">
        <f t="shared" si="6"/>
        <v>0.9774445128096354</v>
      </c>
    </row>
    <row r="116" spans="1:8" ht="78">
      <c r="A116" s="15"/>
      <c r="B116" s="15"/>
      <c r="C116" s="22"/>
      <c r="D116" s="17"/>
      <c r="E116" s="29" t="s">
        <v>59</v>
      </c>
      <c r="F116" s="65">
        <v>1520477</v>
      </c>
      <c r="G116" s="65">
        <v>1238271.78</v>
      </c>
      <c r="H116" s="38">
        <f t="shared" si="6"/>
        <v>0.81439691623089339</v>
      </c>
    </row>
    <row r="117" spans="1:8" ht="93.6">
      <c r="A117" s="15"/>
      <c r="B117" s="15"/>
      <c r="C117" s="22"/>
      <c r="D117" s="17"/>
      <c r="E117" s="17" t="s">
        <v>76</v>
      </c>
      <c r="F117" s="65">
        <v>7105844</v>
      </c>
      <c r="G117" s="65">
        <v>4457530.49</v>
      </c>
      <c r="H117" s="38">
        <f t="shared" si="6"/>
        <v>0.62730486202624214</v>
      </c>
    </row>
    <row r="118" spans="1:8">
      <c r="A118" s="24" t="s">
        <v>7</v>
      </c>
      <c r="B118" s="15" t="s">
        <v>49</v>
      </c>
      <c r="C118" s="15" t="s">
        <v>49</v>
      </c>
      <c r="D118" s="71" t="s">
        <v>60</v>
      </c>
      <c r="E118" s="72"/>
      <c r="F118" s="61">
        <f>F119</f>
        <v>50202767</v>
      </c>
      <c r="G118" s="61">
        <f>G119</f>
        <v>46368391</v>
      </c>
      <c r="H118" s="37">
        <f t="shared" si="6"/>
        <v>0.9236222178749629</v>
      </c>
    </row>
    <row r="119" spans="1:8">
      <c r="A119" s="24" t="s">
        <v>8</v>
      </c>
      <c r="B119" s="15" t="s">
        <v>49</v>
      </c>
      <c r="C119" s="15" t="s">
        <v>49</v>
      </c>
      <c r="D119" s="71" t="s">
        <v>60</v>
      </c>
      <c r="E119" s="72"/>
      <c r="F119" s="61">
        <f>F120+F123</f>
        <v>50202767</v>
      </c>
      <c r="G119" s="61">
        <f>G120+G123</f>
        <v>46368391</v>
      </c>
      <c r="H119" s="37">
        <f t="shared" si="6"/>
        <v>0.9236222178749629</v>
      </c>
    </row>
    <row r="120" spans="1:8">
      <c r="A120" s="15" t="s">
        <v>161</v>
      </c>
      <c r="B120" s="16" t="s">
        <v>162</v>
      </c>
      <c r="C120" s="48" t="s">
        <v>9</v>
      </c>
      <c r="D120" s="23" t="s">
        <v>163</v>
      </c>
      <c r="E120" s="23" t="s">
        <v>105</v>
      </c>
      <c r="F120" s="62">
        <f>F121+F122</f>
        <v>3300000</v>
      </c>
      <c r="G120" s="62">
        <f>G121+G122</f>
        <v>1800000</v>
      </c>
      <c r="H120" s="37">
        <f t="shared" si="6"/>
        <v>0.54545454545454541</v>
      </c>
    </row>
    <row r="121" spans="1:8" ht="62.4">
      <c r="A121" s="19"/>
      <c r="B121" s="20"/>
      <c r="C121" s="54"/>
      <c r="D121" s="55"/>
      <c r="E121" s="45" t="s">
        <v>108</v>
      </c>
      <c r="F121" s="67">
        <v>1800000</v>
      </c>
      <c r="G121" s="67">
        <v>1800000</v>
      </c>
      <c r="H121" s="39">
        <f t="shared" si="6"/>
        <v>1</v>
      </c>
    </row>
    <row r="122" spans="1:8" ht="109.2">
      <c r="A122" s="19"/>
      <c r="B122" s="20"/>
      <c r="C122" s="54"/>
      <c r="D122" s="55"/>
      <c r="E122" s="45" t="s">
        <v>212</v>
      </c>
      <c r="F122" s="67">
        <v>1500000</v>
      </c>
      <c r="G122" s="67"/>
      <c r="H122" s="39">
        <f t="shared" si="6"/>
        <v>0</v>
      </c>
    </row>
    <row r="123" spans="1:8" ht="46.8">
      <c r="A123" s="15" t="s">
        <v>61</v>
      </c>
      <c r="B123" s="16" t="s">
        <v>62</v>
      </c>
      <c r="C123" s="32" t="s">
        <v>9</v>
      </c>
      <c r="D123" s="23" t="s">
        <v>43</v>
      </c>
      <c r="E123" s="23" t="s">
        <v>105</v>
      </c>
      <c r="F123" s="62">
        <f>F125+F126+F127+F128</f>
        <v>46902767</v>
      </c>
      <c r="G123" s="62">
        <f>G125+G126+G127+G128</f>
        <v>44568391</v>
      </c>
      <c r="H123" s="38">
        <f t="shared" si="6"/>
        <v>0.95022946087594362</v>
      </c>
    </row>
    <row r="124" spans="1:8">
      <c r="A124" s="15"/>
      <c r="B124" s="16"/>
      <c r="C124" s="32"/>
      <c r="D124" s="23"/>
      <c r="E124" s="23" t="s">
        <v>106</v>
      </c>
      <c r="F124" s="67"/>
      <c r="G124" s="67"/>
      <c r="H124" s="37"/>
    </row>
    <row r="125" spans="1:8" ht="93.6">
      <c r="A125" s="19"/>
      <c r="B125" s="19"/>
      <c r="C125" s="20"/>
      <c r="D125" s="21"/>
      <c r="E125" s="45" t="s">
        <v>107</v>
      </c>
      <c r="F125" s="67">
        <f>1300000+6800000+1902000+4750000+1943963+2204400+5202404+4100000</f>
        <v>28202767</v>
      </c>
      <c r="G125" s="67">
        <v>25940767</v>
      </c>
      <c r="H125" s="39">
        <f t="shared" si="6"/>
        <v>0.91979510379247542</v>
      </c>
    </row>
    <row r="126" spans="1:8" ht="62.4">
      <c r="A126" s="19"/>
      <c r="B126" s="19"/>
      <c r="C126" s="20"/>
      <c r="D126" s="21"/>
      <c r="E126" s="45" t="s">
        <v>108</v>
      </c>
      <c r="F126" s="67">
        <f>5000000+3200000+8000000</f>
        <v>16200000</v>
      </c>
      <c r="G126" s="67">
        <v>16200000</v>
      </c>
      <c r="H126" s="39">
        <f t="shared" si="6"/>
        <v>1</v>
      </c>
    </row>
    <row r="127" spans="1:8" ht="46.8">
      <c r="A127" s="19"/>
      <c r="B127" s="19"/>
      <c r="C127" s="20"/>
      <c r="D127" s="21"/>
      <c r="E127" s="45" t="s">
        <v>109</v>
      </c>
      <c r="F127" s="67">
        <v>1550000</v>
      </c>
      <c r="G127" s="67">
        <v>1477624</v>
      </c>
      <c r="H127" s="39">
        <f t="shared" si="6"/>
        <v>0.95330580645161289</v>
      </c>
    </row>
    <row r="128" spans="1:8" ht="46.8">
      <c r="A128" s="19"/>
      <c r="B128" s="19"/>
      <c r="C128" s="20"/>
      <c r="D128" s="21"/>
      <c r="E128" s="45" t="s">
        <v>164</v>
      </c>
      <c r="F128" s="67">
        <v>950000</v>
      </c>
      <c r="G128" s="67">
        <v>950000</v>
      </c>
      <c r="H128" s="39">
        <f t="shared" si="6"/>
        <v>1</v>
      </c>
    </row>
    <row r="129" spans="1:8">
      <c r="A129" s="33"/>
      <c r="B129" s="14"/>
      <c r="C129" s="14"/>
      <c r="D129" s="34"/>
      <c r="E129" s="35" t="s">
        <v>10</v>
      </c>
      <c r="F129" s="68">
        <f>F10+F25+F46+F50+F79+F118</f>
        <v>182179324.36000001</v>
      </c>
      <c r="G129" s="68">
        <f>G10+G25+G46+G50+G79+G118</f>
        <v>86917025.310000002</v>
      </c>
      <c r="H129" s="37">
        <f t="shared" si="6"/>
        <v>0.4770959910809936</v>
      </c>
    </row>
    <row r="131" spans="1:8">
      <c r="D131" s="1" t="s">
        <v>44</v>
      </c>
      <c r="F131" s="1" t="s">
        <v>45</v>
      </c>
    </row>
    <row r="134" spans="1:8">
      <c r="E134" s="59" t="s">
        <v>221</v>
      </c>
      <c r="F134" s="49">
        <f>[1]Інвест!$F$24</f>
        <v>154917902</v>
      </c>
      <c r="G134" s="49">
        <f>[1]Інвест!$G$24</f>
        <v>372583.1</v>
      </c>
    </row>
    <row r="135" spans="1:8">
      <c r="E135" s="59" t="s">
        <v>222</v>
      </c>
      <c r="F135" s="60">
        <f>F129+F134</f>
        <v>337097226.36000001</v>
      </c>
      <c r="G135" s="60">
        <f t="shared" ref="G135" si="8">G129+G134</f>
        <v>87289608.409999996</v>
      </c>
      <c r="H135" s="60"/>
    </row>
    <row r="137" spans="1:8">
      <c r="E137" s="59" t="s">
        <v>223</v>
      </c>
      <c r="F137" s="49">
        <f>'[2]2024'!$H$187</f>
        <v>337097226.36000001</v>
      </c>
      <c r="G137" s="49">
        <f>'[2]2024'!$L$187</f>
        <v>87289608.409999996</v>
      </c>
    </row>
    <row r="138" spans="1:8">
      <c r="E138" s="59" t="s">
        <v>224</v>
      </c>
      <c r="F138" s="60">
        <f>F135-F137</f>
        <v>0</v>
      </c>
      <c r="G138" s="60">
        <f>G135-G137</f>
        <v>0</v>
      </c>
    </row>
  </sheetData>
  <customSheetViews>
    <customSheetView guid="{6174BFC3-8EFC-491A-B8A3-28DB8186A904}" scale="80" showPageBreaks="1" fitToPage="1" printArea="1" view="pageBreakPreview">
      <selection activeCell="G142" sqref="G142"/>
      <rowBreaks count="1" manualBreakCount="1">
        <brk id="101" max="7" man="1"/>
      </rowBreaks>
      <pageMargins left="0.19685039370078741" right="0.19685039370078741" top="0.19685039370078741" bottom="0.19685039370078741" header="0.19685039370078741" footer="0.19685039370078741"/>
      <pageSetup paperSize="9" scale="47" fitToHeight="36" orientation="portrait" r:id="rId1"/>
    </customSheetView>
    <customSheetView guid="{71B4C162-96A9-4CA7-B3F0-0C57B820C4BA}" scale="80" showPageBreaks="1" printArea="1" view="pageBreakPreview" topLeftCell="A48">
      <selection activeCell="G35" sqref="G35"/>
      <rowBreaks count="1" manualBreakCount="1">
        <brk id="102" max="7" man="1"/>
      </rowBreaks>
      <pageMargins left="0.19685039370078741" right="0.19685039370078741" top="0.19685039370078741" bottom="0.19685039370078741" header="0.19685039370078741" footer="0.19685039370078741"/>
      <pageSetup paperSize="9" scale="70" fitToHeight="35" orientation="landscape" r:id="rId2"/>
    </customSheetView>
    <customSheetView guid="{9D5EF3DD-3431-45D7-BCA1-2268CCD9FD10}" scale="80" showPageBreaks="1" printArea="1" view="pageBreakPreview">
      <selection activeCell="G407" sqref="G407"/>
      <rowBreaks count="1" manualBreakCount="1">
        <brk id="102" max="7" man="1"/>
      </rowBreaks>
      <pageMargins left="0.19685039370078741" right="0.19685039370078741" top="0.19685039370078741" bottom="0.19685039370078741" header="0.19685039370078741" footer="0.19685039370078741"/>
      <pageSetup paperSize="9" scale="70" fitToHeight="35" orientation="landscape" r:id="rId3"/>
    </customSheetView>
    <customSheetView guid="{02AC496F-F7D9-465B-9A66-D319977CD4A2}" scale="80" showPageBreaks="1" printArea="1" view="pageBreakPreview" topLeftCell="A88">
      <selection activeCell="K94" sqref="K94"/>
      <rowBreaks count="1" manualBreakCount="1">
        <brk id="102" max="7" man="1"/>
      </rowBreaks>
      <pageMargins left="0.19685039370078741" right="0.19685039370078741" top="0.19685039370078741" bottom="0.19685039370078741" header="0.19685039370078741" footer="0.19685039370078741"/>
      <pageSetup paperSize="9" scale="70" fitToHeight="35" orientation="landscape" r:id="rId4"/>
    </customSheetView>
  </customSheetViews>
  <mergeCells count="27">
    <mergeCell ref="F1:H1"/>
    <mergeCell ref="A7:A8"/>
    <mergeCell ref="B7:B8"/>
    <mergeCell ref="C7:C8"/>
    <mergeCell ref="D7:D8"/>
    <mergeCell ref="E7:E8"/>
    <mergeCell ref="F2:H2"/>
    <mergeCell ref="F3:H3"/>
    <mergeCell ref="A4:H4"/>
    <mergeCell ref="A5:B5"/>
    <mergeCell ref="D25:E25"/>
    <mergeCell ref="D26:E26"/>
    <mergeCell ref="F7:F8"/>
    <mergeCell ref="G7:G8"/>
    <mergeCell ref="H7:H8"/>
    <mergeCell ref="D10:E10"/>
    <mergeCell ref="D11:E11"/>
    <mergeCell ref="D46:E46"/>
    <mergeCell ref="D47:E47"/>
    <mergeCell ref="D48:E48"/>
    <mergeCell ref="D49:E49"/>
    <mergeCell ref="D50:E50"/>
    <mergeCell ref="D51:E51"/>
    <mergeCell ref="D79:E79"/>
    <mergeCell ref="D80:E80"/>
    <mergeCell ref="D118:E118"/>
    <mergeCell ref="D119:E119"/>
  </mergeCells>
  <pageMargins left="0.39370078740157483" right="0.39370078740157483" top="0.59055118110236227" bottom="0.59055118110236227" header="0.19685039370078741" footer="0.19685039370078741"/>
  <pageSetup paperSize="9" scale="47" fitToHeight="36" orientation="portrait" r:id="rId5"/>
  <headerFooter differentFirst="1" alignWithMargins="0">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БР</vt:lpstr>
      <vt:lpstr>БР!Заголовки_для_друку</vt:lpstr>
      <vt:lpstr>БР!Область_друку</vt:lpstr>
    </vt:vector>
  </TitlesOfParts>
  <Company>Grizli777</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220FU6</cp:lastModifiedBy>
  <cp:lastPrinted>2024-10-16T13:02:55Z</cp:lastPrinted>
  <dcterms:created xsi:type="dcterms:W3CDTF">2019-04-10T18:00:09Z</dcterms:created>
  <dcterms:modified xsi:type="dcterms:W3CDTF">2024-10-16T13:03:04Z</dcterms:modified>
</cp:coreProperties>
</file>