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86 Виконання бюджету 9 м\"/>
    </mc:Choice>
  </mc:AlternateContent>
  <xr:revisionPtr revIDLastSave="0" documentId="13_ncr:1_{7D539E81-40A5-411F-9563-36EA34B618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4" r:id="rId1"/>
  </sheets>
  <definedNames>
    <definedName name="Z_22648713_93C4_4BCC_9593_E6D578C36006_.wvu.PrintArea" localSheetId="0" hidden="1">'2024'!$A$1:$P$140</definedName>
    <definedName name="Z_22648713_93C4_4BCC_9593_E6D578C36006_.wvu.PrintTitles" localSheetId="0" hidden="1">'2024'!$10:$15</definedName>
    <definedName name="Z_22648713_93C4_4BCC_9593_E6D578C36006_.wvu.Rows" localSheetId="0" hidden="1">'2024'!$27:$27,'2024'!#REF!</definedName>
    <definedName name="_xlnm.Print_Titles" localSheetId="0">'2024'!$10:$15</definedName>
    <definedName name="_xlnm.Print_Area" localSheetId="0">'2024'!$A$1:$P$200</definedName>
  </definedNames>
  <calcPr calcId="191029"/>
  <customWorkbookViews>
    <customWorkbookView name="Администратор - Личное представление" guid="{22648713-93C4-4BCC-9593-E6D578C36006}" mergeInterval="0" personalView="1" maximized="1" xWindow="1" yWindow="1" windowWidth="1276" windowHeight="767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4" l="1"/>
  <c r="K195" i="4"/>
  <c r="K191" i="4"/>
  <c r="G191" i="4"/>
  <c r="K57" i="4"/>
  <c r="K79" i="4"/>
  <c r="O79" i="4" s="1"/>
  <c r="G79" i="4"/>
  <c r="O191" i="4" l="1"/>
  <c r="G189" i="4"/>
  <c r="K106" i="4"/>
  <c r="K55" i="4"/>
  <c r="K52" i="4"/>
  <c r="K51" i="4"/>
  <c r="O51" i="4" s="1"/>
  <c r="K50" i="4"/>
  <c r="K47" i="4" s="1"/>
  <c r="K19" i="4"/>
  <c r="G51" i="4"/>
  <c r="G47" i="4" s="1"/>
  <c r="H172" i="4"/>
  <c r="L157" i="4"/>
  <c r="K157" i="4"/>
  <c r="L156" i="4"/>
  <c r="G155" i="4"/>
  <c r="H155" i="4" s="1"/>
  <c r="L153" i="4"/>
  <c r="H153" i="4"/>
  <c r="G152" i="4"/>
  <c r="G195" i="4" s="1"/>
  <c r="L151" i="4"/>
  <c r="L150" i="4"/>
  <c r="H148" i="4"/>
  <c r="L138" i="4"/>
  <c r="G138" i="4"/>
  <c r="H132" i="4"/>
  <c r="H131" i="4"/>
  <c r="H130" i="4"/>
  <c r="L129" i="4"/>
  <c r="L94" i="4"/>
  <c r="L93" i="4"/>
  <c r="H94" i="4"/>
  <c r="H93" i="4"/>
  <c r="O94" i="4"/>
  <c r="N94" i="4"/>
  <c r="I94" i="4"/>
  <c r="E94" i="4"/>
  <c r="O93" i="4"/>
  <c r="N93" i="4"/>
  <c r="I93" i="4"/>
  <c r="E93" i="4"/>
  <c r="L191" i="4" l="1"/>
  <c r="L79" i="4"/>
  <c r="H152" i="4"/>
  <c r="P93" i="4"/>
  <c r="H191" i="4"/>
  <c r="H79" i="4"/>
  <c r="H138" i="4"/>
  <c r="P94" i="4"/>
  <c r="M94" i="4"/>
  <c r="M93" i="4"/>
  <c r="L77" i="4" l="1"/>
  <c r="P62" i="4" l="1"/>
  <c r="O62" i="4"/>
  <c r="N62" i="4"/>
  <c r="I62" i="4"/>
  <c r="E62" i="4"/>
  <c r="M62" i="4" l="1"/>
  <c r="H51" i="4" l="1"/>
  <c r="O36" i="4"/>
  <c r="N36" i="4"/>
  <c r="I36" i="4"/>
  <c r="H36" i="4"/>
  <c r="P36" i="4" s="1"/>
  <c r="E36" i="4"/>
  <c r="M36" i="4" l="1"/>
  <c r="H35" i="4" l="1"/>
  <c r="H195" i="4" s="1"/>
  <c r="K25" i="4"/>
  <c r="L25" i="4" s="1"/>
  <c r="H25" i="4"/>
  <c r="J193" i="4" l="1"/>
  <c r="J192" i="4"/>
  <c r="L172" i="4" l="1"/>
  <c r="K172" i="4"/>
  <c r="J172" i="4"/>
  <c r="I179" i="4"/>
  <c r="E179" i="4"/>
  <c r="J165" i="4" l="1"/>
  <c r="F165" i="4"/>
  <c r="N142" i="4"/>
  <c r="N141" i="4"/>
  <c r="N140" i="4"/>
  <c r="I140" i="4"/>
  <c r="I141" i="4"/>
  <c r="I142" i="4"/>
  <c r="E141" i="4"/>
  <c r="E142" i="4"/>
  <c r="M142" i="4" l="1"/>
  <c r="M141" i="4"/>
  <c r="J138" i="4"/>
  <c r="J196" i="4" s="1"/>
  <c r="F138" i="4"/>
  <c r="F196" i="4" s="1"/>
  <c r="J136" i="4"/>
  <c r="J195" i="4" s="1"/>
  <c r="F136" i="4"/>
  <c r="F195" i="4" s="1"/>
  <c r="J132" i="4"/>
  <c r="J123" i="4" s="1"/>
  <c r="F132" i="4"/>
  <c r="F123" i="4" s="1"/>
  <c r="J117" i="4" l="1"/>
  <c r="J96" i="4"/>
  <c r="F96" i="4"/>
  <c r="N76" i="4" l="1"/>
  <c r="I76" i="4"/>
  <c r="E76" i="4"/>
  <c r="E66" i="4"/>
  <c r="E65" i="4"/>
  <c r="I66" i="4"/>
  <c r="I65" i="4"/>
  <c r="N66" i="4"/>
  <c r="N65" i="4"/>
  <c r="M76" i="4" l="1"/>
  <c r="M65" i="4"/>
  <c r="M66" i="4"/>
  <c r="J63" i="4" l="1"/>
  <c r="I63" i="4" s="1"/>
  <c r="F63" i="4"/>
  <c r="N63" i="4" l="1"/>
  <c r="E63" i="4"/>
  <c r="M63" i="4" s="1"/>
  <c r="J53" i="4" l="1"/>
  <c r="F53" i="4"/>
  <c r="J28" i="4"/>
  <c r="J190" i="4" s="1"/>
  <c r="J189" i="4" l="1"/>
  <c r="J47" i="4"/>
  <c r="N19" i="4"/>
  <c r="P19" i="4"/>
  <c r="N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O28" i="4"/>
  <c r="P28" i="4"/>
  <c r="N29" i="4"/>
  <c r="O29" i="4"/>
  <c r="P29" i="4"/>
  <c r="N31" i="4"/>
  <c r="O31" i="4"/>
  <c r="P31" i="4"/>
  <c r="N32" i="4"/>
  <c r="O32" i="4"/>
  <c r="P32" i="4"/>
  <c r="N33" i="4"/>
  <c r="O33" i="4"/>
  <c r="P33" i="4"/>
  <c r="N34" i="4"/>
  <c r="O34" i="4"/>
  <c r="P34" i="4"/>
  <c r="N35" i="4"/>
  <c r="O35" i="4"/>
  <c r="P35" i="4"/>
  <c r="N37" i="4"/>
  <c r="O37" i="4"/>
  <c r="P37" i="4"/>
  <c r="N38" i="4"/>
  <c r="O38" i="4"/>
  <c r="P38" i="4"/>
  <c r="N39" i="4"/>
  <c r="O39" i="4"/>
  <c r="P39" i="4"/>
  <c r="N40" i="4"/>
  <c r="O40" i="4"/>
  <c r="P40" i="4"/>
  <c r="N41" i="4"/>
  <c r="O41" i="4"/>
  <c r="P41" i="4"/>
  <c r="N42" i="4"/>
  <c r="O42" i="4"/>
  <c r="P42" i="4"/>
  <c r="N43" i="4"/>
  <c r="N44" i="4"/>
  <c r="O44" i="4"/>
  <c r="P44" i="4"/>
  <c r="N45" i="4"/>
  <c r="O45" i="4"/>
  <c r="P45" i="4"/>
  <c r="N48" i="4"/>
  <c r="O48" i="4"/>
  <c r="P48" i="4"/>
  <c r="N49" i="4"/>
  <c r="O49" i="4"/>
  <c r="P49" i="4"/>
  <c r="N50" i="4"/>
  <c r="O50" i="4"/>
  <c r="N51" i="4"/>
  <c r="P51" i="4"/>
  <c r="N52" i="4"/>
  <c r="P52" i="4"/>
  <c r="N53" i="4"/>
  <c r="O53" i="4"/>
  <c r="P53" i="4"/>
  <c r="N54" i="4"/>
  <c r="O54" i="4"/>
  <c r="P54" i="4"/>
  <c r="N55" i="4"/>
  <c r="O55" i="4"/>
  <c r="P55" i="4"/>
  <c r="N56" i="4"/>
  <c r="O56" i="4"/>
  <c r="P56" i="4"/>
  <c r="N57" i="4"/>
  <c r="P57" i="4"/>
  <c r="N58" i="4"/>
  <c r="O58" i="4"/>
  <c r="P58" i="4"/>
  <c r="N59" i="4"/>
  <c r="O59" i="4"/>
  <c r="P59" i="4"/>
  <c r="N60" i="4"/>
  <c r="O60" i="4"/>
  <c r="P60" i="4"/>
  <c r="N61" i="4"/>
  <c r="O61" i="4"/>
  <c r="P61" i="4"/>
  <c r="O67" i="4"/>
  <c r="P67" i="4"/>
  <c r="N68" i="4"/>
  <c r="O68" i="4"/>
  <c r="P68" i="4"/>
  <c r="N69" i="4"/>
  <c r="O69" i="4"/>
  <c r="P69" i="4"/>
  <c r="N70" i="4"/>
  <c r="O70" i="4"/>
  <c r="P70" i="4"/>
  <c r="N71" i="4"/>
  <c r="O71" i="4"/>
  <c r="P71" i="4"/>
  <c r="N72" i="4"/>
  <c r="O72" i="4"/>
  <c r="P72" i="4"/>
  <c r="N73" i="4"/>
  <c r="O73" i="4"/>
  <c r="P73" i="4"/>
  <c r="N74" i="4"/>
  <c r="O74" i="4"/>
  <c r="P74" i="4"/>
  <c r="N75" i="4"/>
  <c r="P75" i="4"/>
  <c r="N77" i="4"/>
  <c r="O77" i="4"/>
  <c r="P77" i="4"/>
  <c r="P79" i="4"/>
  <c r="N80" i="4"/>
  <c r="O80" i="4"/>
  <c r="P80" i="4"/>
  <c r="N81" i="4"/>
  <c r="O81" i="4"/>
  <c r="P81" i="4"/>
  <c r="N82" i="4"/>
  <c r="O82" i="4"/>
  <c r="P82" i="4"/>
  <c r="N83" i="4"/>
  <c r="O83" i="4"/>
  <c r="P83" i="4"/>
  <c r="N84" i="4"/>
  <c r="O84" i="4"/>
  <c r="P84" i="4"/>
  <c r="N85" i="4"/>
  <c r="O85" i="4"/>
  <c r="P85" i="4"/>
  <c r="N86" i="4"/>
  <c r="O86" i="4"/>
  <c r="P86" i="4"/>
  <c r="N87" i="4"/>
  <c r="P87" i="4"/>
  <c r="N88" i="4"/>
  <c r="O88" i="4"/>
  <c r="P88" i="4"/>
  <c r="N89" i="4"/>
  <c r="O89" i="4"/>
  <c r="P89" i="4"/>
  <c r="N90" i="4"/>
  <c r="O90" i="4"/>
  <c r="P90" i="4"/>
  <c r="N91" i="4"/>
  <c r="O91" i="4"/>
  <c r="P91" i="4"/>
  <c r="N92" i="4"/>
  <c r="O92" i="4"/>
  <c r="P92" i="4"/>
  <c r="O95" i="4"/>
  <c r="P95" i="4"/>
  <c r="N96" i="4"/>
  <c r="O96" i="4"/>
  <c r="P96" i="4"/>
  <c r="N99" i="4"/>
  <c r="O99" i="4"/>
  <c r="P99" i="4"/>
  <c r="N100" i="4"/>
  <c r="O100" i="4"/>
  <c r="P100" i="4"/>
  <c r="N101" i="4"/>
  <c r="O101" i="4"/>
  <c r="P101" i="4"/>
  <c r="N104" i="4"/>
  <c r="O104" i="4"/>
  <c r="P104" i="4"/>
  <c r="N105" i="4"/>
  <c r="O105" i="4"/>
  <c r="P105" i="4"/>
  <c r="N106" i="4"/>
  <c r="O106" i="4"/>
  <c r="P106" i="4"/>
  <c r="N107" i="4"/>
  <c r="O107" i="4"/>
  <c r="P107" i="4"/>
  <c r="N108" i="4"/>
  <c r="O108" i="4"/>
  <c r="P108" i="4"/>
  <c r="N109" i="4"/>
  <c r="O109" i="4"/>
  <c r="P109" i="4"/>
  <c r="N110" i="4"/>
  <c r="O110" i="4"/>
  <c r="P110" i="4"/>
  <c r="N111" i="4"/>
  <c r="O111" i="4"/>
  <c r="P111" i="4"/>
  <c r="N112" i="4"/>
  <c r="O112" i="4"/>
  <c r="P112" i="4"/>
  <c r="N115" i="4"/>
  <c r="O115" i="4"/>
  <c r="P115" i="4"/>
  <c r="N116" i="4"/>
  <c r="O116" i="4"/>
  <c r="P116" i="4"/>
  <c r="O117" i="4"/>
  <c r="P117" i="4"/>
  <c r="N118" i="4"/>
  <c r="O118" i="4"/>
  <c r="P118" i="4"/>
  <c r="N119" i="4"/>
  <c r="O119" i="4"/>
  <c r="P119" i="4"/>
  <c r="N120" i="4"/>
  <c r="O120" i="4"/>
  <c r="P120" i="4"/>
  <c r="N121" i="4"/>
  <c r="O121" i="4"/>
  <c r="P121" i="4"/>
  <c r="N124" i="4"/>
  <c r="O124" i="4"/>
  <c r="P124" i="4"/>
  <c r="N125" i="4"/>
  <c r="O125" i="4"/>
  <c r="P125" i="4"/>
  <c r="N126" i="4"/>
  <c r="O126" i="4"/>
  <c r="P126" i="4"/>
  <c r="N127" i="4"/>
  <c r="O127" i="4"/>
  <c r="P127" i="4"/>
  <c r="N128" i="4"/>
  <c r="O128" i="4"/>
  <c r="P128" i="4"/>
  <c r="N129" i="4"/>
  <c r="O129" i="4"/>
  <c r="P129" i="4"/>
  <c r="N130" i="4"/>
  <c r="O130" i="4"/>
  <c r="N131" i="4"/>
  <c r="O131" i="4"/>
  <c r="P131" i="4"/>
  <c r="N132" i="4"/>
  <c r="O132" i="4"/>
  <c r="P132" i="4"/>
  <c r="N133" i="4"/>
  <c r="O133" i="4"/>
  <c r="P133" i="4"/>
  <c r="N134" i="4"/>
  <c r="O134" i="4"/>
  <c r="P134" i="4"/>
  <c r="N135" i="4"/>
  <c r="O135" i="4"/>
  <c r="P135" i="4"/>
  <c r="N136" i="4"/>
  <c r="O136" i="4"/>
  <c r="P136" i="4"/>
  <c r="N137" i="4"/>
  <c r="O137" i="4"/>
  <c r="P137" i="4"/>
  <c r="N138" i="4"/>
  <c r="O138" i="4"/>
  <c r="P138" i="4"/>
  <c r="N139" i="4"/>
  <c r="O139" i="4"/>
  <c r="P139" i="4"/>
  <c r="P140" i="4"/>
  <c r="N143" i="4"/>
  <c r="O143" i="4"/>
  <c r="P143" i="4"/>
  <c r="N146" i="4"/>
  <c r="O146" i="4"/>
  <c r="P146" i="4"/>
  <c r="N147" i="4"/>
  <c r="O147" i="4"/>
  <c r="P147" i="4"/>
  <c r="N148" i="4"/>
  <c r="O148" i="4"/>
  <c r="P148" i="4"/>
  <c r="N149" i="4"/>
  <c r="P149" i="4"/>
  <c r="N150" i="4"/>
  <c r="O150" i="4"/>
  <c r="P150" i="4"/>
  <c r="N151" i="4"/>
  <c r="O151" i="4"/>
  <c r="P151" i="4"/>
  <c r="N152" i="4"/>
  <c r="O152" i="4"/>
  <c r="P152" i="4"/>
  <c r="N153" i="4"/>
  <c r="O153" i="4"/>
  <c r="P153" i="4"/>
  <c r="N154" i="4"/>
  <c r="O154" i="4"/>
  <c r="P154" i="4"/>
  <c r="N155" i="4"/>
  <c r="O155" i="4"/>
  <c r="P155" i="4"/>
  <c r="N156" i="4"/>
  <c r="O156" i="4"/>
  <c r="P156" i="4"/>
  <c r="N157" i="4"/>
  <c r="N160" i="4"/>
  <c r="O160" i="4"/>
  <c r="P160" i="4"/>
  <c r="N161" i="4"/>
  <c r="O161" i="4"/>
  <c r="P161" i="4"/>
  <c r="N162" i="4"/>
  <c r="O162" i="4"/>
  <c r="P162" i="4"/>
  <c r="N163" i="4"/>
  <c r="O163" i="4"/>
  <c r="P163" i="4"/>
  <c r="N164" i="4"/>
  <c r="O164" i="4"/>
  <c r="P164" i="4"/>
  <c r="N165" i="4"/>
  <c r="O165" i="4"/>
  <c r="P165" i="4"/>
  <c r="N166" i="4"/>
  <c r="O166" i="4"/>
  <c r="P166" i="4"/>
  <c r="N169" i="4"/>
  <c r="P169" i="4"/>
  <c r="N170" i="4"/>
  <c r="O170" i="4"/>
  <c r="P170" i="4"/>
  <c r="N171" i="4"/>
  <c r="O171" i="4"/>
  <c r="P171" i="4"/>
  <c r="N173" i="4"/>
  <c r="O173" i="4"/>
  <c r="P173" i="4"/>
  <c r="O174" i="4"/>
  <c r="P174" i="4"/>
  <c r="N175" i="4"/>
  <c r="O175" i="4"/>
  <c r="P175" i="4"/>
  <c r="N176" i="4"/>
  <c r="O176" i="4"/>
  <c r="P176" i="4"/>
  <c r="N177" i="4"/>
  <c r="O177" i="4"/>
  <c r="P177" i="4"/>
  <c r="N178" i="4"/>
  <c r="O178" i="4"/>
  <c r="P178" i="4"/>
  <c r="M181" i="4"/>
  <c r="N181" i="4"/>
  <c r="O181" i="4"/>
  <c r="P181" i="4"/>
  <c r="N182" i="4"/>
  <c r="O182" i="4"/>
  <c r="P182" i="4"/>
  <c r="N183" i="4"/>
  <c r="O183" i="4"/>
  <c r="P183" i="4"/>
  <c r="O184" i="4"/>
  <c r="P184" i="4"/>
  <c r="N185" i="4"/>
  <c r="O185" i="4"/>
  <c r="P185" i="4"/>
  <c r="N186" i="4"/>
  <c r="O186" i="4"/>
  <c r="P186" i="4"/>
  <c r="P191" i="4"/>
  <c r="P193" i="4"/>
  <c r="L195" i="4" l="1"/>
  <c r="I170" i="4" l="1"/>
  <c r="I166" i="4"/>
  <c r="I161" i="4"/>
  <c r="I162" i="4"/>
  <c r="I163" i="4"/>
  <c r="I164" i="4"/>
  <c r="I165" i="4"/>
  <c r="I147" i="4"/>
  <c r="I148" i="4"/>
  <c r="I150" i="4"/>
  <c r="I151" i="4"/>
  <c r="I152" i="4"/>
  <c r="I153" i="4"/>
  <c r="I154" i="4"/>
  <c r="I155" i="4"/>
  <c r="I156" i="4"/>
  <c r="I157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3" i="4"/>
  <c r="I116" i="4"/>
  <c r="I117" i="4"/>
  <c r="I118" i="4"/>
  <c r="I119" i="4"/>
  <c r="I120" i="4"/>
  <c r="I121" i="4"/>
  <c r="I105" i="4"/>
  <c r="I106" i="4"/>
  <c r="I107" i="4"/>
  <c r="I108" i="4"/>
  <c r="I109" i="4"/>
  <c r="I110" i="4"/>
  <c r="I111" i="4"/>
  <c r="I112" i="4"/>
  <c r="I100" i="4"/>
  <c r="I101" i="4"/>
  <c r="I81" i="4"/>
  <c r="I82" i="4"/>
  <c r="I83" i="4"/>
  <c r="I84" i="4"/>
  <c r="I85" i="4"/>
  <c r="I86" i="4"/>
  <c r="I87" i="4"/>
  <c r="I88" i="4"/>
  <c r="I89" i="4"/>
  <c r="I90" i="4"/>
  <c r="I91" i="4"/>
  <c r="I92" i="4"/>
  <c r="I96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7" i="4"/>
  <c r="I68" i="4"/>
  <c r="I69" i="4"/>
  <c r="I70" i="4"/>
  <c r="I71" i="4"/>
  <c r="I72" i="4"/>
  <c r="I73" i="4"/>
  <c r="I74" i="4"/>
  <c r="I75" i="4"/>
  <c r="I77" i="4"/>
  <c r="I19" i="4"/>
  <c r="I20" i="4"/>
  <c r="I21" i="4"/>
  <c r="I22" i="4"/>
  <c r="I23" i="4"/>
  <c r="I24" i="4"/>
  <c r="I25" i="4"/>
  <c r="I26" i="4"/>
  <c r="I27" i="4"/>
  <c r="I28" i="4"/>
  <c r="I29" i="4"/>
  <c r="I31" i="4"/>
  <c r="I32" i="4"/>
  <c r="I33" i="4"/>
  <c r="I34" i="4"/>
  <c r="I35" i="4"/>
  <c r="I37" i="4"/>
  <c r="I38" i="4"/>
  <c r="I39" i="4"/>
  <c r="I40" i="4"/>
  <c r="I41" i="4"/>
  <c r="I42" i="4"/>
  <c r="I44" i="4"/>
  <c r="I45" i="4"/>
  <c r="G140" i="4"/>
  <c r="O140" i="4" s="1"/>
  <c r="P195" i="4" l="1"/>
  <c r="O195" i="4"/>
  <c r="H194" i="4"/>
  <c r="K193" i="4"/>
  <c r="G19" i="4" l="1"/>
  <c r="H157" i="4"/>
  <c r="G157" i="4"/>
  <c r="K123" i="4"/>
  <c r="H123" i="4"/>
  <c r="G123" i="4"/>
  <c r="E143" i="4"/>
  <c r="M143" i="4" s="1"/>
  <c r="G196" i="4" l="1"/>
  <c r="O157" i="4"/>
  <c r="P157" i="4"/>
  <c r="O123" i="4"/>
  <c r="E137" i="4"/>
  <c r="M137" i="4" s="1"/>
  <c r="E129" i="4"/>
  <c r="M129" i="4" s="1"/>
  <c r="L50" i="4" l="1"/>
  <c r="H50" i="4"/>
  <c r="G18" i="4"/>
  <c r="I193" i="4"/>
  <c r="E196" i="4"/>
  <c r="F193" i="4"/>
  <c r="G188" i="4" l="1"/>
  <c r="H189" i="4"/>
  <c r="H47" i="4"/>
  <c r="P50" i="4"/>
  <c r="N193" i="4"/>
  <c r="E193" i="4"/>
  <c r="M193" i="4" s="1"/>
  <c r="N196" i="4"/>
  <c r="E195" i="4"/>
  <c r="F28" i="4"/>
  <c r="N28" i="4" s="1"/>
  <c r="I186" i="4"/>
  <c r="E186" i="4"/>
  <c r="M186" i="4" l="1"/>
  <c r="H180" i="4"/>
  <c r="G180" i="4"/>
  <c r="F184" i="4"/>
  <c r="N184" i="4" s="1"/>
  <c r="L180" i="4"/>
  <c r="K180" i="4"/>
  <c r="J180" i="4"/>
  <c r="J197" i="4" s="1"/>
  <c r="O180" i="4" l="1"/>
  <c r="P180" i="4"/>
  <c r="H197" i="4"/>
  <c r="P172" i="4"/>
  <c r="L197" i="4"/>
  <c r="O172" i="4"/>
  <c r="K197" i="4"/>
  <c r="F180" i="4"/>
  <c r="N180" i="4" s="1"/>
  <c r="I176" i="4"/>
  <c r="I177" i="4"/>
  <c r="I178" i="4"/>
  <c r="P197" i="4" l="1"/>
  <c r="E177" i="4"/>
  <c r="M177" i="4" s="1"/>
  <c r="E178" i="4"/>
  <c r="M178" i="4" s="1"/>
  <c r="F174" i="4"/>
  <c r="F172" i="4" l="1"/>
  <c r="N172" i="4" s="1"/>
  <c r="N174" i="4"/>
  <c r="E133" i="4"/>
  <c r="M133" i="4" s="1"/>
  <c r="E120" i="4"/>
  <c r="M120" i="4" s="1"/>
  <c r="J114" i="4"/>
  <c r="F117" i="4"/>
  <c r="N117" i="4" s="1"/>
  <c r="F114" i="4" l="1"/>
  <c r="F168" i="4"/>
  <c r="N114" i="4"/>
  <c r="J95" i="4"/>
  <c r="F67" i="4"/>
  <c r="E68" i="4"/>
  <c r="M68" i="4" s="1"/>
  <c r="E69" i="4"/>
  <c r="M69" i="4" s="1"/>
  <c r="E70" i="4"/>
  <c r="M70" i="4" s="1"/>
  <c r="E71" i="4"/>
  <c r="M71" i="4" s="1"/>
  <c r="E60" i="4"/>
  <c r="M60" i="4" s="1"/>
  <c r="J191" i="4" l="1"/>
  <c r="I95" i="4"/>
  <c r="E67" i="4"/>
  <c r="M67" i="4" s="1"/>
  <c r="F189" i="4"/>
  <c r="F47" i="4"/>
  <c r="N67" i="4"/>
  <c r="N47" i="4"/>
  <c r="E45" i="4"/>
  <c r="M45" i="4" s="1"/>
  <c r="E39" i="4"/>
  <c r="M39" i="4" s="1"/>
  <c r="E35" i="4"/>
  <c r="M35" i="4" s="1"/>
  <c r="E34" i="4"/>
  <c r="M34" i="4" s="1"/>
  <c r="E189" i="4" l="1"/>
  <c r="N189" i="4"/>
  <c r="L47" i="4"/>
  <c r="P47" i="4" s="1"/>
  <c r="J98" i="4"/>
  <c r="L98" i="4"/>
  <c r="K98" i="4"/>
  <c r="H98" i="4"/>
  <c r="G98" i="4"/>
  <c r="F98" i="4"/>
  <c r="K97" i="4" l="1"/>
  <c r="O98" i="4"/>
  <c r="L97" i="4"/>
  <c r="P98" i="4"/>
  <c r="N98" i="4"/>
  <c r="O47" i="4" l="1"/>
  <c r="L190" i="4"/>
  <c r="L189" i="4"/>
  <c r="P189" i="4" s="1"/>
  <c r="K189" i="4"/>
  <c r="O189" i="4" s="1"/>
  <c r="G197" i="4"/>
  <c r="O197" i="4" s="1"/>
  <c r="G192" i="4"/>
  <c r="H190" i="4"/>
  <c r="E37" i="4"/>
  <c r="M37" i="4" s="1"/>
  <c r="I189" i="4" l="1"/>
  <c r="M189" i="4" s="1"/>
  <c r="P190" i="4"/>
  <c r="L168" i="4"/>
  <c r="K168" i="4"/>
  <c r="H168" i="4"/>
  <c r="G168" i="4"/>
  <c r="H114" i="4"/>
  <c r="G114" i="4"/>
  <c r="P168" i="4" l="1"/>
  <c r="O168" i="4"/>
  <c r="L196" i="4"/>
  <c r="K149" i="4"/>
  <c r="G149" i="4"/>
  <c r="L130" i="4"/>
  <c r="E72" i="4"/>
  <c r="M72" i="4" s="1"/>
  <c r="O149" i="4" l="1"/>
  <c r="I149" i="4"/>
  <c r="P130" i="4"/>
  <c r="L123" i="4"/>
  <c r="P123" i="4" s="1"/>
  <c r="K43" i="4"/>
  <c r="H43" i="4"/>
  <c r="K190" i="4"/>
  <c r="G190" i="4"/>
  <c r="F197" i="4"/>
  <c r="E197" i="4" s="1"/>
  <c r="J30" i="4"/>
  <c r="J194" i="4" s="1"/>
  <c r="F30" i="4"/>
  <c r="F194" i="4" s="1"/>
  <c r="P43" i="4" l="1"/>
  <c r="H196" i="4"/>
  <c r="P196" i="4" s="1"/>
  <c r="K196" i="4"/>
  <c r="O196" i="4" s="1"/>
  <c r="O43" i="4"/>
  <c r="I43" i="4"/>
  <c r="I196" i="4"/>
  <c r="M196" i="4" s="1"/>
  <c r="O190" i="4"/>
  <c r="N197" i="4"/>
  <c r="I197" i="4"/>
  <c r="M197" i="4" s="1"/>
  <c r="N30" i="4"/>
  <c r="J168" i="4"/>
  <c r="N168" i="4" s="1"/>
  <c r="F95" i="4"/>
  <c r="N95" i="4" s="1"/>
  <c r="N194" i="4" l="1"/>
  <c r="F79" i="4"/>
  <c r="F191" i="4"/>
  <c r="E191" i="4" s="1"/>
  <c r="J79" i="4"/>
  <c r="N79" i="4" l="1"/>
  <c r="I195" i="4"/>
  <c r="M195" i="4" s="1"/>
  <c r="N195" i="4"/>
  <c r="N191" i="4"/>
  <c r="I191" i="4"/>
  <c r="M191" i="4" s="1"/>
  <c r="L30" i="4"/>
  <c r="L192" i="4"/>
  <c r="L194" i="4" l="1"/>
  <c r="P194" i="4" s="1"/>
  <c r="P30" i="4"/>
  <c r="K30" i="4"/>
  <c r="G30" i="4"/>
  <c r="E154" i="4"/>
  <c r="M154" i="4" s="1"/>
  <c r="H97" i="4"/>
  <c r="P97" i="4" s="1"/>
  <c r="G194" i="4" l="1"/>
  <c r="G17" i="4"/>
  <c r="O30" i="4"/>
  <c r="K194" i="4"/>
  <c r="I30" i="4"/>
  <c r="E100" i="4"/>
  <c r="M100" i="4" s="1"/>
  <c r="O194" i="4" l="1"/>
  <c r="I194" i="4"/>
  <c r="H206" i="4"/>
  <c r="E194" i="4"/>
  <c r="M194" i="4" s="1"/>
  <c r="E43" i="4"/>
  <c r="M43" i="4" s="1"/>
  <c r="I190" i="4" l="1"/>
  <c r="H192" i="4" l="1"/>
  <c r="P192" i="4" s="1"/>
  <c r="K192" i="4"/>
  <c r="O192" i="4" l="1"/>
  <c r="I192" i="4"/>
  <c r="G97" i="4"/>
  <c r="O97" i="4" s="1"/>
  <c r="I98" i="4"/>
  <c r="E98" i="4" l="1"/>
  <c r="M98" i="4" s="1"/>
  <c r="E173" i="4"/>
  <c r="M173" i="4" s="1"/>
  <c r="I99" i="4" l="1"/>
  <c r="E101" i="4"/>
  <c r="M101" i="4" s="1"/>
  <c r="E99" i="4"/>
  <c r="F97" i="4"/>
  <c r="M99" i="4" l="1"/>
  <c r="E97" i="4"/>
  <c r="J97" i="4"/>
  <c r="N97" i="4" s="1"/>
  <c r="I97" i="4" l="1"/>
  <c r="M97" i="4" s="1"/>
  <c r="K145" i="4" l="1"/>
  <c r="G145" i="4"/>
  <c r="L78" i="4"/>
  <c r="O145" i="4" l="1"/>
  <c r="L145" i="4"/>
  <c r="H145" i="4"/>
  <c r="F103" i="4"/>
  <c r="E176" i="4"/>
  <c r="M176" i="4" s="1"/>
  <c r="E164" i="4"/>
  <c r="M164" i="4" s="1"/>
  <c r="E148" i="4"/>
  <c r="M148" i="4" s="1"/>
  <c r="P145" i="4" l="1"/>
  <c r="G103" i="4"/>
  <c r="H103" i="4"/>
  <c r="J103" i="4"/>
  <c r="N103" i="4" s="1"/>
  <c r="L103" i="4"/>
  <c r="E107" i="4"/>
  <c r="M107" i="4" s="1"/>
  <c r="P103" i="4" l="1"/>
  <c r="N123" i="4"/>
  <c r="I79" i="4" l="1"/>
  <c r="K103" i="4" l="1"/>
  <c r="O103" i="4" s="1"/>
  <c r="I185" i="4" l="1"/>
  <c r="I184" i="4"/>
  <c r="F192" i="4" l="1"/>
  <c r="E192" i="4" l="1"/>
  <c r="M192" i="4" s="1"/>
  <c r="N192" i="4"/>
  <c r="E185" i="4"/>
  <c r="M185" i="4" s="1"/>
  <c r="E184" i="4"/>
  <c r="M184" i="4" s="1"/>
  <c r="I175" i="4"/>
  <c r="E175" i="4"/>
  <c r="E163" i="4"/>
  <c r="M163" i="4" s="1"/>
  <c r="M175" i="4" l="1"/>
  <c r="J78" i="4"/>
  <c r="E73" i="4"/>
  <c r="M73" i="4" s="1"/>
  <c r="K78" i="4" l="1"/>
  <c r="E139" i="4" l="1"/>
  <c r="M139" i="4" s="1"/>
  <c r="H113" i="4" l="1"/>
  <c r="G113" i="4"/>
  <c r="J167" i="4"/>
  <c r="H167" i="4"/>
  <c r="G167" i="4"/>
  <c r="F167" i="4"/>
  <c r="N167" i="4" l="1"/>
  <c r="H159" i="4"/>
  <c r="G159" i="4"/>
  <c r="F159" i="4"/>
  <c r="F158" i="4" s="1"/>
  <c r="J145" i="4"/>
  <c r="J144" i="4" s="1"/>
  <c r="H144" i="4"/>
  <c r="G144" i="4"/>
  <c r="F145" i="4"/>
  <c r="N145" i="4" l="1"/>
  <c r="J113" i="4"/>
  <c r="J159" i="4"/>
  <c r="N159" i="4" s="1"/>
  <c r="F190" i="4"/>
  <c r="N190" i="4" l="1"/>
  <c r="E190" i="4"/>
  <c r="M190" i="4" s="1"/>
  <c r="J158" i="4"/>
  <c r="N158" i="4" s="1"/>
  <c r="G158" i="4"/>
  <c r="H158" i="4"/>
  <c r="F144" i="4"/>
  <c r="N144" i="4" s="1"/>
  <c r="E123" i="4"/>
  <c r="H122" i="4"/>
  <c r="F122" i="4"/>
  <c r="G78" i="4"/>
  <c r="O78" i="4" s="1"/>
  <c r="H78" i="4"/>
  <c r="P78" i="4" s="1"/>
  <c r="F78" i="4"/>
  <c r="N78" i="4" s="1"/>
  <c r="H18" i="4"/>
  <c r="F18" i="4"/>
  <c r="E19" i="4"/>
  <c r="M19" i="4" s="1"/>
  <c r="E20" i="4"/>
  <c r="M20" i="4" s="1"/>
  <c r="E21" i="4"/>
  <c r="M21" i="4" s="1"/>
  <c r="E22" i="4"/>
  <c r="M22" i="4" s="1"/>
  <c r="E23" i="4"/>
  <c r="M23" i="4" s="1"/>
  <c r="E24" i="4"/>
  <c r="M24" i="4" s="1"/>
  <c r="E25" i="4"/>
  <c r="M25" i="4" s="1"/>
  <c r="E26" i="4"/>
  <c r="M26" i="4" s="1"/>
  <c r="E27" i="4"/>
  <c r="M27" i="4" s="1"/>
  <c r="E28" i="4"/>
  <c r="M28" i="4" s="1"/>
  <c r="E29" i="4"/>
  <c r="M29" i="4" s="1"/>
  <c r="E31" i="4"/>
  <c r="M31" i="4" s="1"/>
  <c r="E32" i="4"/>
  <c r="M32" i="4" s="1"/>
  <c r="E33" i="4"/>
  <c r="M33" i="4" s="1"/>
  <c r="E38" i="4"/>
  <c r="M38" i="4" s="1"/>
  <c r="E40" i="4"/>
  <c r="M40" i="4" s="1"/>
  <c r="E41" i="4"/>
  <c r="M41" i="4" s="1"/>
  <c r="E42" i="4"/>
  <c r="M42" i="4" s="1"/>
  <c r="E44" i="4"/>
  <c r="M44" i="4" s="1"/>
  <c r="E48" i="4"/>
  <c r="E49" i="4"/>
  <c r="M49" i="4" s="1"/>
  <c r="E50" i="4"/>
  <c r="E51" i="4"/>
  <c r="M51" i="4" s="1"/>
  <c r="E52" i="4"/>
  <c r="M52" i="4" s="1"/>
  <c r="E53" i="4"/>
  <c r="M53" i="4" s="1"/>
  <c r="E54" i="4"/>
  <c r="M54" i="4" s="1"/>
  <c r="E55" i="4"/>
  <c r="M55" i="4" s="1"/>
  <c r="E56" i="4"/>
  <c r="M56" i="4" s="1"/>
  <c r="E57" i="4"/>
  <c r="M57" i="4" s="1"/>
  <c r="E58" i="4"/>
  <c r="M58" i="4" s="1"/>
  <c r="E59" i="4"/>
  <c r="M59" i="4" s="1"/>
  <c r="E61" i="4"/>
  <c r="M61" i="4" s="1"/>
  <c r="E74" i="4"/>
  <c r="M74" i="4" s="1"/>
  <c r="E75" i="4"/>
  <c r="M75" i="4" s="1"/>
  <c r="E77" i="4"/>
  <c r="M77" i="4" s="1"/>
  <c r="E80" i="4"/>
  <c r="E81" i="4"/>
  <c r="M81" i="4" s="1"/>
  <c r="E82" i="4"/>
  <c r="M82" i="4" s="1"/>
  <c r="E83" i="4"/>
  <c r="M83" i="4" s="1"/>
  <c r="E84" i="4"/>
  <c r="M84" i="4" s="1"/>
  <c r="E85" i="4"/>
  <c r="M85" i="4" s="1"/>
  <c r="E86" i="4"/>
  <c r="M86" i="4" s="1"/>
  <c r="E87" i="4"/>
  <c r="M87" i="4" s="1"/>
  <c r="E88" i="4"/>
  <c r="M88" i="4" s="1"/>
  <c r="E89" i="4"/>
  <c r="M89" i="4" s="1"/>
  <c r="E90" i="4"/>
  <c r="M90" i="4" s="1"/>
  <c r="E91" i="4"/>
  <c r="M91" i="4" s="1"/>
  <c r="E92" i="4"/>
  <c r="M92" i="4" s="1"/>
  <c r="E95" i="4"/>
  <c r="M95" i="4" s="1"/>
  <c r="E96" i="4"/>
  <c r="M96" i="4" s="1"/>
  <c r="E104" i="4"/>
  <c r="E105" i="4"/>
  <c r="M105" i="4" s="1"/>
  <c r="E106" i="4"/>
  <c r="M106" i="4" s="1"/>
  <c r="E108" i="4"/>
  <c r="M108" i="4" s="1"/>
  <c r="E109" i="4"/>
  <c r="M109" i="4" s="1"/>
  <c r="E110" i="4"/>
  <c r="M110" i="4" s="1"/>
  <c r="E111" i="4"/>
  <c r="M111" i="4" s="1"/>
  <c r="E112" i="4"/>
  <c r="M112" i="4" s="1"/>
  <c r="E115" i="4"/>
  <c r="E116" i="4"/>
  <c r="M116" i="4" s="1"/>
  <c r="E117" i="4"/>
  <c r="M117" i="4" s="1"/>
  <c r="E118" i="4"/>
  <c r="M118" i="4" s="1"/>
  <c r="E119" i="4"/>
  <c r="M119" i="4" s="1"/>
  <c r="E121" i="4"/>
  <c r="M121" i="4" s="1"/>
  <c r="E124" i="4"/>
  <c r="E125" i="4"/>
  <c r="M125" i="4" s="1"/>
  <c r="E126" i="4"/>
  <c r="M126" i="4" s="1"/>
  <c r="E127" i="4"/>
  <c r="M127" i="4" s="1"/>
  <c r="E128" i="4"/>
  <c r="M128" i="4" s="1"/>
  <c r="E130" i="4"/>
  <c r="M130" i="4" s="1"/>
  <c r="E131" i="4"/>
  <c r="M131" i="4" s="1"/>
  <c r="E132" i="4"/>
  <c r="M132" i="4" s="1"/>
  <c r="E134" i="4"/>
  <c r="M134" i="4" s="1"/>
  <c r="E135" i="4"/>
  <c r="M135" i="4" s="1"/>
  <c r="E136" i="4"/>
  <c r="M136" i="4" s="1"/>
  <c r="E138" i="4"/>
  <c r="M138" i="4" s="1"/>
  <c r="E140" i="4"/>
  <c r="M140" i="4" s="1"/>
  <c r="E146" i="4"/>
  <c r="E147" i="4"/>
  <c r="M147" i="4" s="1"/>
  <c r="E149" i="4"/>
  <c r="M149" i="4" s="1"/>
  <c r="E150" i="4"/>
  <c r="M150" i="4" s="1"/>
  <c r="E151" i="4"/>
  <c r="M151" i="4" s="1"/>
  <c r="E152" i="4"/>
  <c r="M152" i="4" s="1"/>
  <c r="E153" i="4"/>
  <c r="M153" i="4" s="1"/>
  <c r="E155" i="4"/>
  <c r="M155" i="4" s="1"/>
  <c r="E156" i="4"/>
  <c r="M156" i="4" s="1"/>
  <c r="E157" i="4"/>
  <c r="M157" i="4" s="1"/>
  <c r="E160" i="4"/>
  <c r="E161" i="4"/>
  <c r="M161" i="4" s="1"/>
  <c r="E162" i="4"/>
  <c r="M162" i="4" s="1"/>
  <c r="E165" i="4"/>
  <c r="M165" i="4" s="1"/>
  <c r="E166" i="4"/>
  <c r="M166" i="4" s="1"/>
  <c r="E169" i="4"/>
  <c r="E170" i="4"/>
  <c r="M170" i="4" s="1"/>
  <c r="E171" i="4"/>
  <c r="E172" i="4"/>
  <c r="E174" i="4"/>
  <c r="E180" i="4"/>
  <c r="E182" i="4"/>
  <c r="E183" i="4"/>
  <c r="E47" i="4" l="1"/>
  <c r="H17" i="4"/>
  <c r="H188" i="4"/>
  <c r="P188" i="4" s="1"/>
  <c r="M50" i="4"/>
  <c r="F17" i="4"/>
  <c r="G198" i="4"/>
  <c r="F188" i="4"/>
  <c r="G102" i="4"/>
  <c r="F113" i="4"/>
  <c r="N113" i="4" s="1"/>
  <c r="F102" i="4"/>
  <c r="H102" i="4"/>
  <c r="E114" i="4"/>
  <c r="H16" i="4"/>
  <c r="E30" i="4"/>
  <c r="M30" i="4" s="1"/>
  <c r="E168" i="4"/>
  <c r="E159" i="4"/>
  <c r="E79" i="4"/>
  <c r="M79" i="4" s="1"/>
  <c r="E167" i="4"/>
  <c r="E158" i="4"/>
  <c r="E145" i="4"/>
  <c r="E144" i="4"/>
  <c r="G122" i="4"/>
  <c r="E103" i="4"/>
  <c r="E78" i="4"/>
  <c r="H46" i="4"/>
  <c r="E18" i="4"/>
  <c r="H198" i="4" l="1"/>
  <c r="E122" i="4"/>
  <c r="E188" i="4"/>
  <c r="E17" i="4"/>
  <c r="F16" i="4"/>
  <c r="H187" i="4"/>
  <c r="H201" i="4" s="1"/>
  <c r="E102" i="4"/>
  <c r="F46" i="4"/>
  <c r="E113" i="4"/>
  <c r="G46" i="4"/>
  <c r="F198" i="4"/>
  <c r="G16" i="4"/>
  <c r="E198" i="4" l="1"/>
  <c r="F187" i="4"/>
  <c r="E16" i="4"/>
  <c r="G187" i="4"/>
  <c r="G201" i="4" s="1"/>
  <c r="E46" i="4"/>
  <c r="I169" i="4"/>
  <c r="M169" i="4" s="1"/>
  <c r="F201" i="4" l="1"/>
  <c r="E187" i="4"/>
  <c r="E201" i="4" l="1"/>
  <c r="I160" i="4"/>
  <c r="M160" i="4" s="1"/>
  <c r="K167" i="4" l="1"/>
  <c r="O167" i="4" s="1"/>
  <c r="L167" i="4"/>
  <c r="P167" i="4" s="1"/>
  <c r="J18" i="4" l="1"/>
  <c r="J188" i="4" s="1"/>
  <c r="J17" i="4" l="1"/>
  <c r="N17" i="4" s="1"/>
  <c r="N18" i="4"/>
  <c r="J122" i="4"/>
  <c r="N122" i="4" s="1"/>
  <c r="N188" i="4" l="1"/>
  <c r="K18" i="4"/>
  <c r="K17" i="4" s="1"/>
  <c r="L18" i="4"/>
  <c r="I48" i="4"/>
  <c r="I47" i="4" s="1"/>
  <c r="I80" i="4"/>
  <c r="M80" i="4" s="1"/>
  <c r="I104" i="4"/>
  <c r="M104" i="4" s="1"/>
  <c r="I115" i="4"/>
  <c r="M115" i="4" s="1"/>
  <c r="I124" i="4"/>
  <c r="I167" i="4"/>
  <c r="M167" i="4" s="1"/>
  <c r="I168" i="4"/>
  <c r="M168" i="4" s="1"/>
  <c r="I171" i="4"/>
  <c r="M171" i="4" s="1"/>
  <c r="I172" i="4"/>
  <c r="M172" i="4" s="1"/>
  <c r="I182" i="4"/>
  <c r="P18" i="4" l="1"/>
  <c r="L17" i="4"/>
  <c r="P17" i="4" s="1"/>
  <c r="O17" i="4"/>
  <c r="K188" i="4"/>
  <c r="I188" i="4" s="1"/>
  <c r="M188" i="4" s="1"/>
  <c r="M182" i="4"/>
  <c r="M124" i="4"/>
  <c r="I123" i="4"/>
  <c r="M48" i="4"/>
  <c r="M47" i="4"/>
  <c r="I103" i="4"/>
  <c r="M103" i="4" s="1"/>
  <c r="L102" i="4"/>
  <c r="P102" i="4" s="1"/>
  <c r="K102" i="4"/>
  <c r="O102" i="4" s="1"/>
  <c r="K159" i="4"/>
  <c r="O159" i="4" s="1"/>
  <c r="L159" i="4"/>
  <c r="P159" i="4" s="1"/>
  <c r="J102" i="4"/>
  <c r="N102" i="4" s="1"/>
  <c r="I174" i="4"/>
  <c r="M174" i="4" s="1"/>
  <c r="I18" i="4"/>
  <c r="I17" i="4" l="1"/>
  <c r="M17" i="4" s="1"/>
  <c r="M18" i="4"/>
  <c r="K198" i="4"/>
  <c r="L198" i="4"/>
  <c r="J198" i="4"/>
  <c r="I78" i="4"/>
  <c r="M78" i="4" s="1"/>
  <c r="K46" i="4"/>
  <c r="O46" i="4" s="1"/>
  <c r="L46" i="4"/>
  <c r="P46" i="4" s="1"/>
  <c r="L158" i="4"/>
  <c r="P158" i="4" s="1"/>
  <c r="K158" i="4"/>
  <c r="O158" i="4" s="1"/>
  <c r="I102" i="4"/>
  <c r="M102" i="4" s="1"/>
  <c r="J16" i="4"/>
  <c r="K16" i="4"/>
  <c r="O16" i="4" s="1"/>
  <c r="L16" i="4"/>
  <c r="P16" i="4" s="1"/>
  <c r="J46" i="4"/>
  <c r="N46" i="4" s="1"/>
  <c r="P198" i="4" l="1"/>
  <c r="O198" i="4"/>
  <c r="J187" i="4"/>
  <c r="J201" i="4" s="1"/>
  <c r="N16" i="4"/>
  <c r="N198" i="4"/>
  <c r="I159" i="4"/>
  <c r="M159" i="4" s="1"/>
  <c r="I158" i="4"/>
  <c r="M158" i="4" s="1"/>
  <c r="I16" i="4"/>
  <c r="M16" i="4" s="1"/>
  <c r="I46" i="4"/>
  <c r="M46" i="4" s="1"/>
  <c r="N187" i="4" l="1"/>
  <c r="N201" i="4" s="1"/>
  <c r="I146" i="4"/>
  <c r="M146" i="4" s="1"/>
  <c r="K144" i="4" l="1"/>
  <c r="O144" i="4" s="1"/>
  <c r="L144" i="4"/>
  <c r="P144" i="4" s="1"/>
  <c r="K122" i="4" l="1"/>
  <c r="O122" i="4" s="1"/>
  <c r="L122" i="4"/>
  <c r="P122" i="4" s="1"/>
  <c r="M123" i="4" l="1"/>
  <c r="L114" i="4"/>
  <c r="P114" i="4" s="1"/>
  <c r="I122" i="4"/>
  <c r="M122" i="4" s="1"/>
  <c r="L113" i="4" l="1"/>
  <c r="K114" i="4"/>
  <c r="O114" i="4" s="1"/>
  <c r="L187" i="4" l="1"/>
  <c r="P113" i="4"/>
  <c r="P187" i="4"/>
  <c r="P201" i="4" s="1"/>
  <c r="L200" i="4"/>
  <c r="L201" i="4"/>
  <c r="I114" i="4"/>
  <c r="M114" i="4" s="1"/>
  <c r="K113" i="4"/>
  <c r="O113" i="4" s="1"/>
  <c r="K187" i="4" l="1"/>
  <c r="I113" i="4"/>
  <c r="M113" i="4" s="1"/>
  <c r="O187" i="4" l="1"/>
  <c r="O201" i="4" s="1"/>
  <c r="K200" i="4"/>
  <c r="K201" i="4"/>
  <c r="I187" i="4"/>
  <c r="M187" i="4" s="1"/>
  <c r="I145" i="4"/>
  <c r="M145" i="4" s="1"/>
  <c r="I183" i="4"/>
  <c r="M183" i="4" l="1"/>
  <c r="I180" i="4"/>
  <c r="M180" i="4" s="1"/>
  <c r="I144" i="4"/>
  <c r="M144" i="4" s="1"/>
  <c r="I198" i="4" l="1"/>
  <c r="I201" i="4" l="1"/>
  <c r="M198" i="4"/>
  <c r="M201" i="4" s="1"/>
</calcChain>
</file>

<file path=xl/sharedStrings.xml><?xml version="1.0" encoding="utf-8"?>
<sst xmlns="http://schemas.openxmlformats.org/spreadsheetml/2006/main" count="617" uniqueCount="390">
  <si>
    <t>бюджет розвитку</t>
  </si>
  <si>
    <t>РАЗОМ</t>
  </si>
  <si>
    <t>0111</t>
  </si>
  <si>
    <t>1090</t>
  </si>
  <si>
    <t>0320</t>
  </si>
  <si>
    <t>0133</t>
  </si>
  <si>
    <t>0470</t>
  </si>
  <si>
    <t>Заходи з енергозбереження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</si>
  <si>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</si>
  <si>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</si>
  <si>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</si>
  <si>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</si>
  <si>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</si>
  <si>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</si>
  <si>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</si>
  <si>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</si>
  <si>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</si>
  <si>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0950</t>
  </si>
  <si>
    <t>0990</t>
  </si>
  <si>
    <t>1040</t>
  </si>
  <si>
    <t>0810</t>
  </si>
  <si>
    <t>Утримання та навчально-тренувальна робота комунальних дитячо-юнацьких спортивних шкіл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</si>
  <si>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</si>
  <si>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</si>
  <si>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</si>
  <si>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</si>
  <si>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</si>
  <si>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</si>
  <si>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</si>
  <si>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</si>
  <si>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</si>
  <si>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</si>
  <si>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</si>
  <si>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</si>
  <si>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</si>
  <si>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3112</t>
  </si>
  <si>
    <t>4060</t>
  </si>
  <si>
    <t>0824</t>
  </si>
  <si>
    <t>0828</t>
  </si>
  <si>
    <t>0829</t>
  </si>
  <si>
    <t>6030</t>
  </si>
  <si>
    <t>0456</t>
  </si>
  <si>
    <t>0540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</si>
  <si>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</si>
  <si>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</si>
  <si>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</si>
  <si>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</si>
  <si>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</si>
  <si>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</si>
  <si>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Інші заходи та заклади молодіжної політики</t>
  </si>
  <si>
    <t>1115061</t>
  </si>
  <si>
    <t>5061</t>
  </si>
  <si>
    <t>0150</t>
  </si>
  <si>
    <t>2100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</si>
  <si>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</si>
  <si>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</si>
  <si>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</si>
  <si>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</si>
  <si>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</si>
  <si>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</si>
  <si>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</si>
  <si>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</si>
  <si>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</si>
  <si>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</si>
  <si>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</si>
  <si>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</si>
  <si>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</si>
  <si>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</si>
  <si>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</si>
  <si>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</si>
  <si>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</si>
  <si>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</si>
  <si>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</si>
  <si>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</si>
  <si>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</si>
  <si>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</si>
  <si>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</si>
  <si>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</si>
  <si>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</si>
  <si>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</si>
  <si>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</si>
  <si>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1014060</t>
  </si>
  <si>
    <t>1110160</t>
  </si>
  <si>
    <t>3123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</si>
  <si>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</si>
  <si>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</si>
  <si>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</si>
  <si>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</si>
  <si>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</si>
  <si>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</si>
  <si>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</si>
  <si>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</si>
  <si>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</si>
  <si>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</si>
  <si>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</si>
  <si>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</si>
  <si>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</si>
  <si>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</si>
  <si>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</si>
  <si>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Експлуатація та технічне обслуговування житлового фонду</t>
  </si>
  <si>
    <t>Забезпечення діяльності водопровідно-каналізаційного господарства</t>
  </si>
  <si>
    <t>3110180</t>
  </si>
  <si>
    <t>Інша діяльність у сфері державного управління</t>
  </si>
  <si>
    <t>3710180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</si>
  <si>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</si>
  <si>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</si>
  <si>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</si>
  <si>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</si>
  <si>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</si>
  <si>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</si>
  <si>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</si>
  <si>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</si>
  <si>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7680</t>
  </si>
  <si>
    <t>0217680</t>
  </si>
  <si>
    <t>Членські внески до асоціацій органів місцевого самоврядування</t>
  </si>
  <si>
    <t>0210180</t>
  </si>
  <si>
    <t>3104</t>
  </si>
  <si>
    <t>0813104</t>
  </si>
  <si>
    <t>1050</t>
  </si>
  <si>
    <t>Організація та проведення громадських робіт</t>
  </si>
  <si>
    <t>6015</t>
  </si>
  <si>
    <t>1216015</t>
  </si>
  <si>
    <t>Забезпечення надійної та безперебійної експлуатації ліфтів</t>
  </si>
  <si>
    <t>1217461</t>
  </si>
  <si>
    <t>Реалізація інших заходів щодо соціально-економічного розвитку територій</t>
  </si>
  <si>
    <t>0443</t>
  </si>
  <si>
    <t>8340</t>
  </si>
  <si>
    <t>0218340</t>
  </si>
  <si>
    <t>0763</t>
  </si>
  <si>
    <t>1218340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</si>
  <si>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</si>
  <si>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</si>
  <si>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</si>
  <si>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</si>
  <si>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</si>
  <si>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Природоохоронні заходи за рахунок цільових фондів</t>
  </si>
  <si>
    <t>7693</t>
  </si>
  <si>
    <t>Заходи із запобігання та ліквідації надзвичайних ситуацій та наслідків стихійного лиха</t>
  </si>
  <si>
    <t>3210</t>
  </si>
  <si>
    <t>1213210</t>
  </si>
  <si>
    <t>0813160</t>
  </si>
  <si>
    <t>3160</t>
  </si>
  <si>
    <t>0813180</t>
  </si>
  <si>
    <t>3180</t>
  </si>
  <si>
    <t>0813192</t>
  </si>
  <si>
    <t>3192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</si>
  <si>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</si>
  <si>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</si>
  <si>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</si>
  <si>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</si>
  <si>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</si>
  <si>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</si>
  <si>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</si>
  <si>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</si>
  <si>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</si>
  <si>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Багатопрофільна стаціонарна медична допомога населенню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</si>
  <si>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</si>
  <si>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в т.ч. за програмами:</t>
  </si>
  <si>
    <t>Інші субвенції з місцевого бюджету</t>
  </si>
  <si>
    <t>0810180</t>
  </si>
  <si>
    <t>0380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</si>
  <si>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</si>
  <si>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</si>
  <si>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</si>
  <si>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</si>
  <si>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</si>
  <si>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</si>
  <si>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</si>
  <si>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</si>
  <si>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</si>
  <si>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</si>
  <si>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</si>
  <si>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</si>
  <si>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</si>
  <si>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</si>
  <si>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ЗВІТ</t>
  </si>
  <si>
    <t>в  тому  числі</t>
  </si>
  <si>
    <t>в  тому   числі</t>
  </si>
  <si>
    <t>загальний фонд</t>
  </si>
  <si>
    <t>спеціальний фонд</t>
  </si>
  <si>
    <t>загальний  фонд</t>
  </si>
  <si>
    <t xml:space="preserve">з них </t>
  </si>
  <si>
    <t>0218210</t>
  </si>
  <si>
    <t>8210</t>
  </si>
  <si>
    <t>Муніципальні формування з охорони громадського порядку</t>
  </si>
  <si>
    <t>3116017</t>
  </si>
  <si>
    <t>2152</t>
  </si>
  <si>
    <t>1210170</t>
  </si>
  <si>
    <t>0611021</t>
  </si>
  <si>
    <t>1021</t>
  </si>
  <si>
    <t>0611022</t>
  </si>
  <si>
    <t>1022</t>
  </si>
  <si>
    <t>0611031</t>
  </si>
  <si>
    <t>1031</t>
  </si>
  <si>
    <t>0611032</t>
  </si>
  <si>
    <t>1032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</si>
  <si>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</si>
  <si>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</si>
  <si>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</si>
  <si>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Підвищення кваліфікації, перепідготовка кадрів закладами післядипломної освіти</t>
  </si>
  <si>
    <t>0611141</t>
  </si>
  <si>
    <t>1141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</si>
  <si>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</si>
  <si>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</si>
  <si>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</si>
  <si>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</si>
  <si>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</si>
  <si>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</si>
  <si>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1011080</t>
  </si>
  <si>
    <t>1080</t>
  </si>
  <si>
    <t>3718710</t>
  </si>
  <si>
    <t>8710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</si>
  <si>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</si>
  <si>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</si>
  <si>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</si>
  <si>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(код бюджету)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</si>
  <si>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</si>
  <si>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</si>
  <si>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</si>
  <si>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</si>
  <si>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</si>
  <si>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</si>
  <si>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</si>
  <si>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</si>
  <si>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</si>
  <si>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</si>
  <si>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</si>
  <si>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</si>
  <si>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</si>
  <si>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</si>
  <si>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Субвенція з місцевого бюджету державному бюджету на виконання програм соціально-економічного розвитку регіонів</t>
  </si>
  <si>
    <t/>
  </si>
  <si>
    <t>Виконавчий комiтет Чорноморської мiської ради Одеського району Одеської областi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</si>
  <si>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</si>
  <si>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Стоматологічна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</si>
  <si>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</si>
  <si>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</si>
  <si>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</si>
  <si>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</si>
  <si>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</si>
  <si>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Організація благоустрою населених пунктів</t>
  </si>
  <si>
    <t>0218220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</si>
  <si>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</si>
  <si>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</si>
  <si>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</si>
  <si>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</si>
  <si>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8240</t>
  </si>
  <si>
    <t>Заходи та роботи з територіальної оборони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</si>
  <si>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</si>
  <si>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</si>
  <si>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Управлiння соцiальної полiтики Чорноморської мiської ради Одеського району Одеської областi</t>
  </si>
  <si>
    <t>Надання пільг окремим категоріям громадян з оплати послуг зв`язку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</si>
  <si>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</si>
  <si>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</t>
  </si>
  <si>
    <t>0813123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</si>
  <si>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</si>
  <si>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</si>
  <si>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</si>
  <si>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</si>
  <si>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Вiддiл культури Чорноморської мiської ради Одеського району Одеської областi</t>
  </si>
  <si>
    <t>1010180</t>
  </si>
  <si>
    <t>Надання спеціалізованої освіти мистецькими школами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</si>
  <si>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</si>
  <si>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</si>
  <si>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Вiддiл молодi та спорту Чорноморської мiської ради Одеського району Одеської областi</t>
  </si>
  <si>
    <t>1110180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</si>
  <si>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</si>
  <si>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Вiддiл комунального господарства та благоустрою Чорноморської мiської ради Одеського району Одеської областi</t>
  </si>
  <si>
    <t>1210180</t>
  </si>
  <si>
    <t>Інша діяльність, пов`язана з експлуатацією об`єктів житлово-комунального господарства</t>
  </si>
  <si>
    <t>Інші заходи, пов`язані з економічною діяльністю</t>
  </si>
  <si>
    <t>Управлiння капiтального будiвництва Чорноморської мiської ради Одеського району Одеської областi</t>
  </si>
  <si>
    <t>1510180</t>
  </si>
  <si>
    <t>Управлiння комунальної власностi та земельних вiдносин Чорноморської мiської ради Одеського району Одеської областi</t>
  </si>
  <si>
    <t>Фiнансове управлiння Чорноморської мiської ради Одеського району Одеської областi</t>
  </si>
  <si>
    <t>Резервний фонд місцевого бюджету</t>
  </si>
  <si>
    <t>X</t>
  </si>
  <si>
    <t>УСЬОГО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</si>
  <si>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</si>
  <si>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0813230</t>
  </si>
  <si>
    <t>3118240</t>
  </si>
  <si>
    <t>1518110</t>
  </si>
  <si>
    <t xml:space="preserve"> в тому  числі</t>
  </si>
  <si>
    <t>Виконання (%)</t>
  </si>
  <si>
    <t>0618110</t>
  </si>
  <si>
    <t>0610</t>
  </si>
  <si>
    <t xml:space="preserve">Начальник фінансового управління </t>
  </si>
  <si>
    <t>Ольга ЯКОВЕНКО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</si>
  <si>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</si>
  <si>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</si>
  <si>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</si>
  <si>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</si>
  <si>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</si>
  <si>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</si>
  <si>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3117130</t>
  </si>
  <si>
    <t>7130</t>
  </si>
  <si>
    <t>0421</t>
  </si>
  <si>
    <t>Здійснення заходів із землеустрою</t>
  </si>
  <si>
    <t>7000</t>
  </si>
  <si>
    <t>Економічна діяльність</t>
  </si>
  <si>
    <t>Інша діяльність</t>
  </si>
  <si>
    <t>8000</t>
  </si>
  <si>
    <t>9000</t>
  </si>
  <si>
    <t>Міжбюджетні трансферти</t>
  </si>
  <si>
    <t>Управління освiти Чорноморської мiської ради Одеського району Одеської областi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</si>
  <si>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</si>
  <si>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</si>
  <si>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</si>
  <si>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</si>
  <si>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Додаток 3</t>
  </si>
  <si>
    <t xml:space="preserve">до рішення Чорноморської міської ради </t>
  </si>
  <si>
    <t>Розроблення схем планування та забудови територій (містобудівної документації)</t>
  </si>
  <si>
    <t>0900000</t>
  </si>
  <si>
    <t>Служба у справах дітей Чорноморської мiської ради Одеського району Одеської областi</t>
  </si>
  <si>
    <t>0910000</t>
  </si>
  <si>
    <t>0910160</t>
  </si>
  <si>
    <t>0913112</t>
  </si>
  <si>
    <t>Затверджено розписом на звітний рік з урахуванням змін, грн</t>
  </si>
  <si>
    <t>0217350</t>
  </si>
  <si>
    <t>7350</t>
  </si>
  <si>
    <t>0218240</t>
  </si>
  <si>
    <t>0910180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</si>
  <si>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</si>
  <si>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1517368</t>
  </si>
  <si>
    <t>7368</t>
  </si>
  <si>
    <t>Виконання інвестиційних проектів за рахунок субвенцій з інших бюджетів</t>
  </si>
  <si>
    <t>в т.ч.: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</si>
  <si>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</si>
  <si>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</si>
  <si>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</si>
  <si>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</si>
  <si>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</si>
  <si>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</si>
  <si>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</si>
  <si>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</si>
  <si>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</si>
  <si>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</si>
  <si>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0217640</t>
  </si>
  <si>
    <t>Будівництво об'єктів житлово-комунального господарства</t>
  </si>
  <si>
    <t>Будівництво освітніх установ та закладів</t>
  </si>
  <si>
    <t>Разом</t>
  </si>
  <si>
    <t>усього</t>
  </si>
  <si>
    <t>Виконано за звітний період, грн</t>
  </si>
  <si>
    <t>0217130</t>
  </si>
  <si>
    <t>0218110</t>
  </si>
  <si>
    <t>0218775</t>
  </si>
  <si>
    <t>Інші заходи за рахунок коштів резервного фонду місцевого бюджету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</si>
  <si>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</si>
  <si>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</si>
  <si>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</si>
  <si>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</si>
  <si>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</si>
  <si>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</si>
  <si>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</si>
  <si>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</si>
  <si>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</si>
  <si>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</si>
  <si>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</si>
  <si>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</si>
  <si>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</si>
  <si>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</si>
  <si>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</si>
  <si>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Міська цільова соціальна програма розвитку цивільного захисту Чорноморської міської територіальної громади на 2021-2025 роки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</si>
  <si>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</si>
  <si>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</si>
  <si>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8761</t>
  </si>
  <si>
    <t>про виконання видатків бюджету  Чорноморської міської територіальної громади  за  9 місяців  2024 року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</si>
  <si>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</si>
  <si>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</si>
  <si>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0617520</t>
  </si>
  <si>
    <t>0460</t>
  </si>
  <si>
    <t>Реалізація Національної програми інформатизації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</si>
  <si>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</si>
  <si>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</si>
  <si>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1218746</t>
  </si>
  <si>
    <t>0640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</si>
  <si>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</si>
  <si>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 xml:space="preserve">Субвенція обласному бюджету Одеської області на співфінансування придбання шкільного автобусу відповідно до п. 4 Порядку та умов надання субвенції з державного бюджету місцевим бюджетам на придбання шкільних автобусів, затверджених постановою Кабінету Міністрів України від 28 квітня 2023 р. № 418 (зі змінами) </t>
  </si>
  <si>
    <t>0217520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</si>
  <si>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</si>
  <si>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</si>
  <si>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</si>
  <si>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0813221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</si>
  <si>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</si>
  <si>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</si>
  <si>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</si>
  <si>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більше 100%</t>
  </si>
  <si>
    <t>у 24,5 рази</t>
  </si>
  <si>
    <t>у 19,5 разів</t>
  </si>
  <si>
    <t>від     30.10.  2024  № 686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</si>
</sst>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;\-#,##0.00;#,&quot;-&quot;"/>
    <numFmt numFmtId="166" formatCode="#,##0;\-#,##0;#,&quot;-&quot;"/>
    <numFmt numFmtId="167" formatCode="0.0%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4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24" fillId="3" borderId="0" applyNumberFormat="0" applyBorder="0" applyAlignment="0" applyProtection="0"/>
    <xf numFmtId="0" fontId="32" fillId="0" borderId="0"/>
  </cellStyleXfs>
  <cellXfs count="146">
    <xf numFmtId="0" fontId="0" fillId="0" borderId="0" xfId="0"/>
    <xf numFmtId="0" fontId="6" fillId="2" borderId="0" xfId="0" applyFont="1" applyFill="1"/>
    <xf numFmtId="0" fontId="5" fillId="2" borderId="0" xfId="0" applyFont="1" applyFill="1"/>
    <xf numFmtId="0" fontId="9" fillId="2" borderId="0" xfId="0" applyFont="1" applyFill="1"/>
    <xf numFmtId="164" fontId="9" fillId="0" borderId="0" xfId="0" applyNumberFormat="1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0" fontId="3" fillId="0" borderId="0" xfId="2" applyFont="1"/>
    <xf numFmtId="49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18" fillId="0" borderId="1" xfId="0" applyFont="1" applyBorder="1" applyAlignment="1">
      <alignment vertical="center" wrapText="1"/>
    </xf>
    <xf numFmtId="0" fontId="18" fillId="0" borderId="1" xfId="0" quotePrefix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quotePrefix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quotePrefix="1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vertical="center" wrapText="1"/>
    </xf>
    <xf numFmtId="0" fontId="19" fillId="0" borderId="2" xfId="0" quotePrefix="1" applyFont="1" applyBorder="1" applyAlignment="1">
      <alignment vertical="center" wrapText="1"/>
    </xf>
    <xf numFmtId="1" fontId="19" fillId="0" borderId="1" xfId="0" applyNumberFormat="1" applyFont="1" applyBorder="1" applyAlignment="1">
      <alignment horizontal="left" vertical="center" wrapText="1"/>
    </xf>
    <xf numFmtId="2" fontId="19" fillId="0" borderId="1" xfId="0" quotePrefix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49" fontId="5" fillId="0" borderId="0" xfId="0" applyNumberFormat="1" applyFont="1"/>
    <xf numFmtId="4" fontId="6" fillId="0" borderId="0" xfId="0" applyNumberFormat="1" applyFont="1"/>
    <xf numFmtId="0" fontId="25" fillId="0" borderId="1" xfId="0" applyFont="1" applyBorder="1" applyAlignment="1">
      <alignment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9" fontId="18" fillId="0" borderId="1" xfId="0" applyNumberFormat="1" applyFont="1" applyBorder="1" applyAlignment="1">
      <alignment vertical="center" wrapText="1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49" fontId="19" fillId="0" borderId="1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164" fontId="19" fillId="0" borderId="1" xfId="2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9" fillId="2" borderId="0" xfId="0" applyFont="1" applyFill="1"/>
    <xf numFmtId="3" fontId="7" fillId="0" borderId="1" xfId="2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20" fillId="0" borderId="1" xfId="2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/>
    </xf>
    <xf numFmtId="3" fontId="19" fillId="0" borderId="1" xfId="2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/>
    </xf>
    <xf numFmtId="3" fontId="18" fillId="0" borderId="1" xfId="2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/>
    </xf>
    <xf numFmtId="2" fontId="6" fillId="0" borderId="0" xfId="0" applyNumberFormat="1" applyFont="1"/>
    <xf numFmtId="166" fontId="20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2" fontId="6" fillId="2" borderId="0" xfId="0" applyNumberFormat="1" applyFont="1" applyFill="1"/>
    <xf numFmtId="3" fontId="5" fillId="0" borderId="0" xfId="0" applyNumberFormat="1" applyFont="1"/>
    <xf numFmtId="3" fontId="5" fillId="0" borderId="0" xfId="4" applyNumberFormat="1" applyFont="1" applyFill="1" applyAlignment="1">
      <alignment vertical="center"/>
    </xf>
    <xf numFmtId="165" fontId="20" fillId="0" borderId="1" xfId="0" applyNumberFormat="1" applyFont="1" applyBorder="1" applyAlignment="1">
      <alignment vertical="center"/>
    </xf>
    <xf numFmtId="0" fontId="19" fillId="0" borderId="1" xfId="0" quotePrefix="1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167" fontId="7" fillId="0" borderId="1" xfId="2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center" wrapText="1"/>
    </xf>
    <xf numFmtId="4" fontId="5" fillId="2" borderId="0" xfId="0" applyNumberFormat="1" applyFont="1" applyFill="1" applyAlignment="1">
      <alignment vertical="center"/>
    </xf>
    <xf numFmtId="3" fontId="20" fillId="0" borderId="1" xfId="0" applyNumberFormat="1" applyFont="1" applyBorder="1" applyAlignment="1">
      <alignment vertical="center"/>
    </xf>
    <xf numFmtId="167" fontId="8" fillId="0" borderId="1" xfId="2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wrapText="1"/>
    </xf>
    <xf numFmtId="0" fontId="3" fillId="0" borderId="0" xfId="2" applyFont="1" applyAlignment="1">
      <alignment horizontal="right" wrapText="1"/>
    </xf>
    <xf numFmtId="0" fontId="3" fillId="0" borderId="1" xfId="2" applyFont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 wrapText="1"/>
    </xf>
    <xf numFmtId="2" fontId="14" fillId="0" borderId="0" xfId="0" applyNumberFormat="1" applyFont="1"/>
    <xf numFmtId="0" fontId="3" fillId="0" borderId="0" xfId="0" applyFont="1" applyAlignment="1">
      <alignment horizontal="left"/>
    </xf>
    <xf numFmtId="166" fontId="20" fillId="0" borderId="1" xfId="0" applyNumberFormat="1" applyFont="1" applyBorder="1" applyAlignment="1">
      <alignment horizontal="right" vertical="center"/>
    </xf>
    <xf numFmtId="0" fontId="14" fillId="0" borderId="0" xfId="0" applyFont="1"/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" fontId="5" fillId="0" borderId="1" xfId="2" applyNumberFormat="1" applyFont="1" applyBorder="1" applyAlignment="1">
      <alignment horizontal="right" vertical="center" wrapText="1"/>
    </xf>
    <xf numFmtId="4" fontId="8" fillId="0" borderId="1" xfId="2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19" fillId="0" borderId="1" xfId="5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right" wrapText="1"/>
    </xf>
    <xf numFmtId="3" fontId="6" fillId="0" borderId="0" xfId="0" applyNumberFormat="1" applyFont="1"/>
    <xf numFmtId="0" fontId="3" fillId="0" borderId="0" xfId="0" applyFont="1" applyAlignment="1">
      <alignment horizontal="right" wrapText="1"/>
    </xf>
    <xf numFmtId="49" fontId="12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</cellXfs>
  <cellStyles count="6">
    <cellStyle name="Гарний" xfId="4" builtinId="26"/>
    <cellStyle name="Звичайний" xfId="0" builtinId="0"/>
    <cellStyle name="Обычный 2" xfId="3" xr:uid="{00000000-0005-0000-0000-000002000000}"/>
    <cellStyle name="Обычный 3" xfId="1" xr:uid="{00000000-0005-0000-0000-000003000000}"/>
    <cellStyle name="Обычный 9" xfId="5" xr:uid="{00000000-0005-0000-0000-000004000000}"/>
    <cellStyle name="Обычный_дод 3" xfId="2" xr:uid="{00000000-0005-0000-0000-000005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pageSetUpPr fitToPage="1"/>
  </sheetPr>
  <dimension ref="A1:R206"/>
  <sheetViews>
    <sheetView showZeros="0" tabSelected="1" view="pageBreakPreview" zoomScale="50" zoomScaleNormal="50" zoomScaleSheetLayoutView="50" workbookViewId="0">
      <pane xSplit="4" ySplit="15" topLeftCell="F184" activePane="bottomRight" state="frozen"/>
      <selection pane="topRight" activeCell="E1" sqref="E1"/>
      <selection pane="bottomLeft" activeCell="A13" sqref="A13"/>
      <selection pane="bottomRight" activeCell="M3" sqref="M3:P3"/>
    </sheetView>
  </sheetViews>
  <sheetFormatPr defaultColWidth="9.109375" defaultRowHeight="15.6" x14ac:dyDescent="0.3"/>
  <cols>
    <col min="1" max="1" width="18" style="9" customWidth="1"/>
    <col min="2" max="2" width="15.109375" style="9" customWidth="1"/>
    <col min="3" max="3" width="18.44140625" style="9" customWidth="1"/>
    <col min="4" max="4" width="54.109375" style="8" customWidth="1"/>
    <col min="5" max="5" width="23.109375" style="8" customWidth="1"/>
    <col min="6" max="6" width="26.33203125" style="8" customWidth="1"/>
    <col min="7" max="7" width="21.6640625" style="8" customWidth="1"/>
    <col min="8" max="8" width="20.109375" style="8" customWidth="1"/>
    <col min="9" max="9" width="22.44140625" style="8" customWidth="1"/>
    <col min="10" max="10" width="26.6640625" style="8" customWidth="1"/>
    <col min="11" max="11" width="23.33203125" style="8" customWidth="1"/>
    <col min="12" max="12" width="22" style="8" customWidth="1"/>
    <col min="13" max="13" width="11" style="101" customWidth="1"/>
    <col min="14" max="14" width="12.6640625" style="101" customWidth="1"/>
    <col min="15" max="15" width="16.88671875" style="101" customWidth="1"/>
    <col min="16" max="16" width="11.109375" style="101" customWidth="1"/>
    <col min="17" max="17" width="12" style="1" bestFit="1" customWidth="1"/>
    <col min="18" max="16384" width="9.109375" style="1"/>
  </cols>
  <sheetData>
    <row r="1" spans="1:16" x14ac:dyDescent="0.3">
      <c r="A1" s="4"/>
      <c r="B1" s="5"/>
      <c r="C1" s="5"/>
      <c r="D1" s="6"/>
      <c r="E1" s="7"/>
      <c r="F1" s="7"/>
      <c r="G1" s="7"/>
      <c r="H1" s="7"/>
      <c r="I1" s="7"/>
      <c r="J1" s="7"/>
      <c r="K1" s="7"/>
      <c r="L1" s="7"/>
      <c r="M1" s="118" t="s">
        <v>309</v>
      </c>
      <c r="N1" s="118"/>
      <c r="O1" s="118"/>
      <c r="P1" s="108"/>
    </row>
    <row r="2" spans="1:16" ht="15.6" customHeight="1" x14ac:dyDescent="0.3">
      <c r="A2" s="4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118" t="s">
        <v>310</v>
      </c>
      <c r="N2" s="118"/>
      <c r="O2" s="118"/>
      <c r="P2" s="118"/>
    </row>
    <row r="3" spans="1:16" ht="15.6" customHeight="1" x14ac:dyDescent="0.3">
      <c r="A3" s="4"/>
      <c r="B3" s="5"/>
      <c r="D3" s="6"/>
      <c r="E3" s="7"/>
      <c r="F3" s="7"/>
      <c r="G3" s="7"/>
      <c r="H3" s="7"/>
      <c r="I3" s="7"/>
      <c r="J3" s="7"/>
      <c r="K3" s="103"/>
      <c r="L3" s="7"/>
      <c r="M3" s="118" t="s">
        <v>389</v>
      </c>
      <c r="N3" s="118"/>
      <c r="O3" s="118"/>
      <c r="P3" s="118"/>
    </row>
    <row r="4" spans="1:16" x14ac:dyDescent="0.3">
      <c r="A4" s="10"/>
      <c r="D4" s="6"/>
      <c r="E4" s="7"/>
      <c r="F4" s="7"/>
      <c r="G4" s="7"/>
      <c r="H4" s="7"/>
      <c r="I4" s="7"/>
      <c r="J4" s="7"/>
      <c r="K4" s="103"/>
      <c r="L4" s="7"/>
      <c r="M4" s="118"/>
      <c r="N4" s="118"/>
      <c r="O4" s="118"/>
      <c r="P4" s="108"/>
    </row>
    <row r="5" spans="1:16" s="3" customFormat="1" x14ac:dyDescent="0.3">
      <c r="A5" s="135" t="s">
        <v>175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16" s="3" customFormat="1" x14ac:dyDescent="0.3">
      <c r="A6" s="136" t="s">
        <v>366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16" s="3" customFormat="1" x14ac:dyDescent="0.3">
      <c r="A7" s="14">
        <v>1558900000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95"/>
      <c r="N7" s="95"/>
      <c r="O7" s="95"/>
      <c r="P7" s="95"/>
    </row>
    <row r="8" spans="1:16" s="3" customFormat="1" x14ac:dyDescent="0.3">
      <c r="A8" s="110" t="s">
        <v>215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95"/>
      <c r="N8" s="95"/>
      <c r="O8" s="95"/>
      <c r="P8" s="95"/>
    </row>
    <row r="9" spans="1:16" x14ac:dyDescent="0.3">
      <c r="D9" s="11"/>
      <c r="E9" s="11"/>
      <c r="F9" s="11"/>
      <c r="G9" s="11"/>
      <c r="H9" s="11"/>
      <c r="I9" s="11"/>
      <c r="J9" s="11"/>
      <c r="K9" s="11"/>
      <c r="L9" s="11"/>
      <c r="M9" s="96"/>
      <c r="N9" s="96"/>
      <c r="O9" s="96"/>
      <c r="P9" s="96"/>
    </row>
    <row r="10" spans="1:16" ht="15.6" customHeight="1" x14ac:dyDescent="0.3">
      <c r="A10" s="120" t="s">
        <v>161</v>
      </c>
      <c r="B10" s="119" t="s">
        <v>162</v>
      </c>
      <c r="C10" s="120" t="s">
        <v>163</v>
      </c>
      <c r="D10" s="121" t="s">
        <v>164</v>
      </c>
      <c r="E10" s="127" t="s">
        <v>317</v>
      </c>
      <c r="F10" s="128"/>
      <c r="G10" s="128"/>
      <c r="H10" s="129"/>
      <c r="I10" s="127" t="s">
        <v>342</v>
      </c>
      <c r="J10" s="128"/>
      <c r="K10" s="128"/>
      <c r="L10" s="129"/>
      <c r="M10" s="137" t="s">
        <v>283</v>
      </c>
      <c r="N10" s="138"/>
      <c r="O10" s="138"/>
      <c r="P10" s="139"/>
    </row>
    <row r="11" spans="1:16" ht="15.6" customHeight="1" x14ac:dyDescent="0.3">
      <c r="A11" s="120"/>
      <c r="B11" s="119"/>
      <c r="C11" s="120"/>
      <c r="D11" s="121"/>
      <c r="E11" s="130" t="s">
        <v>340</v>
      </c>
      <c r="F11" s="124" t="s">
        <v>176</v>
      </c>
      <c r="G11" s="125"/>
      <c r="H11" s="126"/>
      <c r="I11" s="130" t="s">
        <v>340</v>
      </c>
      <c r="J11" s="124" t="s">
        <v>282</v>
      </c>
      <c r="K11" s="125"/>
      <c r="L11" s="126"/>
      <c r="M11" s="140" t="s">
        <v>340</v>
      </c>
      <c r="N11" s="143" t="s">
        <v>177</v>
      </c>
      <c r="O11" s="144"/>
      <c r="P11" s="145"/>
    </row>
    <row r="12" spans="1:16" x14ac:dyDescent="0.3">
      <c r="A12" s="120"/>
      <c r="B12" s="119"/>
      <c r="C12" s="120"/>
      <c r="D12" s="121"/>
      <c r="E12" s="131"/>
      <c r="F12" s="122" t="s">
        <v>178</v>
      </c>
      <c r="G12" s="122" t="s">
        <v>179</v>
      </c>
      <c r="H12" s="122"/>
      <c r="I12" s="131"/>
      <c r="J12" s="122" t="s">
        <v>180</v>
      </c>
      <c r="K12" s="122" t="s">
        <v>179</v>
      </c>
      <c r="L12" s="122"/>
      <c r="M12" s="141"/>
      <c r="N12" s="122" t="s">
        <v>178</v>
      </c>
      <c r="O12" s="133" t="s">
        <v>179</v>
      </c>
      <c r="P12" s="133"/>
    </row>
    <row r="13" spans="1:16" x14ac:dyDescent="0.3">
      <c r="A13" s="120"/>
      <c r="B13" s="119"/>
      <c r="C13" s="120"/>
      <c r="D13" s="121"/>
      <c r="E13" s="131"/>
      <c r="F13" s="123"/>
      <c r="G13" s="134" t="s">
        <v>341</v>
      </c>
      <c r="H13" s="109" t="s">
        <v>181</v>
      </c>
      <c r="I13" s="131"/>
      <c r="J13" s="123"/>
      <c r="K13" s="134" t="s">
        <v>341</v>
      </c>
      <c r="L13" s="109" t="s">
        <v>181</v>
      </c>
      <c r="M13" s="141"/>
      <c r="N13" s="123"/>
      <c r="O13" s="134" t="s">
        <v>341</v>
      </c>
      <c r="P13" s="109" t="s">
        <v>181</v>
      </c>
    </row>
    <row r="14" spans="1:16" ht="40.200000000000003" customHeight="1" x14ac:dyDescent="0.3">
      <c r="A14" s="120"/>
      <c r="B14" s="119"/>
      <c r="C14" s="120"/>
      <c r="D14" s="121"/>
      <c r="E14" s="132"/>
      <c r="F14" s="123"/>
      <c r="G14" s="134"/>
      <c r="H14" s="109" t="s">
        <v>0</v>
      </c>
      <c r="I14" s="132"/>
      <c r="J14" s="123"/>
      <c r="K14" s="134"/>
      <c r="L14" s="109" t="s">
        <v>0</v>
      </c>
      <c r="M14" s="142"/>
      <c r="N14" s="123"/>
      <c r="O14" s="134"/>
      <c r="P14" s="109" t="s">
        <v>0</v>
      </c>
    </row>
    <row r="15" spans="1:16" x14ac:dyDescent="0.3">
      <c r="A15" s="12">
        <v>1</v>
      </c>
      <c r="B15" s="12">
        <v>2</v>
      </c>
      <c r="C15" s="12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97">
        <v>13</v>
      </c>
      <c r="N15" s="97">
        <v>14</v>
      </c>
      <c r="O15" s="97">
        <v>15</v>
      </c>
      <c r="P15" s="97">
        <v>16</v>
      </c>
    </row>
    <row r="16" spans="1:16" s="36" customFormat="1" ht="34.799999999999997" x14ac:dyDescent="0.3">
      <c r="A16" s="17" t="s">
        <v>61</v>
      </c>
      <c r="B16" s="17" t="s">
        <v>231</v>
      </c>
      <c r="C16" s="17" t="s">
        <v>231</v>
      </c>
      <c r="D16" s="18" t="s">
        <v>232</v>
      </c>
      <c r="E16" s="57">
        <f>F16+G16</f>
        <v>172444982</v>
      </c>
      <c r="F16" s="58">
        <f>F17</f>
        <v>164668893</v>
      </c>
      <c r="G16" s="58">
        <f t="shared" ref="G16:H16" si="0">G17</f>
        <v>7776089</v>
      </c>
      <c r="H16" s="58">
        <f t="shared" si="0"/>
        <v>7537489</v>
      </c>
      <c r="I16" s="57">
        <f>J16+K16</f>
        <v>112868264.49000002</v>
      </c>
      <c r="J16" s="57">
        <f>J17</f>
        <v>105240667.57000002</v>
      </c>
      <c r="K16" s="57">
        <f t="shared" ref="K16:L16" si="1">K17</f>
        <v>7627596.9199999999</v>
      </c>
      <c r="L16" s="57">
        <f t="shared" si="1"/>
        <v>4206035.32</v>
      </c>
      <c r="M16" s="88">
        <f>IFERROR((I16/E16),"")</f>
        <v>0.65451753469985008</v>
      </c>
      <c r="N16" s="88">
        <f t="shared" ref="N16:P16" si="2">IFERROR((J16/F16),"")</f>
        <v>0.63910472495858717</v>
      </c>
      <c r="O16" s="88">
        <f t="shared" si="2"/>
        <v>0.98090401485888346</v>
      </c>
      <c r="P16" s="88">
        <f t="shared" si="2"/>
        <v>0.55801545050347667</v>
      </c>
    </row>
    <row r="17" spans="1:16" s="37" customFormat="1" ht="34.799999999999997" x14ac:dyDescent="0.3">
      <c r="A17" s="17" t="s">
        <v>62</v>
      </c>
      <c r="B17" s="17" t="s">
        <v>231</v>
      </c>
      <c r="C17" s="17" t="s">
        <v>231</v>
      </c>
      <c r="D17" s="18" t="s">
        <v>232</v>
      </c>
      <c r="E17" s="58">
        <f>F17+G17</f>
        <v>172444982</v>
      </c>
      <c r="F17" s="58">
        <f t="shared" ref="F17:J17" si="3">F18+F23+F24+F25+F26+F27+F28+F29+F30+F38+F40+F41+F42+F44+F43+F35+F34+F39+F45</f>
        <v>164668893</v>
      </c>
      <c r="G17" s="58">
        <f>G18+G23+G24+G25+G26+G27+G28+G29+G30+G38+G40+G41+G42+G44+G43+G35+G34+G39+G45+G37+G36</f>
        <v>7776089</v>
      </c>
      <c r="H17" s="58">
        <f>H18+H23+H24+H25+H26+H27+H28+H29+H30+H38+H40+H41+H42+H44+H43+H35+H34+H39+H45+H37+H36</f>
        <v>7537489</v>
      </c>
      <c r="I17" s="58">
        <f>I18+I23+I24+I25+I26+I27+I28+I29+I30+I38+I40+I41+I42+I44+I43+I35+I34+I39+I45</f>
        <v>112868264.49000001</v>
      </c>
      <c r="J17" s="58">
        <f t="shared" si="3"/>
        <v>105240667.57000002</v>
      </c>
      <c r="K17" s="58">
        <f>K18+K23+K24+K25+K26+K27+K28+K29+K30+K38+K40+K41+K42+K44+K43+K35+K34+K39+K45+K36</f>
        <v>7627596.9199999999</v>
      </c>
      <c r="L17" s="58">
        <f>L18+L23+L24+L25+L26+L27+L28+L29+L30+L38+L40+L41+L42+L44+L43+L35+L34+L39+L45</f>
        <v>4206035.32</v>
      </c>
      <c r="M17" s="88">
        <f t="shared" ref="M17:M87" si="4">IFERROR((I17/E17),"")</f>
        <v>0.65451753469984997</v>
      </c>
      <c r="N17" s="88">
        <f t="shared" ref="N17:N87" si="5">IFERROR((J17/F17),"")</f>
        <v>0.63910472495858717</v>
      </c>
      <c r="O17" s="88">
        <f t="shared" ref="O17:O86" si="6">IFERROR((K17/G17),"")</f>
        <v>0.98090401485888346</v>
      </c>
      <c r="P17" s="88">
        <f t="shared" ref="O17:P87" si="7">IFERROR((L17/H17),"")</f>
        <v>0.55801545050347667</v>
      </c>
    </row>
    <row r="18" spans="1:16" s="38" customFormat="1" ht="90" x14ac:dyDescent="0.3">
      <c r="A18" s="19" t="s">
        <v>63</v>
      </c>
      <c r="B18" s="19" t="s">
        <v>52</v>
      </c>
      <c r="C18" s="19" t="s">
        <v>2</v>
      </c>
      <c r="D18" s="20" t="s">
        <v>233</v>
      </c>
      <c r="E18" s="59">
        <f t="shared" ref="E18:E83" si="8">F18+G18</f>
        <v>74704573</v>
      </c>
      <c r="F18" s="60">
        <f>F19+F20+F21+F22</f>
        <v>74565973</v>
      </c>
      <c r="G18" s="60">
        <f>G19+G20+G21+G22</f>
        <v>138600</v>
      </c>
      <c r="H18" s="60">
        <f t="shared" ref="H18" si="9">H19+H20+H21+H22</f>
        <v>0</v>
      </c>
      <c r="I18" s="59">
        <f t="shared" ref="I18:I88" si="10">J18+K18</f>
        <v>55691909.409999996</v>
      </c>
      <c r="J18" s="61">
        <f>J19+J20+J21+J22</f>
        <v>52290347.809999995</v>
      </c>
      <c r="K18" s="61">
        <f t="shared" ref="K18:L18" si="11">K19+K20+K21+K22</f>
        <v>3401561.6</v>
      </c>
      <c r="L18" s="61">
        <f t="shared" si="11"/>
        <v>0</v>
      </c>
      <c r="M18" s="90">
        <f t="shared" si="4"/>
        <v>0.74549531807109048</v>
      </c>
      <c r="N18" s="90">
        <f t="shared" si="5"/>
        <v>0.70126286436307883</v>
      </c>
      <c r="O18" s="90" t="s">
        <v>387</v>
      </c>
      <c r="P18" s="90" t="str">
        <f t="shared" si="7"/>
        <v/>
      </c>
    </row>
    <row r="19" spans="1:16" s="39" customFormat="1" ht="36" x14ac:dyDescent="0.3">
      <c r="A19" s="21"/>
      <c r="B19" s="21"/>
      <c r="C19" s="21"/>
      <c r="D19" s="22" t="s">
        <v>232</v>
      </c>
      <c r="E19" s="62">
        <f t="shared" si="8"/>
        <v>66695871</v>
      </c>
      <c r="F19" s="92">
        <v>66557273</v>
      </c>
      <c r="G19" s="63">
        <f>138598</f>
        <v>138598</v>
      </c>
      <c r="H19" s="63"/>
      <c r="I19" s="62">
        <f t="shared" si="10"/>
        <v>50010400.729999997</v>
      </c>
      <c r="J19" s="62">
        <v>46610376.689999998</v>
      </c>
      <c r="K19" s="64">
        <f>50044.98+3349979.06</f>
        <v>3400024.04</v>
      </c>
      <c r="L19" s="64"/>
      <c r="M19" s="93">
        <f t="shared" si="4"/>
        <v>0.74982753774967559</v>
      </c>
      <c r="N19" s="93">
        <f t="shared" si="5"/>
        <v>0.70030478397154283</v>
      </c>
      <c r="O19" s="90" t="s">
        <v>387</v>
      </c>
      <c r="P19" s="93" t="str">
        <f t="shared" si="7"/>
        <v/>
      </c>
    </row>
    <row r="20" spans="1:16" s="39" customFormat="1" ht="54" x14ac:dyDescent="0.3">
      <c r="A20" s="21"/>
      <c r="B20" s="21"/>
      <c r="C20" s="21"/>
      <c r="D20" s="22" t="s">
        <v>212</v>
      </c>
      <c r="E20" s="62">
        <f t="shared" si="8"/>
        <v>3270601</v>
      </c>
      <c r="F20" s="92">
        <v>3270600</v>
      </c>
      <c r="G20" s="63">
        <v>1</v>
      </c>
      <c r="H20" s="63"/>
      <c r="I20" s="62">
        <f t="shared" si="10"/>
        <v>2352282.7400000002</v>
      </c>
      <c r="J20" s="62">
        <v>2350745.1800000002</v>
      </c>
      <c r="K20" s="64">
        <v>1537.56</v>
      </c>
      <c r="L20" s="64"/>
      <c r="M20" s="93">
        <f t="shared" si="4"/>
        <v>0.71922033289906051</v>
      </c>
      <c r="N20" s="93">
        <f t="shared" si="5"/>
        <v>0.71875043722864307</v>
      </c>
      <c r="O20" s="90" t="s">
        <v>386</v>
      </c>
      <c r="P20" s="93" t="str">
        <f t="shared" si="7"/>
        <v/>
      </c>
    </row>
    <row r="21" spans="1:16" s="39" customFormat="1" ht="54" x14ac:dyDescent="0.3">
      <c r="A21" s="21"/>
      <c r="B21" s="21"/>
      <c r="C21" s="21"/>
      <c r="D21" s="22" t="s">
        <v>214</v>
      </c>
      <c r="E21" s="62">
        <f t="shared" si="8"/>
        <v>2157300</v>
      </c>
      <c r="F21" s="92">
        <v>2157300</v>
      </c>
      <c r="G21" s="63"/>
      <c r="H21" s="63"/>
      <c r="I21" s="62">
        <f t="shared" si="10"/>
        <v>1491480.96</v>
      </c>
      <c r="J21" s="62">
        <v>1491480.96</v>
      </c>
      <c r="K21" s="64"/>
      <c r="L21" s="64"/>
      <c r="M21" s="93">
        <f t="shared" si="4"/>
        <v>0.69136465025726601</v>
      </c>
      <c r="N21" s="93">
        <f t="shared" si="5"/>
        <v>0.69136465025726601</v>
      </c>
      <c r="O21" s="93" t="str">
        <f t="shared" si="6"/>
        <v/>
      </c>
      <c r="P21" s="93" t="str">
        <f t="shared" si="7"/>
        <v/>
      </c>
    </row>
    <row r="22" spans="1:16" s="39" customFormat="1" ht="54" x14ac:dyDescent="0.3">
      <c r="A22" s="21"/>
      <c r="B22" s="21"/>
      <c r="C22" s="21"/>
      <c r="D22" s="22" t="s">
        <v>213</v>
      </c>
      <c r="E22" s="62">
        <f t="shared" si="8"/>
        <v>2580801</v>
      </c>
      <c r="F22" s="92">
        <v>2580800</v>
      </c>
      <c r="G22" s="63">
        <v>1</v>
      </c>
      <c r="H22" s="63"/>
      <c r="I22" s="62">
        <f t="shared" si="10"/>
        <v>1837744.98</v>
      </c>
      <c r="J22" s="62">
        <v>1837744.98</v>
      </c>
      <c r="K22" s="64"/>
      <c r="L22" s="64"/>
      <c r="M22" s="93">
        <f t="shared" si="4"/>
        <v>0.71208317882703853</v>
      </c>
      <c r="N22" s="93">
        <f t="shared" si="5"/>
        <v>0.71208345474271539</v>
      </c>
      <c r="O22" s="93">
        <f t="shared" si="6"/>
        <v>0</v>
      </c>
      <c r="P22" s="93" t="str">
        <f t="shared" si="7"/>
        <v/>
      </c>
    </row>
    <row r="23" spans="1:16" s="39" customFormat="1" ht="54" x14ac:dyDescent="0.3">
      <c r="A23" s="19" t="s">
        <v>108</v>
      </c>
      <c r="B23" s="19" t="s">
        <v>109</v>
      </c>
      <c r="C23" s="19" t="s">
        <v>110</v>
      </c>
      <c r="D23" s="20" t="s">
        <v>111</v>
      </c>
      <c r="E23" s="59">
        <f t="shared" si="8"/>
        <v>50000</v>
      </c>
      <c r="F23" s="60">
        <v>50000</v>
      </c>
      <c r="G23" s="60"/>
      <c r="H23" s="60"/>
      <c r="I23" s="59">
        <f t="shared" si="10"/>
        <v>22200</v>
      </c>
      <c r="J23" s="80">
        <v>22200</v>
      </c>
      <c r="K23" s="61"/>
      <c r="L23" s="61"/>
      <c r="M23" s="90">
        <f t="shared" si="4"/>
        <v>0.44400000000000001</v>
      </c>
      <c r="N23" s="90">
        <f t="shared" si="5"/>
        <v>0.44400000000000001</v>
      </c>
      <c r="O23" s="90" t="str">
        <f t="shared" si="6"/>
        <v/>
      </c>
      <c r="P23" s="90" t="str">
        <f t="shared" si="7"/>
        <v/>
      </c>
    </row>
    <row r="24" spans="1:16" s="40" customFormat="1" ht="18" x14ac:dyDescent="0.3">
      <c r="A24" s="19" t="s">
        <v>115</v>
      </c>
      <c r="B24" s="19" t="s">
        <v>9</v>
      </c>
      <c r="C24" s="19" t="s">
        <v>5</v>
      </c>
      <c r="D24" s="20" t="s">
        <v>102</v>
      </c>
      <c r="E24" s="59">
        <f t="shared" si="8"/>
        <v>2576170</v>
      </c>
      <c r="F24" s="60">
        <v>2576170</v>
      </c>
      <c r="G24" s="60"/>
      <c r="H24" s="60"/>
      <c r="I24" s="59">
        <f t="shared" si="10"/>
        <v>932650.79</v>
      </c>
      <c r="J24" s="61">
        <v>932650.79</v>
      </c>
      <c r="K24" s="61"/>
      <c r="L24" s="61"/>
      <c r="M24" s="90">
        <f t="shared" si="4"/>
        <v>0.36202998637512279</v>
      </c>
      <c r="N24" s="90">
        <f t="shared" si="5"/>
        <v>0.36202998637512279</v>
      </c>
      <c r="O24" s="90" t="str">
        <f t="shared" si="6"/>
        <v/>
      </c>
      <c r="P24" s="90" t="str">
        <f t="shared" si="7"/>
        <v/>
      </c>
    </row>
    <row r="25" spans="1:16" s="41" customFormat="1" ht="36" x14ac:dyDescent="0.3">
      <c r="A25" s="19" t="s">
        <v>64</v>
      </c>
      <c r="B25" s="19" t="s">
        <v>30</v>
      </c>
      <c r="C25" s="19" t="s">
        <v>31</v>
      </c>
      <c r="D25" s="20" t="s">
        <v>155</v>
      </c>
      <c r="E25" s="59">
        <f t="shared" si="8"/>
        <v>25205974</v>
      </c>
      <c r="F25" s="60">
        <v>22535284</v>
      </c>
      <c r="G25" s="60">
        <v>2670690</v>
      </c>
      <c r="H25" s="60">
        <f>G25</f>
        <v>2670690</v>
      </c>
      <c r="I25" s="59">
        <f t="shared" si="10"/>
        <v>17049486</v>
      </c>
      <c r="J25" s="61">
        <v>14558289.68</v>
      </c>
      <c r="K25" s="61">
        <f>2491196.32</f>
        <v>2491196.3199999998</v>
      </c>
      <c r="L25" s="61">
        <f>K25</f>
        <v>2491196.3199999998</v>
      </c>
      <c r="M25" s="90">
        <f t="shared" si="4"/>
        <v>0.6764065534622864</v>
      </c>
      <c r="N25" s="90">
        <f t="shared" si="5"/>
        <v>0.64602201951393201</v>
      </c>
      <c r="O25" s="90">
        <f t="shared" si="6"/>
        <v>0.93279127116962279</v>
      </c>
      <c r="P25" s="90">
        <f t="shared" si="7"/>
        <v>0.93279127116962279</v>
      </c>
    </row>
    <row r="26" spans="1:16" s="40" customFormat="1" ht="18" x14ac:dyDescent="0.3">
      <c r="A26" s="19" t="s">
        <v>65</v>
      </c>
      <c r="B26" s="19" t="s">
        <v>53</v>
      </c>
      <c r="C26" s="19" t="s">
        <v>32</v>
      </c>
      <c r="D26" s="20" t="s">
        <v>234</v>
      </c>
      <c r="E26" s="59">
        <f t="shared" si="8"/>
        <v>9140135</v>
      </c>
      <c r="F26" s="60">
        <v>9140135</v>
      </c>
      <c r="G26" s="60"/>
      <c r="H26" s="60"/>
      <c r="I26" s="59">
        <f t="shared" si="10"/>
        <v>5647054.9299999997</v>
      </c>
      <c r="J26" s="61">
        <v>5647054.9299999997</v>
      </c>
      <c r="K26" s="61"/>
      <c r="L26" s="61"/>
      <c r="M26" s="90">
        <f t="shared" si="4"/>
        <v>0.61783058237104804</v>
      </c>
      <c r="N26" s="90">
        <f t="shared" si="5"/>
        <v>0.61783058237104804</v>
      </c>
      <c r="O26" s="90" t="str">
        <f t="shared" si="6"/>
        <v/>
      </c>
      <c r="P26" s="90" t="str">
        <f t="shared" si="7"/>
        <v/>
      </c>
    </row>
    <row r="27" spans="1:16" s="40" customFormat="1" ht="54" x14ac:dyDescent="0.3">
      <c r="A27" s="19" t="s">
        <v>235</v>
      </c>
      <c r="B27" s="23">
        <v>2111</v>
      </c>
      <c r="C27" s="19" t="s">
        <v>236</v>
      </c>
      <c r="D27" s="20" t="s">
        <v>237</v>
      </c>
      <c r="E27" s="59">
        <f t="shared" si="8"/>
        <v>12729200</v>
      </c>
      <c r="F27" s="60">
        <v>11765200</v>
      </c>
      <c r="G27" s="60">
        <v>964000</v>
      </c>
      <c r="H27" s="60">
        <v>964000</v>
      </c>
      <c r="I27" s="59">
        <f t="shared" si="10"/>
        <v>6224997.4199999999</v>
      </c>
      <c r="J27" s="61">
        <v>6082607.4199999999</v>
      </c>
      <c r="K27" s="61">
        <v>142390</v>
      </c>
      <c r="L27" s="61">
        <v>142390</v>
      </c>
      <c r="M27" s="90">
        <f t="shared" si="4"/>
        <v>0.48903288659145899</v>
      </c>
      <c r="N27" s="90">
        <f t="shared" si="5"/>
        <v>0.51699991670349843</v>
      </c>
      <c r="O27" s="90">
        <f t="shared" si="6"/>
        <v>0.14770746887966804</v>
      </c>
      <c r="P27" s="90">
        <f t="shared" si="7"/>
        <v>0.14770746887966804</v>
      </c>
    </row>
    <row r="28" spans="1:16" s="40" customFormat="1" ht="36" x14ac:dyDescent="0.3">
      <c r="A28" s="19" t="s">
        <v>238</v>
      </c>
      <c r="B28" s="19" t="s">
        <v>186</v>
      </c>
      <c r="C28" s="19" t="s">
        <v>128</v>
      </c>
      <c r="D28" s="20" t="s">
        <v>239</v>
      </c>
      <c r="E28" s="59">
        <f t="shared" si="8"/>
        <v>1629600</v>
      </c>
      <c r="F28" s="60">
        <f>229600+1400000</f>
        <v>1629600</v>
      </c>
      <c r="G28" s="60"/>
      <c r="H28" s="60"/>
      <c r="I28" s="59">
        <f t="shared" si="10"/>
        <v>1052802.68</v>
      </c>
      <c r="J28" s="61">
        <f>162149.18+890653.5</f>
        <v>1052802.68</v>
      </c>
      <c r="K28" s="61"/>
      <c r="L28" s="61"/>
      <c r="M28" s="90">
        <f t="shared" si="4"/>
        <v>0.64604975454099156</v>
      </c>
      <c r="N28" s="90">
        <f t="shared" si="5"/>
        <v>0.64604975454099156</v>
      </c>
      <c r="O28" s="90" t="str">
        <f t="shared" si="6"/>
        <v/>
      </c>
      <c r="P28" s="90" t="str">
        <f t="shared" si="7"/>
        <v/>
      </c>
    </row>
    <row r="29" spans="1:16" s="39" customFormat="1" ht="36" x14ac:dyDescent="0.3">
      <c r="A29" s="19" t="s">
        <v>148</v>
      </c>
      <c r="B29" s="19" t="s">
        <v>146</v>
      </c>
      <c r="C29" s="19" t="s">
        <v>3</v>
      </c>
      <c r="D29" s="20" t="s">
        <v>147</v>
      </c>
      <c r="E29" s="59">
        <f t="shared" si="8"/>
        <v>4999900</v>
      </c>
      <c r="F29" s="60">
        <v>4999900</v>
      </c>
      <c r="G29" s="60"/>
      <c r="H29" s="60"/>
      <c r="I29" s="59">
        <f t="shared" si="10"/>
        <v>2091500</v>
      </c>
      <c r="J29" s="61">
        <v>2091500</v>
      </c>
      <c r="K29" s="61"/>
      <c r="L29" s="61"/>
      <c r="M29" s="90">
        <f t="shared" si="4"/>
        <v>0.41830836616732336</v>
      </c>
      <c r="N29" s="90">
        <f t="shared" si="5"/>
        <v>0.41830836616732336</v>
      </c>
      <c r="O29" s="90" t="str">
        <f t="shared" si="6"/>
        <v/>
      </c>
      <c r="P29" s="90" t="str">
        <f t="shared" si="7"/>
        <v/>
      </c>
    </row>
    <row r="30" spans="1:16" s="39" customFormat="1" ht="18" x14ac:dyDescent="0.3">
      <c r="A30" s="19" t="s">
        <v>66</v>
      </c>
      <c r="B30" s="19" t="s">
        <v>40</v>
      </c>
      <c r="C30" s="19" t="s">
        <v>8</v>
      </c>
      <c r="D30" s="20" t="s">
        <v>240</v>
      </c>
      <c r="E30" s="59">
        <f t="shared" si="8"/>
        <v>12041000</v>
      </c>
      <c r="F30" s="60">
        <f>F31+F32+F33</f>
        <v>12041000</v>
      </c>
      <c r="G30" s="60">
        <f>G32+G33</f>
        <v>0</v>
      </c>
      <c r="H30" s="60"/>
      <c r="I30" s="59">
        <f t="shared" si="10"/>
        <v>6362551.1499999994</v>
      </c>
      <c r="J30" s="60">
        <f>J31+J32+J33</f>
        <v>6362551.1499999994</v>
      </c>
      <c r="K30" s="60">
        <f>K32+K33</f>
        <v>0</v>
      </c>
      <c r="L30" s="60">
        <f>L32+L33</f>
        <v>0</v>
      </c>
      <c r="M30" s="90">
        <f t="shared" si="4"/>
        <v>0.528407204551117</v>
      </c>
      <c r="N30" s="90">
        <f t="shared" si="5"/>
        <v>0.528407204551117</v>
      </c>
      <c r="O30" s="90" t="str">
        <f t="shared" si="6"/>
        <v/>
      </c>
      <c r="P30" s="90" t="str">
        <f t="shared" si="7"/>
        <v/>
      </c>
    </row>
    <row r="31" spans="1:16" s="39" customFormat="1" ht="54" x14ac:dyDescent="0.3">
      <c r="A31" s="21"/>
      <c r="B31" s="21"/>
      <c r="C31" s="21"/>
      <c r="D31" s="22" t="s">
        <v>212</v>
      </c>
      <c r="E31" s="62">
        <f t="shared" si="8"/>
        <v>7054300</v>
      </c>
      <c r="F31" s="63">
        <v>7054300</v>
      </c>
      <c r="G31" s="63"/>
      <c r="H31" s="63"/>
      <c r="I31" s="62">
        <f t="shared" si="10"/>
        <v>5529273.8499999996</v>
      </c>
      <c r="J31" s="62">
        <v>5529273.8499999996</v>
      </c>
      <c r="K31" s="64"/>
      <c r="L31" s="64"/>
      <c r="M31" s="93">
        <f t="shared" si="4"/>
        <v>0.78381609089491511</v>
      </c>
      <c r="N31" s="93">
        <f t="shared" si="5"/>
        <v>0.78381609089491511</v>
      </c>
      <c r="O31" s="93" t="str">
        <f t="shared" si="6"/>
        <v/>
      </c>
      <c r="P31" s="93" t="str">
        <f t="shared" si="7"/>
        <v/>
      </c>
    </row>
    <row r="32" spans="1:16" s="39" customFormat="1" ht="54" x14ac:dyDescent="0.3">
      <c r="A32" s="21"/>
      <c r="B32" s="21"/>
      <c r="C32" s="21"/>
      <c r="D32" s="22" t="s">
        <v>214</v>
      </c>
      <c r="E32" s="62">
        <f t="shared" si="8"/>
        <v>1961700</v>
      </c>
      <c r="F32" s="63">
        <v>1961700</v>
      </c>
      <c r="G32" s="63"/>
      <c r="H32" s="63"/>
      <c r="I32" s="62">
        <f t="shared" si="10"/>
        <v>329627.53999999998</v>
      </c>
      <c r="J32" s="62">
        <v>329627.53999999998</v>
      </c>
      <c r="K32" s="64"/>
      <c r="L32" s="64"/>
      <c r="M32" s="93">
        <f t="shared" si="4"/>
        <v>0.16803157465463628</v>
      </c>
      <c r="N32" s="93">
        <f t="shared" si="5"/>
        <v>0.16803157465463628</v>
      </c>
      <c r="O32" s="93" t="str">
        <f t="shared" si="6"/>
        <v/>
      </c>
      <c r="P32" s="93" t="str">
        <f t="shared" si="7"/>
        <v/>
      </c>
    </row>
    <row r="33" spans="1:18" s="39" customFormat="1" ht="54" x14ac:dyDescent="0.3">
      <c r="A33" s="21"/>
      <c r="B33" s="21"/>
      <c r="C33" s="21"/>
      <c r="D33" s="22" t="s">
        <v>213</v>
      </c>
      <c r="E33" s="62">
        <f t="shared" si="8"/>
        <v>3025000</v>
      </c>
      <c r="F33" s="63">
        <v>3025000</v>
      </c>
      <c r="G33" s="63"/>
      <c r="H33" s="63"/>
      <c r="I33" s="62">
        <f t="shared" si="10"/>
        <v>503649.76</v>
      </c>
      <c r="J33" s="62">
        <v>503649.76</v>
      </c>
      <c r="K33" s="64"/>
      <c r="L33" s="64"/>
      <c r="M33" s="93">
        <f t="shared" si="4"/>
        <v>0.16649578842975207</v>
      </c>
      <c r="N33" s="93">
        <f t="shared" si="5"/>
        <v>0.16649578842975207</v>
      </c>
      <c r="O33" s="93" t="str">
        <f t="shared" si="6"/>
        <v/>
      </c>
      <c r="P33" s="93" t="str">
        <f t="shared" si="7"/>
        <v/>
      </c>
    </row>
    <row r="34" spans="1:18" s="39" customFormat="1" ht="18" x14ac:dyDescent="0.3">
      <c r="A34" s="24" t="s">
        <v>343</v>
      </c>
      <c r="B34" s="23">
        <v>7130</v>
      </c>
      <c r="C34" s="24" t="s">
        <v>296</v>
      </c>
      <c r="D34" s="82" t="s">
        <v>297</v>
      </c>
      <c r="E34" s="62">
        <f t="shared" ref="E34:E35" si="12">F34+G34</f>
        <v>3000</v>
      </c>
      <c r="F34" s="63">
        <v>3000</v>
      </c>
      <c r="G34" s="63"/>
      <c r="H34" s="63"/>
      <c r="I34" s="59">
        <f t="shared" si="10"/>
        <v>3000</v>
      </c>
      <c r="J34" s="62">
        <v>3000</v>
      </c>
      <c r="K34" s="64"/>
      <c r="L34" s="64"/>
      <c r="M34" s="90">
        <f t="shared" si="4"/>
        <v>1</v>
      </c>
      <c r="N34" s="90">
        <f t="shared" si="5"/>
        <v>1</v>
      </c>
      <c r="O34" s="90" t="str">
        <f t="shared" si="6"/>
        <v/>
      </c>
      <c r="P34" s="90" t="str">
        <f t="shared" si="7"/>
        <v/>
      </c>
    </row>
    <row r="35" spans="1:18" s="39" customFormat="1" ht="36" x14ac:dyDescent="0.3">
      <c r="A35" s="25" t="s">
        <v>318</v>
      </c>
      <c r="B35" s="25" t="s">
        <v>319</v>
      </c>
      <c r="C35" s="25" t="s">
        <v>125</v>
      </c>
      <c r="D35" s="20" t="s">
        <v>311</v>
      </c>
      <c r="E35" s="62">
        <f t="shared" si="12"/>
        <v>660000</v>
      </c>
      <c r="F35" s="60"/>
      <c r="G35" s="60">
        <v>660000</v>
      </c>
      <c r="H35" s="60">
        <f>G35</f>
        <v>660000</v>
      </c>
      <c r="I35" s="59">
        <f t="shared" si="10"/>
        <v>259999</v>
      </c>
      <c r="J35" s="62">
        <v>0</v>
      </c>
      <c r="K35" s="64">
        <v>259999</v>
      </c>
      <c r="L35" s="64">
        <v>259999</v>
      </c>
      <c r="M35" s="90">
        <f t="shared" si="4"/>
        <v>0.39393787878787878</v>
      </c>
      <c r="N35" s="90" t="str">
        <f t="shared" si="5"/>
        <v/>
      </c>
      <c r="O35" s="90">
        <f t="shared" si="6"/>
        <v>0.39393787878787878</v>
      </c>
      <c r="P35" s="90">
        <f t="shared" si="7"/>
        <v>0.39393787878787878</v>
      </c>
    </row>
    <row r="36" spans="1:18" s="39" customFormat="1" ht="36" x14ac:dyDescent="0.3">
      <c r="A36" s="24" t="s">
        <v>378</v>
      </c>
      <c r="B36" s="23">
        <v>7520</v>
      </c>
      <c r="C36" s="24" t="s">
        <v>370</v>
      </c>
      <c r="D36" s="82" t="s">
        <v>371</v>
      </c>
      <c r="E36" s="62">
        <f t="shared" ref="E36" si="13">F36+G36</f>
        <v>58200</v>
      </c>
      <c r="F36" s="60"/>
      <c r="G36" s="60">
        <v>58200</v>
      </c>
      <c r="H36" s="60">
        <f>G36</f>
        <v>58200</v>
      </c>
      <c r="I36" s="59">
        <f t="shared" ref="I36" si="14">J36+K36</f>
        <v>0</v>
      </c>
      <c r="J36" s="62">
        <v>0</v>
      </c>
      <c r="K36" s="64"/>
      <c r="L36" s="64"/>
      <c r="M36" s="90">
        <f t="shared" ref="M36" si="15">IFERROR((I36/E36),"")</f>
        <v>0</v>
      </c>
      <c r="N36" s="90" t="str">
        <f t="shared" ref="N36" si="16">IFERROR((J36/F36),"")</f>
        <v/>
      </c>
      <c r="O36" s="90">
        <f t="shared" ref="O36" si="17">IFERROR((K36/G36),"")</f>
        <v>0</v>
      </c>
      <c r="P36" s="90">
        <f t="shared" ref="P36" si="18">IFERROR((L36/H36),"")</f>
        <v>0</v>
      </c>
    </row>
    <row r="37" spans="1:18" s="39" customFormat="1" ht="18" x14ac:dyDescent="0.3">
      <c r="A37" s="24" t="s">
        <v>337</v>
      </c>
      <c r="B37" s="23">
        <v>7640</v>
      </c>
      <c r="C37" s="24" t="s">
        <v>6</v>
      </c>
      <c r="D37" s="82" t="s">
        <v>7</v>
      </c>
      <c r="E37" s="59">
        <f t="shared" ref="E37" si="19">F37+G37</f>
        <v>1680000</v>
      </c>
      <c r="F37" s="60"/>
      <c r="G37" s="60">
        <v>1680000</v>
      </c>
      <c r="H37" s="60">
        <v>1680000</v>
      </c>
      <c r="I37" s="59">
        <f t="shared" si="10"/>
        <v>0</v>
      </c>
      <c r="J37" s="62">
        <v>0</v>
      </c>
      <c r="K37" s="64"/>
      <c r="L37" s="64"/>
      <c r="M37" s="90">
        <f t="shared" si="4"/>
        <v>0</v>
      </c>
      <c r="N37" s="90" t="str">
        <f t="shared" si="5"/>
        <v/>
      </c>
      <c r="O37" s="90">
        <f t="shared" si="6"/>
        <v>0</v>
      </c>
      <c r="P37" s="90">
        <f t="shared" si="7"/>
        <v>0</v>
      </c>
    </row>
    <row r="38" spans="1:18" s="40" customFormat="1" ht="36" x14ac:dyDescent="0.3">
      <c r="A38" s="19" t="s">
        <v>113</v>
      </c>
      <c r="B38" s="19" t="s">
        <v>112</v>
      </c>
      <c r="C38" s="19" t="s">
        <v>22</v>
      </c>
      <c r="D38" s="20" t="s">
        <v>114</v>
      </c>
      <c r="E38" s="59">
        <f t="shared" si="8"/>
        <v>122000</v>
      </c>
      <c r="F38" s="60">
        <v>122000</v>
      </c>
      <c r="G38" s="60"/>
      <c r="H38" s="60"/>
      <c r="I38" s="59">
        <f t="shared" si="10"/>
        <v>105295</v>
      </c>
      <c r="J38" s="61">
        <v>105295</v>
      </c>
      <c r="K38" s="61"/>
      <c r="L38" s="61"/>
      <c r="M38" s="90">
        <f t="shared" si="4"/>
        <v>0.86307377049180323</v>
      </c>
      <c r="N38" s="90">
        <f t="shared" si="5"/>
        <v>0.86307377049180323</v>
      </c>
      <c r="O38" s="90" t="str">
        <f t="shared" si="6"/>
        <v/>
      </c>
      <c r="P38" s="90" t="str">
        <f t="shared" si="7"/>
        <v/>
      </c>
    </row>
    <row r="39" spans="1:18" s="40" customFormat="1" ht="54" x14ac:dyDescent="0.3">
      <c r="A39" s="24" t="s">
        <v>344</v>
      </c>
      <c r="B39" s="23">
        <v>8110</v>
      </c>
      <c r="C39" s="24" t="s">
        <v>4</v>
      </c>
      <c r="D39" s="82" t="s">
        <v>137</v>
      </c>
      <c r="E39" s="59">
        <f t="shared" si="8"/>
        <v>91000</v>
      </c>
      <c r="F39" s="60">
        <v>91000</v>
      </c>
      <c r="G39" s="60"/>
      <c r="H39" s="60"/>
      <c r="I39" s="59">
        <f t="shared" si="10"/>
        <v>37442.1</v>
      </c>
      <c r="J39" s="61">
        <v>37442.1</v>
      </c>
      <c r="K39" s="61"/>
      <c r="L39" s="61"/>
      <c r="M39" s="90">
        <f t="shared" si="4"/>
        <v>0.41145164835164832</v>
      </c>
      <c r="N39" s="90">
        <f t="shared" si="5"/>
        <v>0.41145164835164832</v>
      </c>
      <c r="O39" s="90" t="str">
        <f t="shared" si="6"/>
        <v/>
      </c>
      <c r="P39" s="90" t="str">
        <f t="shared" si="7"/>
        <v/>
      </c>
    </row>
    <row r="40" spans="1:18" s="40" customFormat="1" ht="36" x14ac:dyDescent="0.3">
      <c r="A40" s="19" t="s">
        <v>182</v>
      </c>
      <c r="B40" s="19" t="s">
        <v>183</v>
      </c>
      <c r="C40" s="19" t="s">
        <v>160</v>
      </c>
      <c r="D40" s="20" t="s">
        <v>184</v>
      </c>
      <c r="E40" s="59">
        <f t="shared" si="8"/>
        <v>21324400</v>
      </c>
      <c r="F40" s="60">
        <v>21287101</v>
      </c>
      <c r="G40" s="60">
        <v>37299</v>
      </c>
      <c r="H40" s="60">
        <v>37299</v>
      </c>
      <c r="I40" s="59">
        <f t="shared" si="10"/>
        <v>14021397.130000001</v>
      </c>
      <c r="J40" s="65">
        <v>13985447.130000001</v>
      </c>
      <c r="K40" s="65">
        <v>35950</v>
      </c>
      <c r="L40" s="65">
        <v>35950</v>
      </c>
      <c r="M40" s="90">
        <f t="shared" si="4"/>
        <v>0.657528330457129</v>
      </c>
      <c r="N40" s="90">
        <f t="shared" si="5"/>
        <v>0.65699162746491413</v>
      </c>
      <c r="O40" s="90">
        <f t="shared" si="6"/>
        <v>0.96383281053111347</v>
      </c>
      <c r="P40" s="90">
        <f t="shared" si="7"/>
        <v>0.96383281053111347</v>
      </c>
      <c r="Q40" s="42"/>
    </row>
    <row r="41" spans="1:18" s="40" customFormat="1" ht="36" x14ac:dyDescent="0.3">
      <c r="A41" s="19" t="s">
        <v>241</v>
      </c>
      <c r="B41" s="23">
        <v>8220</v>
      </c>
      <c r="C41" s="19" t="s">
        <v>160</v>
      </c>
      <c r="D41" s="20" t="s">
        <v>242</v>
      </c>
      <c r="E41" s="59">
        <f t="shared" si="8"/>
        <v>786030</v>
      </c>
      <c r="F41" s="60">
        <v>786030</v>
      </c>
      <c r="G41" s="60"/>
      <c r="H41" s="60"/>
      <c r="I41" s="59">
        <f t="shared" si="10"/>
        <v>124020</v>
      </c>
      <c r="J41" s="61">
        <v>124020</v>
      </c>
      <c r="K41" s="65"/>
      <c r="L41" s="65"/>
      <c r="M41" s="90">
        <f t="shared" si="4"/>
        <v>0.15778023739551925</v>
      </c>
      <c r="N41" s="90">
        <f t="shared" si="5"/>
        <v>0.15778023739551925</v>
      </c>
      <c r="O41" s="90" t="str">
        <f t="shared" si="6"/>
        <v/>
      </c>
      <c r="P41" s="90" t="str">
        <f t="shared" si="7"/>
        <v/>
      </c>
      <c r="Q41" s="42"/>
    </row>
    <row r="42" spans="1:18" s="40" customFormat="1" ht="18" x14ac:dyDescent="0.3">
      <c r="A42" s="19" t="s">
        <v>243</v>
      </c>
      <c r="B42" s="19" t="s">
        <v>244</v>
      </c>
      <c r="C42" s="19" t="s">
        <v>160</v>
      </c>
      <c r="D42" s="20" t="s">
        <v>245</v>
      </c>
      <c r="E42" s="59">
        <f t="shared" si="8"/>
        <v>2677300</v>
      </c>
      <c r="F42" s="60">
        <v>2486500</v>
      </c>
      <c r="G42" s="60">
        <v>190800</v>
      </c>
      <c r="H42" s="60">
        <v>190800</v>
      </c>
      <c r="I42" s="59">
        <f t="shared" si="10"/>
        <v>1430036.4</v>
      </c>
      <c r="J42" s="61">
        <v>1430036.4</v>
      </c>
      <c r="K42" s="65"/>
      <c r="L42" s="65"/>
      <c r="M42" s="90">
        <f t="shared" si="4"/>
        <v>0.53413379150636831</v>
      </c>
      <c r="N42" s="90">
        <f t="shared" si="5"/>
        <v>0.57512020912929818</v>
      </c>
      <c r="O42" s="90">
        <f t="shared" si="6"/>
        <v>0</v>
      </c>
      <c r="P42" s="90">
        <f t="shared" si="7"/>
        <v>0</v>
      </c>
      <c r="Q42" s="42"/>
    </row>
    <row r="43" spans="1:18" s="40" customFormat="1" ht="18" x14ac:dyDescent="0.3">
      <c r="A43" s="25" t="s">
        <v>320</v>
      </c>
      <c r="B43" s="25" t="s">
        <v>246</v>
      </c>
      <c r="C43" s="25" t="s">
        <v>160</v>
      </c>
      <c r="D43" s="20" t="s">
        <v>247</v>
      </c>
      <c r="E43" s="59">
        <f t="shared" ref="E43" si="20">F43+G43</f>
        <v>1276500</v>
      </c>
      <c r="F43" s="60"/>
      <c r="G43" s="60">
        <v>1276500</v>
      </c>
      <c r="H43" s="60">
        <f>G43</f>
        <v>1276500</v>
      </c>
      <c r="I43" s="59">
        <f t="shared" si="10"/>
        <v>1276500</v>
      </c>
      <c r="J43" s="61">
        <v>0</v>
      </c>
      <c r="K43" s="65">
        <f>L43</f>
        <v>1276500</v>
      </c>
      <c r="L43" s="65">
        <v>1276500</v>
      </c>
      <c r="M43" s="90">
        <f t="shared" si="4"/>
        <v>1</v>
      </c>
      <c r="N43" s="90" t="str">
        <f t="shared" si="5"/>
        <v/>
      </c>
      <c r="O43" s="90">
        <f t="shared" si="6"/>
        <v>1</v>
      </c>
      <c r="P43" s="90">
        <f t="shared" si="7"/>
        <v>1</v>
      </c>
      <c r="Q43" s="42"/>
    </row>
    <row r="44" spans="1:18" s="40" customFormat="1" ht="36" x14ac:dyDescent="0.3">
      <c r="A44" s="19" t="s">
        <v>127</v>
      </c>
      <c r="B44" s="19" t="s">
        <v>126</v>
      </c>
      <c r="C44" s="19" t="s">
        <v>42</v>
      </c>
      <c r="D44" s="20" t="s">
        <v>135</v>
      </c>
      <c r="E44" s="59">
        <f t="shared" si="8"/>
        <v>100000</v>
      </c>
      <c r="F44" s="60"/>
      <c r="G44" s="60">
        <v>100000</v>
      </c>
      <c r="H44" s="60"/>
      <c r="I44" s="59">
        <f t="shared" si="10"/>
        <v>20000</v>
      </c>
      <c r="J44" s="61"/>
      <c r="K44" s="65">
        <v>20000</v>
      </c>
      <c r="L44" s="65"/>
      <c r="M44" s="90">
        <f t="shared" si="4"/>
        <v>0.2</v>
      </c>
      <c r="N44" s="90" t="str">
        <f t="shared" si="5"/>
        <v/>
      </c>
      <c r="O44" s="90">
        <f t="shared" si="6"/>
        <v>0.2</v>
      </c>
      <c r="P44" s="90" t="str">
        <f t="shared" si="7"/>
        <v/>
      </c>
      <c r="R44" s="43"/>
    </row>
    <row r="45" spans="1:18" s="40" customFormat="1" ht="36" x14ac:dyDescent="0.3">
      <c r="A45" s="24" t="s">
        <v>345</v>
      </c>
      <c r="B45" s="23">
        <v>8775</v>
      </c>
      <c r="C45" s="24" t="s">
        <v>5</v>
      </c>
      <c r="D45" s="82" t="s">
        <v>346</v>
      </c>
      <c r="E45" s="59">
        <f t="shared" si="8"/>
        <v>590000</v>
      </c>
      <c r="F45" s="60">
        <v>590000</v>
      </c>
      <c r="G45" s="60"/>
      <c r="H45" s="60"/>
      <c r="I45" s="59">
        <f t="shared" si="10"/>
        <v>515422.48</v>
      </c>
      <c r="J45" s="61">
        <v>515422.48</v>
      </c>
      <c r="K45" s="65"/>
      <c r="L45" s="65"/>
      <c r="M45" s="90">
        <f t="shared" si="4"/>
        <v>0.87359742372881355</v>
      </c>
      <c r="N45" s="90">
        <f t="shared" si="5"/>
        <v>0.87359742372881355</v>
      </c>
      <c r="O45" s="90" t="str">
        <f t="shared" si="6"/>
        <v/>
      </c>
      <c r="P45" s="90" t="str">
        <f t="shared" si="7"/>
        <v/>
      </c>
      <c r="R45" s="43"/>
    </row>
    <row r="46" spans="1:18" s="44" customFormat="1" ht="34.799999999999997" x14ac:dyDescent="0.3">
      <c r="A46" s="17" t="s">
        <v>54</v>
      </c>
      <c r="B46" s="17" t="s">
        <v>231</v>
      </c>
      <c r="C46" s="17" t="s">
        <v>231</v>
      </c>
      <c r="D46" s="18" t="s">
        <v>304</v>
      </c>
      <c r="E46" s="57">
        <f t="shared" si="8"/>
        <v>471156649.99000001</v>
      </c>
      <c r="F46" s="58">
        <f>F47</f>
        <v>429368733.63</v>
      </c>
      <c r="G46" s="58">
        <f t="shared" ref="G46:H46" si="21">G47</f>
        <v>41787916.359999999</v>
      </c>
      <c r="H46" s="58">
        <f t="shared" si="21"/>
        <v>23755000.359999999</v>
      </c>
      <c r="I46" s="57">
        <f t="shared" si="10"/>
        <v>298686630.53000009</v>
      </c>
      <c r="J46" s="66">
        <f>J47</f>
        <v>282677729.66000009</v>
      </c>
      <c r="K46" s="66">
        <f t="shared" ref="K46:L46" si="22">K47</f>
        <v>16008900.870000001</v>
      </c>
      <c r="L46" s="66">
        <f t="shared" si="22"/>
        <v>2777105.09</v>
      </c>
      <c r="M46" s="88">
        <f t="shared" si="4"/>
        <v>0.63394336158969533</v>
      </c>
      <c r="N46" s="88">
        <f t="shared" si="5"/>
        <v>0.6583565768055949</v>
      </c>
      <c r="O46" s="88">
        <f t="shared" si="6"/>
        <v>0.38309880617364195</v>
      </c>
      <c r="P46" s="88">
        <f t="shared" si="7"/>
        <v>0.11690612704330854</v>
      </c>
      <c r="R46" s="45"/>
    </row>
    <row r="47" spans="1:18" s="44" customFormat="1" ht="34.799999999999997" x14ac:dyDescent="0.3">
      <c r="A47" s="17" t="s">
        <v>55</v>
      </c>
      <c r="B47" s="17" t="s">
        <v>231</v>
      </c>
      <c r="C47" s="17" t="s">
        <v>231</v>
      </c>
      <c r="D47" s="18" t="s">
        <v>304</v>
      </c>
      <c r="E47" s="58">
        <f>E48+E49+E62+E63+E76++E50+E51+E52+E53+E54+E55+E56+E57+E58+E59+E60+E67+E71+E72+E61+E73+E74+E75+E77</f>
        <v>471156649.99000001</v>
      </c>
      <c r="F47" s="58">
        <f>F48+F49+F50+F51+F52+F53+F54+F55+F56+F57+F58+F59+F61+F73+F74+F75+F77+F60+F67+F71+F63+F76</f>
        <v>429368733.63</v>
      </c>
      <c r="G47" s="58">
        <f>G48+G49+G50+G51+G52+G53+G54+G55+G56+G57+G58+G59+G61+G73+G74+G75+G77+G72+G71+G62+G76</f>
        <v>41787916.359999999</v>
      </c>
      <c r="H47" s="58">
        <f>H48+H49+H50+H51+H52+H53+H54+H55+H56+H57+H58+H59+H61+H73+H74+H75+H77+H72+H71+H62+H76</f>
        <v>23755000.359999999</v>
      </c>
      <c r="I47" s="58">
        <f>I48+I49+I50+I51+I52+I53+I54+I55+I56+I57+I58+I59+I60+KI61+I61+I67+I73+I74+I75+I77+I63</f>
        <v>298686630.53000003</v>
      </c>
      <c r="J47" s="58">
        <f>J48+J49+J50+J51+J52+J53+J54+J55+J56+J57+J58+J59+J61+J73+J74+J75+J77+J60+J67+J71+J63+J76</f>
        <v>282677729.66000009</v>
      </c>
      <c r="K47" s="58">
        <f>K48+K49+K50+K51+K52+K53+K54+K55+K56+K57+K58+K59+K61+K73+K74+K75+K77+K71+K62+K76</f>
        <v>16008900.870000001</v>
      </c>
      <c r="L47" s="58">
        <f>L48+L49+L50+L51+L52+L53+L54+L55+L56+L57+L58+L59+L61+L73+L74+L75+L77</f>
        <v>2777105.09</v>
      </c>
      <c r="M47" s="88">
        <f t="shared" si="4"/>
        <v>0.63394336158969522</v>
      </c>
      <c r="N47" s="88">
        <f t="shared" si="5"/>
        <v>0.6583565768055949</v>
      </c>
      <c r="O47" s="88">
        <f t="shared" si="6"/>
        <v>0.38309880617364195</v>
      </c>
      <c r="P47" s="88">
        <f t="shared" si="7"/>
        <v>0.11690612704330854</v>
      </c>
    </row>
    <row r="48" spans="1:18" s="40" customFormat="1" ht="54" x14ac:dyDescent="0.3">
      <c r="A48" s="19" t="s">
        <v>57</v>
      </c>
      <c r="B48" s="19" t="s">
        <v>56</v>
      </c>
      <c r="C48" s="19" t="s">
        <v>2</v>
      </c>
      <c r="D48" s="20" t="s">
        <v>248</v>
      </c>
      <c r="E48" s="59">
        <f t="shared" si="8"/>
        <v>5115833</v>
      </c>
      <c r="F48" s="60">
        <v>5115833</v>
      </c>
      <c r="G48" s="60"/>
      <c r="H48" s="60"/>
      <c r="I48" s="59">
        <f t="shared" si="10"/>
        <v>3218727.47</v>
      </c>
      <c r="J48" s="61">
        <v>3218727.47</v>
      </c>
      <c r="K48" s="65"/>
      <c r="L48" s="65"/>
      <c r="M48" s="90">
        <f t="shared" si="4"/>
        <v>0.62916976961523186</v>
      </c>
      <c r="N48" s="90">
        <f t="shared" si="5"/>
        <v>0.62916976961523186</v>
      </c>
      <c r="O48" s="90" t="str">
        <f t="shared" si="6"/>
        <v/>
      </c>
      <c r="P48" s="90" t="str">
        <f t="shared" si="7"/>
        <v/>
      </c>
    </row>
    <row r="49" spans="1:16" s="40" customFormat="1" ht="18" x14ac:dyDescent="0.3">
      <c r="A49" s="19" t="s">
        <v>249</v>
      </c>
      <c r="B49" s="19" t="s">
        <v>9</v>
      </c>
      <c r="C49" s="19" t="s">
        <v>5</v>
      </c>
      <c r="D49" s="20" t="s">
        <v>102</v>
      </c>
      <c r="E49" s="59">
        <f t="shared" si="8"/>
        <v>99000</v>
      </c>
      <c r="F49" s="60">
        <v>99000</v>
      </c>
      <c r="G49" s="60"/>
      <c r="H49" s="60"/>
      <c r="I49" s="59">
        <f t="shared" si="10"/>
        <v>49900</v>
      </c>
      <c r="J49" s="61">
        <v>49900</v>
      </c>
      <c r="K49" s="65"/>
      <c r="L49" s="65"/>
      <c r="M49" s="90">
        <f t="shared" si="4"/>
        <v>0.50404040404040407</v>
      </c>
      <c r="N49" s="90">
        <f t="shared" si="5"/>
        <v>0.50404040404040407</v>
      </c>
      <c r="O49" s="90" t="str">
        <f t="shared" si="6"/>
        <v/>
      </c>
      <c r="P49" s="90" t="str">
        <f t="shared" si="7"/>
        <v/>
      </c>
    </row>
    <row r="50" spans="1:16" s="40" customFormat="1" ht="18" x14ac:dyDescent="0.3">
      <c r="A50" s="19" t="s">
        <v>58</v>
      </c>
      <c r="B50" s="19" t="s">
        <v>10</v>
      </c>
      <c r="C50" s="19" t="s">
        <v>11</v>
      </c>
      <c r="D50" s="20" t="s">
        <v>59</v>
      </c>
      <c r="E50" s="59">
        <f t="shared" si="8"/>
        <v>110846941</v>
      </c>
      <c r="F50" s="60">
        <v>90838228</v>
      </c>
      <c r="G50" s="60">
        <f>3908713+16100000</f>
        <v>20008713</v>
      </c>
      <c r="H50" s="60">
        <f>3908713</f>
        <v>3908713</v>
      </c>
      <c r="I50" s="59">
        <f t="shared" si="10"/>
        <v>60539928.420000002</v>
      </c>
      <c r="J50" s="61">
        <v>58977196.590000004</v>
      </c>
      <c r="K50" s="65">
        <f>287282.61+1151901+123548.22</f>
        <v>1562731.8299999998</v>
      </c>
      <c r="L50" s="65">
        <f>287282.61</f>
        <v>287282.61</v>
      </c>
      <c r="M50" s="90">
        <f t="shared" si="4"/>
        <v>0.54615786303024816</v>
      </c>
      <c r="N50" s="90">
        <f t="shared" si="5"/>
        <v>0.64925525176470866</v>
      </c>
      <c r="O50" s="90">
        <f t="shared" si="6"/>
        <v>7.8102566117071087E-2</v>
      </c>
      <c r="P50" s="90">
        <f t="shared" si="7"/>
        <v>7.3498005609519038E-2</v>
      </c>
    </row>
    <row r="51" spans="1:16" s="40" customFormat="1" ht="54" x14ac:dyDescent="0.3">
      <c r="A51" s="19" t="s">
        <v>188</v>
      </c>
      <c r="B51" s="19" t="s">
        <v>189</v>
      </c>
      <c r="C51" s="19" t="s">
        <v>13</v>
      </c>
      <c r="D51" s="20" t="s">
        <v>305</v>
      </c>
      <c r="E51" s="59">
        <f t="shared" si="8"/>
        <v>90831182</v>
      </c>
      <c r="F51" s="60">
        <v>86659412</v>
      </c>
      <c r="G51" s="60">
        <f>3974770+197000</f>
        <v>4171770</v>
      </c>
      <c r="H51" s="60">
        <f>3974770</f>
        <v>3974770</v>
      </c>
      <c r="I51" s="59">
        <f t="shared" si="10"/>
        <v>57953794.75</v>
      </c>
      <c r="J51" s="61">
        <v>52079215.850000001</v>
      </c>
      <c r="K51" s="65">
        <f>1800000+56579.1+4017999.8</f>
        <v>5874578.9000000004</v>
      </c>
      <c r="L51" s="65">
        <v>1800000</v>
      </c>
      <c r="M51" s="90">
        <f t="shared" si="4"/>
        <v>0.63803854000270521</v>
      </c>
      <c r="N51" s="90">
        <f t="shared" si="5"/>
        <v>0.60096433437605146</v>
      </c>
      <c r="O51" s="90">
        <f t="shared" si="6"/>
        <v>1.4081742042346534</v>
      </c>
      <c r="P51" s="90">
        <f t="shared" si="7"/>
        <v>0.45285639169058839</v>
      </c>
    </row>
    <row r="52" spans="1:16" s="40" customFormat="1" ht="90" x14ac:dyDescent="0.3">
      <c r="A52" s="19" t="s">
        <v>190</v>
      </c>
      <c r="B52" s="19" t="s">
        <v>191</v>
      </c>
      <c r="C52" s="19" t="s">
        <v>15</v>
      </c>
      <c r="D52" s="20" t="s">
        <v>306</v>
      </c>
      <c r="E52" s="59">
        <f t="shared" si="8"/>
        <v>14971050</v>
      </c>
      <c r="F52" s="60">
        <v>14971050</v>
      </c>
      <c r="G52" s="65"/>
      <c r="H52" s="65"/>
      <c r="I52" s="59">
        <f t="shared" si="10"/>
        <v>7390156.5</v>
      </c>
      <c r="J52" s="65">
        <v>7083859.5300000003</v>
      </c>
      <c r="K52" s="65">
        <f>3900+302396.97</f>
        <v>306296.96999999997</v>
      </c>
      <c r="L52" s="65"/>
      <c r="M52" s="90">
        <f t="shared" si="4"/>
        <v>0.49362980552466262</v>
      </c>
      <c r="N52" s="90">
        <f t="shared" si="5"/>
        <v>0.4731705211057341</v>
      </c>
      <c r="O52" s="90" t="s">
        <v>386</v>
      </c>
      <c r="P52" s="90" t="str">
        <f t="shared" si="7"/>
        <v/>
      </c>
    </row>
    <row r="53" spans="1:16" s="40" customFormat="1" ht="54" x14ac:dyDescent="0.3">
      <c r="A53" s="19" t="s">
        <v>192</v>
      </c>
      <c r="B53" s="19" t="s">
        <v>193</v>
      </c>
      <c r="C53" s="19" t="s">
        <v>13</v>
      </c>
      <c r="D53" s="20" t="s">
        <v>307</v>
      </c>
      <c r="E53" s="59">
        <f t="shared" si="8"/>
        <v>146822800</v>
      </c>
      <c r="F53" s="60">
        <f>146592900+229900</f>
        <v>146822800</v>
      </c>
      <c r="G53" s="60"/>
      <c r="H53" s="60"/>
      <c r="I53" s="59">
        <f t="shared" si="10"/>
        <v>107224201.69</v>
      </c>
      <c r="J53" s="61">
        <f>107099123.75+125077.94</f>
        <v>107224201.69</v>
      </c>
      <c r="K53" s="65"/>
      <c r="L53" s="65"/>
      <c r="M53" s="90">
        <f t="shared" si="4"/>
        <v>0.73029666843296814</v>
      </c>
      <c r="N53" s="90">
        <f t="shared" si="5"/>
        <v>0.73029666843296814</v>
      </c>
      <c r="O53" s="90" t="str">
        <f t="shared" si="6"/>
        <v/>
      </c>
      <c r="P53" s="90" t="str">
        <f t="shared" si="7"/>
        <v/>
      </c>
    </row>
    <row r="54" spans="1:16" s="40" customFormat="1" ht="90" x14ac:dyDescent="0.3">
      <c r="A54" s="19" t="s">
        <v>194</v>
      </c>
      <c r="B54" s="19" t="s">
        <v>195</v>
      </c>
      <c r="C54" s="19" t="s">
        <v>15</v>
      </c>
      <c r="D54" s="20" t="s">
        <v>308</v>
      </c>
      <c r="E54" s="59">
        <f t="shared" si="8"/>
        <v>12600000</v>
      </c>
      <c r="F54" s="60">
        <v>12600000</v>
      </c>
      <c r="G54" s="60"/>
      <c r="H54" s="60"/>
      <c r="I54" s="59">
        <f t="shared" si="10"/>
        <v>9319098.9900000002</v>
      </c>
      <c r="J54" s="61">
        <v>9319098.9900000002</v>
      </c>
      <c r="K54" s="65"/>
      <c r="L54" s="65"/>
      <c r="M54" s="90">
        <f t="shared" si="4"/>
        <v>0.73961103095238101</v>
      </c>
      <c r="N54" s="90">
        <f t="shared" si="5"/>
        <v>0.73961103095238101</v>
      </c>
      <c r="O54" s="90" t="str">
        <f t="shared" si="6"/>
        <v/>
      </c>
      <c r="P54" s="90" t="str">
        <f t="shared" si="7"/>
        <v/>
      </c>
    </row>
    <row r="55" spans="1:16" s="40" customFormat="1" ht="54" x14ac:dyDescent="0.3">
      <c r="A55" s="19" t="s">
        <v>60</v>
      </c>
      <c r="B55" s="19" t="s">
        <v>34</v>
      </c>
      <c r="C55" s="19" t="s">
        <v>16</v>
      </c>
      <c r="D55" s="20" t="s">
        <v>196</v>
      </c>
      <c r="E55" s="59">
        <f t="shared" si="8"/>
        <v>22655552</v>
      </c>
      <c r="F55" s="60">
        <v>22455552</v>
      </c>
      <c r="G55" s="60">
        <v>200000</v>
      </c>
      <c r="H55" s="60"/>
      <c r="I55" s="59">
        <f t="shared" si="10"/>
        <v>15228865.630000001</v>
      </c>
      <c r="J55" s="61">
        <v>15117989.140000001</v>
      </c>
      <c r="K55" s="61">
        <f>52968.49+57908</f>
        <v>110876.48999999999</v>
      </c>
      <c r="L55" s="61"/>
      <c r="M55" s="90">
        <f t="shared" si="4"/>
        <v>0.67219132996627051</v>
      </c>
      <c r="N55" s="90">
        <f t="shared" si="5"/>
        <v>0.67324059279415627</v>
      </c>
      <c r="O55" s="90">
        <f t="shared" si="6"/>
        <v>0.55438244999999997</v>
      </c>
      <c r="P55" s="90" t="str">
        <f t="shared" si="7"/>
        <v/>
      </c>
    </row>
    <row r="56" spans="1:16" s="40" customFormat="1" ht="36" x14ac:dyDescent="0.3">
      <c r="A56" s="19" t="s">
        <v>197</v>
      </c>
      <c r="B56" s="19" t="s">
        <v>198</v>
      </c>
      <c r="C56" s="19" t="s">
        <v>17</v>
      </c>
      <c r="D56" s="20" t="s">
        <v>199</v>
      </c>
      <c r="E56" s="59">
        <f t="shared" si="8"/>
        <v>30000</v>
      </c>
      <c r="F56" s="60">
        <v>30000</v>
      </c>
      <c r="G56" s="60"/>
      <c r="H56" s="60"/>
      <c r="I56" s="59">
        <f t="shared" si="10"/>
        <v>10400</v>
      </c>
      <c r="J56" s="61">
        <v>10400</v>
      </c>
      <c r="K56" s="61"/>
      <c r="L56" s="61"/>
      <c r="M56" s="90">
        <f t="shared" si="4"/>
        <v>0.34666666666666668</v>
      </c>
      <c r="N56" s="90">
        <f t="shared" si="5"/>
        <v>0.34666666666666668</v>
      </c>
      <c r="O56" s="90" t="str">
        <f t="shared" si="6"/>
        <v/>
      </c>
      <c r="P56" s="90" t="str">
        <f t="shared" si="7"/>
        <v/>
      </c>
    </row>
    <row r="57" spans="1:16" s="40" customFormat="1" ht="36" x14ac:dyDescent="0.3">
      <c r="A57" s="19" t="s">
        <v>200</v>
      </c>
      <c r="B57" s="19" t="s">
        <v>201</v>
      </c>
      <c r="C57" s="19" t="s">
        <v>18</v>
      </c>
      <c r="D57" s="20" t="s">
        <v>152</v>
      </c>
      <c r="E57" s="59">
        <f t="shared" si="8"/>
        <v>21185853</v>
      </c>
      <c r="F57" s="60">
        <v>21182853</v>
      </c>
      <c r="G57" s="60">
        <v>3000</v>
      </c>
      <c r="H57" s="60"/>
      <c r="I57" s="59">
        <f t="shared" si="10"/>
        <v>19836207.239999998</v>
      </c>
      <c r="J57" s="61">
        <v>12391653.039999999</v>
      </c>
      <c r="K57" s="65">
        <f>7444554.2</f>
        <v>7444554.2000000002</v>
      </c>
      <c r="L57" s="65"/>
      <c r="M57" s="90">
        <f t="shared" si="4"/>
        <v>0.93629495305192567</v>
      </c>
      <c r="N57" s="90">
        <f t="shared" si="5"/>
        <v>0.58498508392613591</v>
      </c>
      <c r="O57" s="90" t="s">
        <v>386</v>
      </c>
      <c r="P57" s="90" t="str">
        <f t="shared" si="7"/>
        <v/>
      </c>
    </row>
    <row r="58" spans="1:16" s="40" customFormat="1" ht="36" x14ac:dyDescent="0.3">
      <c r="A58" s="19" t="s">
        <v>202</v>
      </c>
      <c r="B58" s="19" t="s">
        <v>203</v>
      </c>
      <c r="C58" s="19" t="s">
        <v>18</v>
      </c>
      <c r="D58" s="20" t="s">
        <v>204</v>
      </c>
      <c r="E58" s="59">
        <f t="shared" si="8"/>
        <v>616520</v>
      </c>
      <c r="F58" s="60">
        <v>616520</v>
      </c>
      <c r="G58" s="60"/>
      <c r="H58" s="60"/>
      <c r="I58" s="59">
        <f t="shared" si="10"/>
        <v>267324.13</v>
      </c>
      <c r="J58" s="61">
        <v>267324.13</v>
      </c>
      <c r="K58" s="61"/>
      <c r="L58" s="61"/>
      <c r="M58" s="90">
        <f t="shared" si="4"/>
        <v>0.43360171608382536</v>
      </c>
      <c r="N58" s="90">
        <f t="shared" si="5"/>
        <v>0.43360171608382536</v>
      </c>
      <c r="O58" s="90" t="str">
        <f t="shared" si="6"/>
        <v/>
      </c>
      <c r="P58" s="90" t="str">
        <f t="shared" si="7"/>
        <v/>
      </c>
    </row>
    <row r="59" spans="1:16" s="40" customFormat="1" ht="36" x14ac:dyDescent="0.3">
      <c r="A59" s="19" t="s">
        <v>205</v>
      </c>
      <c r="B59" s="19" t="s">
        <v>206</v>
      </c>
      <c r="C59" s="19" t="s">
        <v>18</v>
      </c>
      <c r="D59" s="20" t="s">
        <v>207</v>
      </c>
      <c r="E59" s="59">
        <f t="shared" si="8"/>
        <v>2775740</v>
      </c>
      <c r="F59" s="60">
        <v>2775740</v>
      </c>
      <c r="G59" s="60"/>
      <c r="H59" s="60"/>
      <c r="I59" s="59">
        <f t="shared" si="10"/>
        <v>1427813.76</v>
      </c>
      <c r="J59" s="61">
        <v>1427813.76</v>
      </c>
      <c r="K59" s="61"/>
      <c r="L59" s="61"/>
      <c r="M59" s="90">
        <f t="shared" si="4"/>
        <v>0.51439031033165927</v>
      </c>
      <c r="N59" s="90">
        <f t="shared" si="5"/>
        <v>0.51439031033165927</v>
      </c>
      <c r="O59" s="90" t="str">
        <f t="shared" si="6"/>
        <v/>
      </c>
      <c r="P59" s="90" t="str">
        <f t="shared" si="7"/>
        <v/>
      </c>
    </row>
    <row r="60" spans="1:16" s="40" customFormat="1" ht="126" x14ac:dyDescent="0.3">
      <c r="A60" s="24" t="s">
        <v>347</v>
      </c>
      <c r="B60" s="23">
        <v>1154</v>
      </c>
      <c r="C60" s="24" t="s">
        <v>18</v>
      </c>
      <c r="D60" s="82" t="s">
        <v>348</v>
      </c>
      <c r="E60" s="59">
        <f t="shared" ref="E60" si="23">F60+G60</f>
        <v>245454.99</v>
      </c>
      <c r="F60" s="60">
        <v>245454.99</v>
      </c>
      <c r="G60" s="60"/>
      <c r="H60" s="60"/>
      <c r="I60" s="59">
        <f t="shared" si="10"/>
        <v>245454.99</v>
      </c>
      <c r="J60" s="61">
        <v>245454.99</v>
      </c>
      <c r="K60" s="61"/>
      <c r="L60" s="61"/>
      <c r="M60" s="90">
        <f t="shared" si="4"/>
        <v>1</v>
      </c>
      <c r="N60" s="90">
        <f t="shared" si="5"/>
        <v>1</v>
      </c>
      <c r="O60" s="90" t="str">
        <f t="shared" si="6"/>
        <v/>
      </c>
      <c r="P60" s="90" t="str">
        <f t="shared" si="7"/>
        <v/>
      </c>
    </row>
    <row r="61" spans="1:16" s="40" customFormat="1" ht="36" x14ac:dyDescent="0.3">
      <c r="A61" s="24" t="s">
        <v>288</v>
      </c>
      <c r="B61" s="24" t="s">
        <v>289</v>
      </c>
      <c r="C61" s="25" t="s">
        <v>18</v>
      </c>
      <c r="D61" s="20" t="s">
        <v>290</v>
      </c>
      <c r="E61" s="59">
        <f t="shared" si="8"/>
        <v>4467418</v>
      </c>
      <c r="F61" s="60">
        <v>4467418</v>
      </c>
      <c r="G61" s="60"/>
      <c r="H61" s="60"/>
      <c r="I61" s="59">
        <f t="shared" si="10"/>
        <v>2753605.14</v>
      </c>
      <c r="J61" s="61">
        <v>2753605.14</v>
      </c>
      <c r="K61" s="61"/>
      <c r="L61" s="61"/>
      <c r="M61" s="90">
        <f t="shared" si="4"/>
        <v>0.61637508287785026</v>
      </c>
      <c r="N61" s="90">
        <f t="shared" si="5"/>
        <v>0.61637508287785026</v>
      </c>
      <c r="O61" s="90" t="str">
        <f t="shared" si="6"/>
        <v/>
      </c>
      <c r="P61" s="90" t="str">
        <f t="shared" si="7"/>
        <v/>
      </c>
    </row>
    <row r="62" spans="1:16" s="40" customFormat="1" ht="90" x14ac:dyDescent="0.3">
      <c r="A62" s="24" t="s">
        <v>379</v>
      </c>
      <c r="B62" s="24" t="s">
        <v>380</v>
      </c>
      <c r="C62" s="24" t="s">
        <v>18</v>
      </c>
      <c r="D62" s="82" t="s">
        <v>381</v>
      </c>
      <c r="E62" s="59">
        <f t="shared" ref="E62" si="24">F62+G62</f>
        <v>2361528</v>
      </c>
      <c r="F62" s="60"/>
      <c r="G62" s="60">
        <v>2361528</v>
      </c>
      <c r="H62" s="60">
        <v>2361528</v>
      </c>
      <c r="I62" s="59">
        <f t="shared" ref="I62" si="25">J62+K62</f>
        <v>0</v>
      </c>
      <c r="J62" s="61"/>
      <c r="K62" s="61"/>
      <c r="L62" s="61"/>
      <c r="M62" s="90">
        <f t="shared" ref="M62" si="26">IFERROR((I62/E62),"")</f>
        <v>0</v>
      </c>
      <c r="N62" s="90" t="str">
        <f t="shared" ref="N62" si="27">IFERROR((J62/F62),"")</f>
        <v/>
      </c>
      <c r="O62" s="90">
        <f t="shared" ref="O62" si="28">IFERROR((K62/G62),"")</f>
        <v>0</v>
      </c>
      <c r="P62" s="90">
        <f t="shared" ref="P62" si="29">IFERROR((L62/H62),"")</f>
        <v>0</v>
      </c>
    </row>
    <row r="63" spans="1:16" s="40" customFormat="1" ht="72" x14ac:dyDescent="0.3">
      <c r="A63" s="24" t="s">
        <v>367</v>
      </c>
      <c r="B63" s="113">
        <v>1200</v>
      </c>
      <c r="C63" s="113" t="s">
        <v>18</v>
      </c>
      <c r="D63" s="20" t="s">
        <v>368</v>
      </c>
      <c r="E63" s="59">
        <f t="shared" ref="E63:E66" si="30">F63+G63</f>
        <v>292110</v>
      </c>
      <c r="F63" s="60">
        <f>F65+F66</f>
        <v>292110</v>
      </c>
      <c r="G63" s="60"/>
      <c r="H63" s="60"/>
      <c r="I63" s="59">
        <f t="shared" ref="I63:I66" si="31">J63+K63</f>
        <v>216561.31</v>
      </c>
      <c r="J63" s="61">
        <f>J65+J66</f>
        <v>216561.31</v>
      </c>
      <c r="K63" s="61"/>
      <c r="L63" s="61"/>
      <c r="M63" s="90">
        <f t="shared" ref="M63" si="32">IFERROR((I63/E63),"")</f>
        <v>0.74136903906062779</v>
      </c>
      <c r="N63" s="90">
        <f t="shared" ref="N63" si="33">IFERROR((J63/F63),"")</f>
        <v>0.74136903906062779</v>
      </c>
      <c r="O63" s="90"/>
      <c r="P63" s="90"/>
    </row>
    <row r="64" spans="1:16" s="40" customFormat="1" ht="18" x14ac:dyDescent="0.3">
      <c r="A64" s="106"/>
      <c r="B64" s="106"/>
      <c r="C64" s="106"/>
      <c r="D64" s="86" t="s">
        <v>352</v>
      </c>
      <c r="E64" s="59"/>
      <c r="F64" s="60"/>
      <c r="G64" s="60"/>
      <c r="H64" s="60"/>
      <c r="I64" s="59"/>
      <c r="J64" s="61"/>
      <c r="K64" s="61"/>
      <c r="L64" s="61"/>
      <c r="M64" s="90"/>
      <c r="N64" s="90"/>
      <c r="O64" s="90"/>
      <c r="P64" s="90"/>
    </row>
    <row r="65" spans="1:16" s="40" customFormat="1" ht="72" x14ac:dyDescent="0.3">
      <c r="A65" s="107"/>
      <c r="B65" s="107"/>
      <c r="C65" s="107"/>
      <c r="D65" s="114" t="s">
        <v>353</v>
      </c>
      <c r="E65" s="59">
        <f t="shared" si="30"/>
        <v>179439</v>
      </c>
      <c r="F65" s="111">
        <v>179439</v>
      </c>
      <c r="G65" s="60"/>
      <c r="H65" s="60"/>
      <c r="I65" s="59">
        <f t="shared" si="31"/>
        <v>105384.08</v>
      </c>
      <c r="J65" s="61">
        <v>105384.08</v>
      </c>
      <c r="K65" s="61"/>
      <c r="L65" s="61"/>
      <c r="M65" s="90">
        <f t="shared" ref="M65:M66" si="34">IFERROR((I65/E65),"")</f>
        <v>0.58729752172047323</v>
      </c>
      <c r="N65" s="90">
        <f t="shared" ref="N65:N66" si="35">IFERROR((J65/F65),"")</f>
        <v>0.58729752172047323</v>
      </c>
      <c r="O65" s="90"/>
      <c r="P65" s="90"/>
    </row>
    <row r="66" spans="1:16" s="40" customFormat="1" ht="72" x14ac:dyDescent="0.3">
      <c r="A66" s="107"/>
      <c r="B66" s="107"/>
      <c r="C66" s="107"/>
      <c r="D66" s="114" t="s">
        <v>354</v>
      </c>
      <c r="E66" s="59">
        <f t="shared" si="30"/>
        <v>112671</v>
      </c>
      <c r="F66" s="111">
        <v>112671</v>
      </c>
      <c r="G66" s="60"/>
      <c r="H66" s="60"/>
      <c r="I66" s="59">
        <f t="shared" si="31"/>
        <v>111177.23</v>
      </c>
      <c r="J66" s="61">
        <v>111177.23</v>
      </c>
      <c r="K66" s="61"/>
      <c r="L66" s="61"/>
      <c r="M66" s="90">
        <f t="shared" si="34"/>
        <v>0.98674219630605919</v>
      </c>
      <c r="N66" s="90">
        <f t="shared" si="35"/>
        <v>0.98674219630605919</v>
      </c>
      <c r="O66" s="90"/>
      <c r="P66" s="90"/>
    </row>
    <row r="67" spans="1:16" s="40" customFormat="1" ht="90" x14ac:dyDescent="0.3">
      <c r="A67" s="77" t="s">
        <v>349</v>
      </c>
      <c r="B67" s="77" t="s">
        <v>350</v>
      </c>
      <c r="C67" s="77" t="s">
        <v>18</v>
      </c>
      <c r="D67" s="83" t="s">
        <v>351</v>
      </c>
      <c r="E67" s="59">
        <f t="shared" ref="E67:E71" si="36">F67+G67</f>
        <v>97284</v>
      </c>
      <c r="F67" s="60">
        <f>F69+F70</f>
        <v>97284</v>
      </c>
      <c r="G67" s="60"/>
      <c r="H67" s="60"/>
      <c r="I67" s="59">
        <f t="shared" si="10"/>
        <v>97284</v>
      </c>
      <c r="J67" s="61">
        <v>97284</v>
      </c>
      <c r="K67" s="61"/>
      <c r="L67" s="61"/>
      <c r="M67" s="90">
        <f t="shared" si="4"/>
        <v>1</v>
      </c>
      <c r="N67" s="90">
        <f t="shared" si="5"/>
        <v>1</v>
      </c>
      <c r="O67" s="90" t="str">
        <f t="shared" si="6"/>
        <v/>
      </c>
      <c r="P67" s="90" t="str">
        <f t="shared" si="7"/>
        <v/>
      </c>
    </row>
    <row r="68" spans="1:16" s="40" customFormat="1" ht="18" x14ac:dyDescent="0.3">
      <c r="A68" s="77"/>
      <c r="B68" s="77"/>
      <c r="C68" s="77"/>
      <c r="D68" s="83" t="s">
        <v>352</v>
      </c>
      <c r="E68" s="59">
        <f t="shared" si="36"/>
        <v>0</v>
      </c>
      <c r="F68" s="60"/>
      <c r="G68" s="60"/>
      <c r="H68" s="60"/>
      <c r="I68" s="59">
        <f t="shared" si="10"/>
        <v>0</v>
      </c>
      <c r="J68" s="61"/>
      <c r="K68" s="61"/>
      <c r="L68" s="61"/>
      <c r="M68" s="90" t="str">
        <f t="shared" si="4"/>
        <v/>
      </c>
      <c r="N68" s="90" t="str">
        <f t="shared" si="5"/>
        <v/>
      </c>
      <c r="O68" s="90" t="str">
        <f t="shared" si="6"/>
        <v/>
      </c>
      <c r="P68" s="90" t="str">
        <f t="shared" si="7"/>
        <v/>
      </c>
    </row>
    <row r="69" spans="1:16" s="39" customFormat="1" ht="72" x14ac:dyDescent="0.3">
      <c r="A69" s="84"/>
      <c r="B69" s="84"/>
      <c r="C69" s="84"/>
      <c r="D69" s="85" t="s">
        <v>353</v>
      </c>
      <c r="E69" s="62">
        <f t="shared" si="36"/>
        <v>60434</v>
      </c>
      <c r="F69" s="112">
        <v>60434</v>
      </c>
      <c r="G69" s="63"/>
      <c r="H69" s="63"/>
      <c r="I69" s="62">
        <f t="shared" si="10"/>
        <v>60434</v>
      </c>
      <c r="J69" s="64">
        <v>60434</v>
      </c>
      <c r="K69" s="64"/>
      <c r="L69" s="64"/>
      <c r="M69" s="93">
        <f t="shared" si="4"/>
        <v>1</v>
      </c>
      <c r="N69" s="93">
        <f t="shared" si="5"/>
        <v>1</v>
      </c>
      <c r="O69" s="93" t="str">
        <f t="shared" si="6"/>
        <v/>
      </c>
      <c r="P69" s="93" t="str">
        <f t="shared" si="7"/>
        <v/>
      </c>
    </row>
    <row r="70" spans="1:16" s="39" customFormat="1" ht="72" x14ac:dyDescent="0.3">
      <c r="A70" s="84"/>
      <c r="B70" s="84"/>
      <c r="C70" s="84"/>
      <c r="D70" s="85" t="s">
        <v>354</v>
      </c>
      <c r="E70" s="62">
        <f t="shared" si="36"/>
        <v>36850</v>
      </c>
      <c r="F70" s="112">
        <v>36850</v>
      </c>
      <c r="G70" s="63"/>
      <c r="H70" s="63"/>
      <c r="I70" s="62">
        <f t="shared" si="10"/>
        <v>36850</v>
      </c>
      <c r="J70" s="64">
        <v>36850</v>
      </c>
      <c r="K70" s="64"/>
      <c r="L70" s="64"/>
      <c r="M70" s="93">
        <f t="shared" si="4"/>
        <v>1</v>
      </c>
      <c r="N70" s="93">
        <f t="shared" si="5"/>
        <v>1</v>
      </c>
      <c r="O70" s="93" t="str">
        <f t="shared" si="6"/>
        <v/>
      </c>
      <c r="P70" s="93" t="str">
        <f t="shared" si="7"/>
        <v/>
      </c>
    </row>
    <row r="71" spans="1:16" s="40" customFormat="1" ht="126" x14ac:dyDescent="0.3">
      <c r="A71" s="24" t="s">
        <v>355</v>
      </c>
      <c r="B71" s="23">
        <v>1291</v>
      </c>
      <c r="C71" s="77" t="s">
        <v>18</v>
      </c>
      <c r="D71" s="82" t="s">
        <v>356</v>
      </c>
      <c r="E71" s="59">
        <f t="shared" si="36"/>
        <v>656964</v>
      </c>
      <c r="F71" s="60"/>
      <c r="G71" s="60">
        <v>656964</v>
      </c>
      <c r="H71" s="60">
        <v>656964</v>
      </c>
      <c r="I71" s="59">
        <f t="shared" si="10"/>
        <v>0</v>
      </c>
      <c r="J71" s="61"/>
      <c r="K71" s="61"/>
      <c r="L71" s="61"/>
      <c r="M71" s="90">
        <f t="shared" si="4"/>
        <v>0</v>
      </c>
      <c r="N71" s="90" t="str">
        <f t="shared" si="5"/>
        <v/>
      </c>
      <c r="O71" s="90">
        <f t="shared" si="6"/>
        <v>0</v>
      </c>
      <c r="P71" s="90">
        <f t="shared" si="7"/>
        <v>0</v>
      </c>
    </row>
    <row r="72" spans="1:16" s="40" customFormat="1" ht="126" x14ac:dyDescent="0.3">
      <c r="A72" s="77" t="s">
        <v>332</v>
      </c>
      <c r="B72" s="77" t="s">
        <v>333</v>
      </c>
      <c r="C72" s="77" t="s">
        <v>18</v>
      </c>
      <c r="D72" s="86" t="s">
        <v>334</v>
      </c>
      <c r="E72" s="59">
        <f t="shared" si="8"/>
        <v>1532916</v>
      </c>
      <c r="F72" s="60"/>
      <c r="G72" s="60">
        <v>1532916</v>
      </c>
      <c r="H72" s="60"/>
      <c r="I72" s="59">
        <f t="shared" si="10"/>
        <v>0</v>
      </c>
      <c r="J72" s="61"/>
      <c r="K72" s="61"/>
      <c r="L72" s="61"/>
      <c r="M72" s="90">
        <f t="shared" si="4"/>
        <v>0</v>
      </c>
      <c r="N72" s="90" t="str">
        <f t="shared" si="5"/>
        <v/>
      </c>
      <c r="O72" s="90">
        <f t="shared" si="6"/>
        <v>0</v>
      </c>
      <c r="P72" s="90" t="str">
        <f t="shared" si="7"/>
        <v/>
      </c>
    </row>
    <row r="73" spans="1:16" s="39" customFormat="1" ht="90" x14ac:dyDescent="0.3">
      <c r="A73" s="19" t="s">
        <v>291</v>
      </c>
      <c r="B73" s="19" t="s">
        <v>292</v>
      </c>
      <c r="C73" s="19" t="s">
        <v>19</v>
      </c>
      <c r="D73" s="20" t="s">
        <v>293</v>
      </c>
      <c r="E73" s="62">
        <f t="shared" si="8"/>
        <v>4139500</v>
      </c>
      <c r="F73" s="63">
        <v>4139500</v>
      </c>
      <c r="G73" s="63"/>
      <c r="H73" s="63"/>
      <c r="I73" s="59">
        <f t="shared" si="10"/>
        <v>3016013.47</v>
      </c>
      <c r="J73" s="64">
        <v>3016013.47</v>
      </c>
      <c r="K73" s="64"/>
      <c r="L73" s="64"/>
      <c r="M73" s="90">
        <f t="shared" si="4"/>
        <v>0.72859366348592836</v>
      </c>
      <c r="N73" s="90">
        <f t="shared" si="5"/>
        <v>0.72859366348592836</v>
      </c>
      <c r="O73" s="90" t="str">
        <f t="shared" si="6"/>
        <v/>
      </c>
      <c r="P73" s="90" t="str">
        <f t="shared" si="7"/>
        <v/>
      </c>
    </row>
    <row r="74" spans="1:16" s="41" customFormat="1" ht="36" x14ac:dyDescent="0.3">
      <c r="A74" s="19" t="s">
        <v>149</v>
      </c>
      <c r="B74" s="19" t="s">
        <v>146</v>
      </c>
      <c r="C74" s="19" t="s">
        <v>3</v>
      </c>
      <c r="D74" s="20" t="s">
        <v>147</v>
      </c>
      <c r="E74" s="59">
        <f t="shared" si="8"/>
        <v>3100000</v>
      </c>
      <c r="F74" s="60">
        <v>3100000</v>
      </c>
      <c r="G74" s="60"/>
      <c r="H74" s="60"/>
      <c r="I74" s="59">
        <f t="shared" si="10"/>
        <v>1433953.17</v>
      </c>
      <c r="J74" s="61">
        <v>1433953.17</v>
      </c>
      <c r="K74" s="61"/>
      <c r="L74" s="61"/>
      <c r="M74" s="90">
        <f t="shared" si="4"/>
        <v>0.46256553870967737</v>
      </c>
      <c r="N74" s="90">
        <f t="shared" si="5"/>
        <v>0.46256553870967737</v>
      </c>
      <c r="O74" s="90" t="str">
        <f t="shared" si="6"/>
        <v/>
      </c>
      <c r="P74" s="90" t="str">
        <f t="shared" si="7"/>
        <v/>
      </c>
    </row>
    <row r="75" spans="1:16" s="41" customFormat="1" ht="54" x14ac:dyDescent="0.3">
      <c r="A75" s="19" t="s">
        <v>67</v>
      </c>
      <c r="B75" s="19" t="s">
        <v>48</v>
      </c>
      <c r="C75" s="19" t="s">
        <v>20</v>
      </c>
      <c r="D75" s="20" t="s">
        <v>21</v>
      </c>
      <c r="E75" s="59">
        <f t="shared" si="8"/>
        <v>11933747</v>
      </c>
      <c r="F75" s="60">
        <v>11933747</v>
      </c>
      <c r="G75" s="60"/>
      <c r="H75" s="60"/>
      <c r="I75" s="59">
        <f t="shared" si="10"/>
        <v>7588078.3499999996</v>
      </c>
      <c r="J75" s="61">
        <v>7568038.3499999996</v>
      </c>
      <c r="K75" s="61">
        <v>20040</v>
      </c>
      <c r="L75" s="61"/>
      <c r="M75" s="90">
        <f t="shared" si="4"/>
        <v>0.63585044579879224</v>
      </c>
      <c r="N75" s="90">
        <f t="shared" si="5"/>
        <v>0.63417117440146831</v>
      </c>
      <c r="O75" s="90" t="s">
        <v>386</v>
      </c>
      <c r="P75" s="90" t="str">
        <f t="shared" si="7"/>
        <v/>
      </c>
    </row>
    <row r="76" spans="1:16" s="41" customFormat="1" ht="36" x14ac:dyDescent="0.3">
      <c r="A76" s="24" t="s">
        <v>369</v>
      </c>
      <c r="B76" s="23">
        <v>7520</v>
      </c>
      <c r="C76" s="24" t="s">
        <v>370</v>
      </c>
      <c r="D76" s="82" t="s">
        <v>371</v>
      </c>
      <c r="E76" s="59">
        <f t="shared" si="8"/>
        <v>500000</v>
      </c>
      <c r="F76" s="60">
        <v>295000</v>
      </c>
      <c r="G76" s="60">
        <v>205000</v>
      </c>
      <c r="H76" s="60">
        <v>205000</v>
      </c>
      <c r="I76" s="59">
        <f t="shared" si="10"/>
        <v>0</v>
      </c>
      <c r="J76" s="61"/>
      <c r="K76" s="61"/>
      <c r="L76" s="61"/>
      <c r="M76" s="90">
        <f t="shared" ref="M76" si="37">IFERROR((I76/E76),"")</f>
        <v>0</v>
      </c>
      <c r="N76" s="90">
        <f t="shared" ref="N76" si="38">IFERROR((J76/F76),"")</f>
        <v>0</v>
      </c>
      <c r="O76" s="90"/>
      <c r="P76" s="90"/>
    </row>
    <row r="77" spans="1:16" s="38" customFormat="1" ht="54" x14ac:dyDescent="0.3">
      <c r="A77" s="24" t="s">
        <v>284</v>
      </c>
      <c r="B77" s="23">
        <v>8110</v>
      </c>
      <c r="C77" s="24" t="s">
        <v>4</v>
      </c>
      <c r="D77" s="20" t="s">
        <v>137</v>
      </c>
      <c r="E77" s="59">
        <f t="shared" si="8"/>
        <v>13279257</v>
      </c>
      <c r="F77" s="60">
        <v>631231.64</v>
      </c>
      <c r="G77" s="60">
        <v>12648025.359999999</v>
      </c>
      <c r="H77" s="60">
        <v>12648025.359999999</v>
      </c>
      <c r="I77" s="59">
        <f t="shared" si="10"/>
        <v>869261.52</v>
      </c>
      <c r="J77" s="61">
        <v>179439.04</v>
      </c>
      <c r="K77" s="61">
        <v>689822.48</v>
      </c>
      <c r="L77" s="61">
        <f>K77</f>
        <v>689822.48</v>
      </c>
      <c r="M77" s="90">
        <f t="shared" si="4"/>
        <v>6.5460102172885129E-2</v>
      </c>
      <c r="N77" s="90">
        <f t="shared" si="5"/>
        <v>0.28426813332741052</v>
      </c>
      <c r="O77" s="90">
        <f t="shared" si="6"/>
        <v>5.453993491992809E-2</v>
      </c>
      <c r="P77" s="90">
        <f t="shared" si="7"/>
        <v>5.453993491992809E-2</v>
      </c>
    </row>
    <row r="78" spans="1:16" s="44" customFormat="1" ht="52.2" x14ac:dyDescent="0.3">
      <c r="A78" s="17" t="s">
        <v>68</v>
      </c>
      <c r="B78" s="17" t="s">
        <v>231</v>
      </c>
      <c r="C78" s="17" t="s">
        <v>231</v>
      </c>
      <c r="D78" s="18" t="s">
        <v>250</v>
      </c>
      <c r="E78" s="57">
        <f t="shared" si="8"/>
        <v>107181212</v>
      </c>
      <c r="F78" s="58">
        <f>F79</f>
        <v>100520965</v>
      </c>
      <c r="G78" s="58">
        <f t="shared" ref="G78:L78" si="39">G79</f>
        <v>6660247</v>
      </c>
      <c r="H78" s="58">
        <f t="shared" si="39"/>
        <v>6603847</v>
      </c>
      <c r="I78" s="58">
        <f t="shared" si="39"/>
        <v>70814684.429999992</v>
      </c>
      <c r="J78" s="58">
        <f t="shared" si="39"/>
        <v>63504959.229999997</v>
      </c>
      <c r="K78" s="58">
        <f t="shared" si="39"/>
        <v>7309725.2000000002</v>
      </c>
      <c r="L78" s="58">
        <f t="shared" si="39"/>
        <v>6600229.0200000005</v>
      </c>
      <c r="M78" s="88">
        <f t="shared" si="4"/>
        <v>0.66070053798234707</v>
      </c>
      <c r="N78" s="88">
        <f t="shared" si="5"/>
        <v>0.63175835239942235</v>
      </c>
      <c r="O78" s="88">
        <f t="shared" si="7"/>
        <v>1.0975156326784878</v>
      </c>
      <c r="P78" s="88">
        <f t="shared" si="7"/>
        <v>0.99945214054777476</v>
      </c>
    </row>
    <row r="79" spans="1:16" s="38" customFormat="1" ht="52.2" x14ac:dyDescent="0.3">
      <c r="A79" s="17" t="s">
        <v>69</v>
      </c>
      <c r="B79" s="17" t="s">
        <v>231</v>
      </c>
      <c r="C79" s="17" t="s">
        <v>231</v>
      </c>
      <c r="D79" s="18" t="s">
        <v>250</v>
      </c>
      <c r="E79" s="57">
        <f t="shared" si="8"/>
        <v>107181212</v>
      </c>
      <c r="F79" s="58">
        <f>F80+F81+F82+F83+F84+F85+F86+F87+F88+F89+F90+F91+F92+F95+F96</f>
        <v>100520965</v>
      </c>
      <c r="G79" s="58">
        <f>G80+G81+G82+G83+G84+G85+G86+G87+G88+G89+G90+G91+G92+G95+G96+G93+G94</f>
        <v>6660247</v>
      </c>
      <c r="H79" s="58">
        <f>H93+H94</f>
        <v>6603847</v>
      </c>
      <c r="I79" s="58">
        <f>J79+K79</f>
        <v>70814684.429999992</v>
      </c>
      <c r="J79" s="58">
        <f>J80+J81+J82+J83+J84+J85+J86+J87+J88+J89+J90+J91+J92+J95+J96</f>
        <v>63504959.229999997</v>
      </c>
      <c r="K79" s="58">
        <f>K80+K81+K82+K83+K84+K85+K86+K87+K88+K89+K90+K91+K92+K95+K96+K93+K94</f>
        <v>7309725.2000000002</v>
      </c>
      <c r="L79" s="58">
        <f>L93+L94</f>
        <v>6600229.0200000005</v>
      </c>
      <c r="M79" s="88">
        <f t="shared" si="4"/>
        <v>0.66070053798234707</v>
      </c>
      <c r="N79" s="88">
        <f t="shared" si="5"/>
        <v>0.63175835239942235</v>
      </c>
      <c r="O79" s="88">
        <f t="shared" si="7"/>
        <v>1.0975156326784878</v>
      </c>
      <c r="P79" s="88">
        <f t="shared" si="7"/>
        <v>0.99945214054777476</v>
      </c>
    </row>
    <row r="80" spans="1:16" s="41" customFormat="1" ht="54" x14ac:dyDescent="0.3">
      <c r="A80" s="19" t="s">
        <v>70</v>
      </c>
      <c r="B80" s="19" t="s">
        <v>56</v>
      </c>
      <c r="C80" s="19" t="s">
        <v>2</v>
      </c>
      <c r="D80" s="20" t="s">
        <v>248</v>
      </c>
      <c r="E80" s="59">
        <f t="shared" si="8"/>
        <v>16122300</v>
      </c>
      <c r="F80" s="60">
        <v>16122300</v>
      </c>
      <c r="G80" s="60"/>
      <c r="H80" s="60"/>
      <c r="I80" s="59">
        <f t="shared" si="10"/>
        <v>12289833.99</v>
      </c>
      <c r="J80" s="61">
        <v>12289833.99</v>
      </c>
      <c r="K80" s="61"/>
      <c r="L80" s="61"/>
      <c r="M80" s="90">
        <f t="shared" si="4"/>
        <v>0.76228788634375988</v>
      </c>
      <c r="N80" s="90">
        <f t="shared" si="5"/>
        <v>0.76228788634375988</v>
      </c>
      <c r="O80" s="90" t="str">
        <f t="shared" si="6"/>
        <v/>
      </c>
      <c r="P80" s="90" t="str">
        <f t="shared" si="7"/>
        <v/>
      </c>
    </row>
    <row r="81" spans="1:16" s="38" customFormat="1" ht="18" x14ac:dyDescent="0.3">
      <c r="A81" s="19" t="s">
        <v>159</v>
      </c>
      <c r="B81" s="19" t="s">
        <v>9</v>
      </c>
      <c r="C81" s="19" t="s">
        <v>5</v>
      </c>
      <c r="D81" s="20" t="s">
        <v>102</v>
      </c>
      <c r="E81" s="59">
        <f t="shared" si="8"/>
        <v>248200</v>
      </c>
      <c r="F81" s="60">
        <v>248200</v>
      </c>
      <c r="G81" s="60"/>
      <c r="H81" s="60"/>
      <c r="I81" s="59">
        <f t="shared" si="10"/>
        <v>94505</v>
      </c>
      <c r="J81" s="61">
        <v>94505</v>
      </c>
      <c r="K81" s="61"/>
      <c r="L81" s="61"/>
      <c r="M81" s="90">
        <f t="shared" si="4"/>
        <v>0.38076148267526189</v>
      </c>
      <c r="N81" s="90">
        <f t="shared" si="5"/>
        <v>0.38076148267526189</v>
      </c>
      <c r="O81" s="90" t="str">
        <f t="shared" si="6"/>
        <v/>
      </c>
      <c r="P81" s="90" t="str">
        <f t="shared" si="7"/>
        <v/>
      </c>
    </row>
    <row r="82" spans="1:16" s="38" customFormat="1" ht="36" x14ac:dyDescent="0.3">
      <c r="A82" s="19" t="s">
        <v>105</v>
      </c>
      <c r="B82" s="19" t="s">
        <v>33</v>
      </c>
      <c r="C82" s="19" t="s">
        <v>14</v>
      </c>
      <c r="D82" s="20" t="s">
        <v>104</v>
      </c>
      <c r="E82" s="59">
        <f t="shared" si="8"/>
        <v>2311000</v>
      </c>
      <c r="F82" s="60">
        <v>2311000</v>
      </c>
      <c r="G82" s="60"/>
      <c r="H82" s="60"/>
      <c r="I82" s="59">
        <f t="shared" si="10"/>
        <v>750418.74</v>
      </c>
      <c r="J82" s="61">
        <v>750418.74</v>
      </c>
      <c r="K82" s="61"/>
      <c r="L82" s="61"/>
      <c r="M82" s="90">
        <f t="shared" si="4"/>
        <v>0.32471602769363911</v>
      </c>
      <c r="N82" s="90">
        <f t="shared" si="5"/>
        <v>0.32471602769363911</v>
      </c>
      <c r="O82" s="90" t="str">
        <f t="shared" si="6"/>
        <v/>
      </c>
      <c r="P82" s="90" t="str">
        <f t="shared" si="7"/>
        <v/>
      </c>
    </row>
    <row r="83" spans="1:16" s="38" customFormat="1" ht="36" x14ac:dyDescent="0.3">
      <c r="A83" s="19" t="s">
        <v>106</v>
      </c>
      <c r="B83" s="19" t="s">
        <v>107</v>
      </c>
      <c r="C83" s="19" t="s">
        <v>34</v>
      </c>
      <c r="D83" s="20" t="s">
        <v>251</v>
      </c>
      <c r="E83" s="59">
        <f t="shared" si="8"/>
        <v>11500</v>
      </c>
      <c r="F83" s="60">
        <v>11500</v>
      </c>
      <c r="G83" s="60"/>
      <c r="H83" s="60"/>
      <c r="I83" s="59">
        <f t="shared" si="10"/>
        <v>3433.36</v>
      </c>
      <c r="J83" s="61">
        <v>3433.36</v>
      </c>
      <c r="K83" s="61"/>
      <c r="L83" s="61"/>
      <c r="M83" s="90">
        <f t="shared" si="4"/>
        <v>0.29855304347826089</v>
      </c>
      <c r="N83" s="90">
        <f t="shared" si="5"/>
        <v>0.29855304347826089</v>
      </c>
      <c r="O83" s="90" t="str">
        <f t="shared" si="6"/>
        <v/>
      </c>
      <c r="P83" s="90" t="str">
        <f t="shared" si="7"/>
        <v/>
      </c>
    </row>
    <row r="84" spans="1:16" s="38" customFormat="1" ht="54" x14ac:dyDescent="0.3">
      <c r="A84" s="19" t="s">
        <v>167</v>
      </c>
      <c r="B84" s="19" t="s">
        <v>165</v>
      </c>
      <c r="C84" s="19" t="s">
        <v>34</v>
      </c>
      <c r="D84" s="20" t="s">
        <v>166</v>
      </c>
      <c r="E84" s="59">
        <f t="shared" ref="E84:E153" si="40">F84+G84</f>
        <v>306529</v>
      </c>
      <c r="F84" s="60">
        <v>306529</v>
      </c>
      <c r="G84" s="60"/>
      <c r="H84" s="60"/>
      <c r="I84" s="59">
        <f t="shared" si="10"/>
        <v>228673.81</v>
      </c>
      <c r="J84" s="61">
        <v>228673.81</v>
      </c>
      <c r="K84" s="61"/>
      <c r="L84" s="61"/>
      <c r="M84" s="90">
        <f t="shared" si="4"/>
        <v>0.74601036117300479</v>
      </c>
      <c r="N84" s="90">
        <f t="shared" si="5"/>
        <v>0.74601036117300479</v>
      </c>
      <c r="O84" s="90" t="str">
        <f t="shared" si="6"/>
        <v/>
      </c>
      <c r="P84" s="90" t="str">
        <f t="shared" si="7"/>
        <v/>
      </c>
    </row>
    <row r="85" spans="1:16" s="38" customFormat="1" ht="36" x14ac:dyDescent="0.3">
      <c r="A85" s="19" t="s">
        <v>168</v>
      </c>
      <c r="B85" s="19" t="s">
        <v>169</v>
      </c>
      <c r="C85" s="19" t="s">
        <v>14</v>
      </c>
      <c r="D85" s="20" t="s">
        <v>170</v>
      </c>
      <c r="E85" s="59">
        <f t="shared" si="40"/>
        <v>182216</v>
      </c>
      <c r="F85" s="60">
        <v>182216</v>
      </c>
      <c r="G85" s="60"/>
      <c r="H85" s="60"/>
      <c r="I85" s="59">
        <f t="shared" si="10"/>
        <v>47347</v>
      </c>
      <c r="J85" s="61">
        <v>47347</v>
      </c>
      <c r="K85" s="61"/>
      <c r="L85" s="61"/>
      <c r="M85" s="90">
        <f t="shared" si="4"/>
        <v>0.25983997014532201</v>
      </c>
      <c r="N85" s="90">
        <f t="shared" si="5"/>
        <v>0.25983997014532201</v>
      </c>
      <c r="O85" s="90" t="str">
        <f t="shared" si="6"/>
        <v/>
      </c>
      <c r="P85" s="90" t="str">
        <f t="shared" si="7"/>
        <v/>
      </c>
    </row>
    <row r="86" spans="1:16" s="41" customFormat="1" ht="72" x14ac:dyDescent="0.3">
      <c r="A86" s="19" t="s">
        <v>117</v>
      </c>
      <c r="B86" s="19" t="s">
        <v>116</v>
      </c>
      <c r="C86" s="19" t="s">
        <v>12</v>
      </c>
      <c r="D86" s="20" t="s">
        <v>252</v>
      </c>
      <c r="E86" s="59">
        <f t="shared" si="40"/>
        <v>19693900</v>
      </c>
      <c r="F86" s="60">
        <v>19637500</v>
      </c>
      <c r="G86" s="60">
        <v>56400</v>
      </c>
      <c r="H86" s="60"/>
      <c r="I86" s="59">
        <f t="shared" si="10"/>
        <v>11885255.26</v>
      </c>
      <c r="J86" s="61">
        <v>11862255.26</v>
      </c>
      <c r="K86" s="61">
        <v>23000</v>
      </c>
      <c r="L86" s="61">
        <v>0</v>
      </c>
      <c r="M86" s="90">
        <f t="shared" si="4"/>
        <v>0.60349932009403928</v>
      </c>
      <c r="N86" s="90">
        <f t="shared" si="5"/>
        <v>0.60406137542966265</v>
      </c>
      <c r="O86" s="90">
        <f t="shared" si="6"/>
        <v>0.40780141843971629</v>
      </c>
      <c r="P86" s="90" t="str">
        <f t="shared" si="7"/>
        <v/>
      </c>
    </row>
    <row r="87" spans="1:16" s="38" customFormat="1" ht="36" x14ac:dyDescent="0.3">
      <c r="A87" s="19" t="s">
        <v>72</v>
      </c>
      <c r="B87" s="19" t="s">
        <v>71</v>
      </c>
      <c r="C87" s="19" t="s">
        <v>19</v>
      </c>
      <c r="D87" s="20" t="s">
        <v>253</v>
      </c>
      <c r="E87" s="59">
        <f t="shared" si="40"/>
        <v>8328600</v>
      </c>
      <c r="F87" s="60">
        <v>8328600</v>
      </c>
      <c r="G87" s="60"/>
      <c r="H87" s="60"/>
      <c r="I87" s="59">
        <f t="shared" si="10"/>
        <v>5995636.3799999999</v>
      </c>
      <c r="J87" s="61">
        <v>5973669.3799999999</v>
      </c>
      <c r="K87" s="61">
        <v>21967</v>
      </c>
      <c r="L87" s="61"/>
      <c r="M87" s="90">
        <f t="shared" si="4"/>
        <v>0.719885260427923</v>
      </c>
      <c r="N87" s="90">
        <f t="shared" si="5"/>
        <v>0.71724772230626999</v>
      </c>
      <c r="O87" s="90" t="s">
        <v>386</v>
      </c>
      <c r="P87" s="90" t="str">
        <f t="shared" si="7"/>
        <v/>
      </c>
    </row>
    <row r="88" spans="1:16" s="38" customFormat="1" ht="18" x14ac:dyDescent="0.3">
      <c r="A88" s="19" t="s">
        <v>254</v>
      </c>
      <c r="B88" s="19" t="s">
        <v>83</v>
      </c>
      <c r="C88" s="19" t="s">
        <v>19</v>
      </c>
      <c r="D88" s="20" t="s">
        <v>255</v>
      </c>
      <c r="E88" s="59">
        <f t="shared" si="40"/>
        <v>700000</v>
      </c>
      <c r="F88" s="60">
        <v>700000</v>
      </c>
      <c r="G88" s="60"/>
      <c r="H88" s="60"/>
      <c r="I88" s="59">
        <f t="shared" si="10"/>
        <v>271500</v>
      </c>
      <c r="J88" s="61">
        <v>271500</v>
      </c>
      <c r="K88" s="61"/>
      <c r="L88" s="61"/>
      <c r="M88" s="90">
        <f t="shared" ref="M88:M155" si="41">IFERROR((I88/E88),"")</f>
        <v>0.38785714285714284</v>
      </c>
      <c r="N88" s="90">
        <f t="shared" ref="N88:N155" si="42">IFERROR((J88/F88),"")</f>
        <v>0.38785714285714284</v>
      </c>
      <c r="O88" s="90" t="str">
        <f t="shared" ref="O88:O155" si="43">IFERROR((K88/G88),"")</f>
        <v/>
      </c>
      <c r="P88" s="90" t="str">
        <f t="shared" ref="P88:P155" si="44">IFERROR((L88/H88),"")</f>
        <v/>
      </c>
    </row>
    <row r="89" spans="1:16" s="38" customFormat="1" ht="108" x14ac:dyDescent="0.3">
      <c r="A89" s="19" t="s">
        <v>140</v>
      </c>
      <c r="B89" s="19" t="s">
        <v>141</v>
      </c>
      <c r="C89" s="19" t="s">
        <v>10</v>
      </c>
      <c r="D89" s="20" t="s">
        <v>256</v>
      </c>
      <c r="E89" s="59">
        <f t="shared" si="40"/>
        <v>3300000</v>
      </c>
      <c r="F89" s="60">
        <v>3300000</v>
      </c>
      <c r="G89" s="60"/>
      <c r="H89" s="60"/>
      <c r="I89" s="59">
        <f t="shared" ref="I89:I96" si="45">J89+K89</f>
        <v>2064623.27</v>
      </c>
      <c r="J89" s="61">
        <v>2064623.27</v>
      </c>
      <c r="K89" s="65"/>
      <c r="L89" s="65"/>
      <c r="M89" s="90">
        <f t="shared" si="41"/>
        <v>0.62564341515151511</v>
      </c>
      <c r="N89" s="90">
        <f t="shared" si="42"/>
        <v>0.62564341515151511</v>
      </c>
      <c r="O89" s="90" t="str">
        <f t="shared" si="43"/>
        <v/>
      </c>
      <c r="P89" s="90" t="str">
        <f t="shared" si="44"/>
        <v/>
      </c>
    </row>
    <row r="90" spans="1:16" s="38" customFormat="1" ht="72" x14ac:dyDescent="0.3">
      <c r="A90" s="19" t="s">
        <v>171</v>
      </c>
      <c r="B90" s="19" t="s">
        <v>172</v>
      </c>
      <c r="C90" s="19" t="s">
        <v>10</v>
      </c>
      <c r="D90" s="20" t="s">
        <v>173</v>
      </c>
      <c r="E90" s="59">
        <f t="shared" si="40"/>
        <v>28720</v>
      </c>
      <c r="F90" s="60">
        <v>28720</v>
      </c>
      <c r="G90" s="60"/>
      <c r="H90" s="60"/>
      <c r="I90" s="59">
        <f t="shared" si="45"/>
        <v>27368.9</v>
      </c>
      <c r="J90" s="61">
        <v>27368.9</v>
      </c>
      <c r="K90" s="65"/>
      <c r="L90" s="65"/>
      <c r="M90" s="90">
        <f t="shared" si="41"/>
        <v>0.95295612813370478</v>
      </c>
      <c r="N90" s="90">
        <f t="shared" si="42"/>
        <v>0.95295612813370478</v>
      </c>
      <c r="O90" s="90" t="str">
        <f t="shared" si="43"/>
        <v/>
      </c>
      <c r="P90" s="90" t="str">
        <f t="shared" si="44"/>
        <v/>
      </c>
    </row>
    <row r="91" spans="1:16" s="38" customFormat="1" ht="90" x14ac:dyDescent="0.3">
      <c r="A91" s="19" t="s">
        <v>142</v>
      </c>
      <c r="B91" s="19" t="s">
        <v>143</v>
      </c>
      <c r="C91" s="19" t="s">
        <v>29</v>
      </c>
      <c r="D91" s="20" t="s">
        <v>257</v>
      </c>
      <c r="E91" s="59">
        <f t="shared" si="40"/>
        <v>1500000</v>
      </c>
      <c r="F91" s="60">
        <v>1500000</v>
      </c>
      <c r="G91" s="60"/>
      <c r="H91" s="60"/>
      <c r="I91" s="59">
        <f t="shared" si="45"/>
        <v>789835.65</v>
      </c>
      <c r="J91" s="61">
        <v>789835.65</v>
      </c>
      <c r="K91" s="65"/>
      <c r="L91" s="65"/>
      <c r="M91" s="90">
        <f t="shared" si="41"/>
        <v>0.5265571</v>
      </c>
      <c r="N91" s="90">
        <f t="shared" si="42"/>
        <v>0.5265571</v>
      </c>
      <c r="O91" s="90" t="str">
        <f t="shared" si="43"/>
        <v/>
      </c>
      <c r="P91" s="90" t="str">
        <f t="shared" si="44"/>
        <v/>
      </c>
    </row>
    <row r="92" spans="1:16" s="38" customFormat="1" ht="54" x14ac:dyDescent="0.3">
      <c r="A92" s="19" t="s">
        <v>144</v>
      </c>
      <c r="B92" s="19" t="s">
        <v>145</v>
      </c>
      <c r="C92" s="19" t="s">
        <v>14</v>
      </c>
      <c r="D92" s="20" t="s">
        <v>258</v>
      </c>
      <c r="E92" s="59">
        <f t="shared" si="40"/>
        <v>71000</v>
      </c>
      <c r="F92" s="60">
        <v>71000</v>
      </c>
      <c r="G92" s="60"/>
      <c r="H92" s="60"/>
      <c r="I92" s="59">
        <f t="shared" si="45"/>
        <v>35123.620000000003</v>
      </c>
      <c r="J92" s="61">
        <v>35123.620000000003</v>
      </c>
      <c r="K92" s="65"/>
      <c r="L92" s="65"/>
      <c r="M92" s="90">
        <f t="shared" si="41"/>
        <v>0.49469887323943668</v>
      </c>
      <c r="N92" s="90">
        <f t="shared" si="42"/>
        <v>0.49469887323943668</v>
      </c>
      <c r="O92" s="90" t="str">
        <f t="shared" si="43"/>
        <v/>
      </c>
      <c r="P92" s="90" t="str">
        <f t="shared" si="44"/>
        <v/>
      </c>
    </row>
    <row r="93" spans="1:16" s="38" customFormat="1" ht="396" x14ac:dyDescent="0.3">
      <c r="A93" s="24" t="s">
        <v>382</v>
      </c>
      <c r="B93" s="23">
        <v>3221</v>
      </c>
      <c r="C93" s="23">
        <v>1060</v>
      </c>
      <c r="D93" s="115" t="s">
        <v>383</v>
      </c>
      <c r="E93" s="59">
        <f t="shared" ref="E93:E94" si="46">F93+G93</f>
        <v>1859158</v>
      </c>
      <c r="F93" s="60"/>
      <c r="G93" s="60">
        <v>1859158</v>
      </c>
      <c r="H93" s="60">
        <f>G93</f>
        <v>1859158</v>
      </c>
      <c r="I93" s="59">
        <f t="shared" ref="I93:I94" si="47">J93+K93</f>
        <v>1859157.58</v>
      </c>
      <c r="J93" s="61"/>
      <c r="K93" s="65">
        <v>1859157.58</v>
      </c>
      <c r="L93" s="65">
        <f>K93</f>
        <v>1859157.58</v>
      </c>
      <c r="M93" s="90">
        <f t="shared" ref="M93:M94" si="48">IFERROR((I93/E93),"")</f>
        <v>0.99999977409128227</v>
      </c>
      <c r="N93" s="90" t="str">
        <f t="shared" ref="N93:N94" si="49">IFERROR((J93/F93),"")</f>
        <v/>
      </c>
      <c r="O93" s="90">
        <f t="shared" ref="O93:O94" si="50">IFERROR((K93/G93),"")</f>
        <v>0.99999977409128227</v>
      </c>
      <c r="P93" s="90">
        <f t="shared" ref="P93:P94" si="51">IFERROR((L93/H93),"")</f>
        <v>0.99999977409128227</v>
      </c>
    </row>
    <row r="94" spans="1:16" s="38" customFormat="1" ht="270" x14ac:dyDescent="0.3">
      <c r="A94" s="24" t="s">
        <v>384</v>
      </c>
      <c r="B94" s="23">
        <v>3223</v>
      </c>
      <c r="C94" s="23">
        <v>1060</v>
      </c>
      <c r="D94" s="115" t="s">
        <v>385</v>
      </c>
      <c r="E94" s="59">
        <f t="shared" si="46"/>
        <v>4744689</v>
      </c>
      <c r="F94" s="60"/>
      <c r="G94" s="60">
        <v>4744689</v>
      </c>
      <c r="H94" s="60">
        <f>G94</f>
        <v>4744689</v>
      </c>
      <c r="I94" s="59">
        <f t="shared" si="47"/>
        <v>4741071.4400000004</v>
      </c>
      <c r="J94" s="61"/>
      <c r="K94" s="65">
        <v>4741071.4400000004</v>
      </c>
      <c r="L94" s="65">
        <f>K94</f>
        <v>4741071.4400000004</v>
      </c>
      <c r="M94" s="90">
        <f t="shared" si="48"/>
        <v>0.99923755592832331</v>
      </c>
      <c r="N94" s="90" t="str">
        <f t="shared" si="49"/>
        <v/>
      </c>
      <c r="O94" s="90">
        <f t="shared" si="50"/>
        <v>0.99923755592832331</v>
      </c>
      <c r="P94" s="90">
        <f t="shared" si="51"/>
        <v>0.99923755592832331</v>
      </c>
    </row>
    <row r="95" spans="1:16" s="38" customFormat="1" ht="54" x14ac:dyDescent="0.3">
      <c r="A95" s="25" t="s">
        <v>279</v>
      </c>
      <c r="B95" s="23">
        <v>3230</v>
      </c>
      <c r="C95" s="23">
        <v>1070</v>
      </c>
      <c r="D95" s="20" t="s">
        <v>278</v>
      </c>
      <c r="E95" s="59">
        <f t="shared" si="40"/>
        <v>688600</v>
      </c>
      <c r="F95" s="60">
        <f>191000+497600</f>
        <v>688600</v>
      </c>
      <c r="G95" s="60">
        <v>0</v>
      </c>
      <c r="H95" s="60"/>
      <c r="I95" s="59">
        <f t="shared" si="45"/>
        <v>692095.5</v>
      </c>
      <c r="J95" s="61">
        <f>122680</f>
        <v>122680</v>
      </c>
      <c r="K95" s="65">
        <v>569415.5</v>
      </c>
      <c r="L95" s="65"/>
      <c r="M95" s="90">
        <f t="shared" si="41"/>
        <v>1.0050762416497241</v>
      </c>
      <c r="N95" s="90">
        <f t="shared" si="42"/>
        <v>0.17815858263142609</v>
      </c>
      <c r="O95" s="90" t="str">
        <f t="shared" si="43"/>
        <v/>
      </c>
      <c r="P95" s="90" t="str">
        <f t="shared" si="44"/>
        <v/>
      </c>
    </row>
    <row r="96" spans="1:16" s="38" customFormat="1" ht="36" x14ac:dyDescent="0.3">
      <c r="A96" s="19" t="s">
        <v>150</v>
      </c>
      <c r="B96" s="19" t="s">
        <v>146</v>
      </c>
      <c r="C96" s="19" t="s">
        <v>3</v>
      </c>
      <c r="D96" s="20" t="s">
        <v>147</v>
      </c>
      <c r="E96" s="59">
        <f t="shared" si="40"/>
        <v>47084800</v>
      </c>
      <c r="F96" s="60">
        <f>45164900+1919900</f>
        <v>47084800</v>
      </c>
      <c r="G96" s="60">
        <v>0</v>
      </c>
      <c r="H96" s="60"/>
      <c r="I96" s="59">
        <f t="shared" si="45"/>
        <v>29038804.93</v>
      </c>
      <c r="J96" s="61">
        <f>28463254.45+480436.8</f>
        <v>28943691.25</v>
      </c>
      <c r="K96" s="65">
        <v>95113.68</v>
      </c>
      <c r="L96" s="65"/>
      <c r="M96" s="90">
        <f t="shared" si="41"/>
        <v>0.61673416750203891</v>
      </c>
      <c r="N96" s="90">
        <f t="shared" si="42"/>
        <v>0.61471411686998778</v>
      </c>
      <c r="O96" s="90" t="str">
        <f t="shared" si="43"/>
        <v/>
      </c>
      <c r="P96" s="90" t="str">
        <f t="shared" si="44"/>
        <v/>
      </c>
    </row>
    <row r="97" spans="1:16" s="38" customFormat="1" ht="52.2" x14ac:dyDescent="0.3">
      <c r="A97" s="49" t="s">
        <v>312</v>
      </c>
      <c r="B97" s="17" t="s">
        <v>231</v>
      </c>
      <c r="C97" s="17" t="s">
        <v>231</v>
      </c>
      <c r="D97" s="18" t="s">
        <v>313</v>
      </c>
      <c r="E97" s="57">
        <f t="shared" ref="E97" si="52">F97+G97</f>
        <v>2680500</v>
      </c>
      <c r="F97" s="58">
        <f>F98</f>
        <v>2680500</v>
      </c>
      <c r="G97" s="58">
        <f>G98</f>
        <v>0</v>
      </c>
      <c r="H97" s="58">
        <f>H98</f>
        <v>0</v>
      </c>
      <c r="I97" s="57">
        <f t="shared" ref="I97" si="53">J97+K97</f>
        <v>1822753.82</v>
      </c>
      <c r="J97" s="66">
        <f>J98</f>
        <v>1822753.82</v>
      </c>
      <c r="K97" s="58">
        <f>K98</f>
        <v>0</v>
      </c>
      <c r="L97" s="58">
        <f>L98</f>
        <v>0</v>
      </c>
      <c r="M97" s="88">
        <f t="shared" si="41"/>
        <v>0.68000515575452347</v>
      </c>
      <c r="N97" s="88">
        <f t="shared" si="42"/>
        <v>0.68000515575452347</v>
      </c>
      <c r="O97" s="88" t="str">
        <f t="shared" si="43"/>
        <v/>
      </c>
      <c r="P97" s="88" t="str">
        <f t="shared" si="44"/>
        <v/>
      </c>
    </row>
    <row r="98" spans="1:16" s="38" customFormat="1" ht="52.2" x14ac:dyDescent="0.3">
      <c r="A98" s="49" t="s">
        <v>314</v>
      </c>
      <c r="B98" s="17" t="s">
        <v>231</v>
      </c>
      <c r="C98" s="17" t="s">
        <v>231</v>
      </c>
      <c r="D98" s="18" t="s">
        <v>313</v>
      </c>
      <c r="E98" s="58">
        <f>F98+G98</f>
        <v>2680500</v>
      </c>
      <c r="F98" s="58">
        <f>F99+F101+F100</f>
        <v>2680500</v>
      </c>
      <c r="G98" s="58">
        <f>G99+G101+G100</f>
        <v>0</v>
      </c>
      <c r="H98" s="58">
        <f>H99+H101+H100</f>
        <v>0</v>
      </c>
      <c r="I98" s="58">
        <f>J98+K98</f>
        <v>1822753.82</v>
      </c>
      <c r="J98" s="58">
        <f>J99+J101+J100</f>
        <v>1822753.82</v>
      </c>
      <c r="K98" s="58">
        <f>K99+K101+K100</f>
        <v>0</v>
      </c>
      <c r="L98" s="58">
        <f>L99+L101+L100</f>
        <v>0</v>
      </c>
      <c r="M98" s="88">
        <f t="shared" si="41"/>
        <v>0.68000515575452347</v>
      </c>
      <c r="N98" s="88">
        <f t="shared" si="42"/>
        <v>0.68000515575452347</v>
      </c>
      <c r="O98" s="88" t="str">
        <f t="shared" si="43"/>
        <v/>
      </c>
      <c r="P98" s="88" t="str">
        <f t="shared" si="44"/>
        <v/>
      </c>
    </row>
    <row r="99" spans="1:16" s="38" customFormat="1" ht="54" x14ac:dyDescent="0.3">
      <c r="A99" s="25" t="s">
        <v>315</v>
      </c>
      <c r="B99" s="19" t="s">
        <v>56</v>
      </c>
      <c r="C99" s="19" t="s">
        <v>2</v>
      </c>
      <c r="D99" s="20" t="s">
        <v>248</v>
      </c>
      <c r="E99" s="59">
        <f t="shared" si="40"/>
        <v>2376500</v>
      </c>
      <c r="F99" s="60">
        <v>2376500</v>
      </c>
      <c r="G99" s="60"/>
      <c r="H99" s="60"/>
      <c r="I99" s="59">
        <f t="shared" ref="I99:I155" si="54">J99+K99</f>
        <v>1747261.82</v>
      </c>
      <c r="J99" s="61">
        <v>1747261.82</v>
      </c>
      <c r="K99" s="65"/>
      <c r="L99" s="65"/>
      <c r="M99" s="90">
        <f t="shared" si="41"/>
        <v>0.73522483484115297</v>
      </c>
      <c r="N99" s="90">
        <f t="shared" si="42"/>
        <v>0.73522483484115297</v>
      </c>
      <c r="O99" s="90" t="str">
        <f t="shared" si="43"/>
        <v/>
      </c>
      <c r="P99" s="90" t="str">
        <f t="shared" si="44"/>
        <v/>
      </c>
    </row>
    <row r="100" spans="1:16" s="38" customFormat="1" ht="18" x14ac:dyDescent="0.3">
      <c r="A100" s="25" t="s">
        <v>321</v>
      </c>
      <c r="B100" s="25" t="s">
        <v>9</v>
      </c>
      <c r="C100" s="25" t="s">
        <v>5</v>
      </c>
      <c r="D100" s="20" t="s">
        <v>102</v>
      </c>
      <c r="E100" s="59">
        <f t="shared" ref="E100" si="55">F100+G100</f>
        <v>99000</v>
      </c>
      <c r="F100" s="60">
        <v>99000</v>
      </c>
      <c r="G100" s="60"/>
      <c r="H100" s="60"/>
      <c r="I100" s="59">
        <f t="shared" si="54"/>
        <v>0</v>
      </c>
      <c r="J100" s="61">
        <v>0</v>
      </c>
      <c r="K100" s="65"/>
      <c r="L100" s="65"/>
      <c r="M100" s="90">
        <f t="shared" si="41"/>
        <v>0</v>
      </c>
      <c r="N100" s="90">
        <f t="shared" si="42"/>
        <v>0</v>
      </c>
      <c r="O100" s="90" t="str">
        <f t="shared" si="43"/>
        <v/>
      </c>
      <c r="P100" s="90" t="str">
        <f t="shared" si="44"/>
        <v/>
      </c>
    </row>
    <row r="101" spans="1:16" s="38" customFormat="1" ht="36" x14ac:dyDescent="0.3">
      <c r="A101" s="25" t="s">
        <v>316</v>
      </c>
      <c r="B101" s="19" t="s">
        <v>35</v>
      </c>
      <c r="C101" s="19" t="s">
        <v>19</v>
      </c>
      <c r="D101" s="20" t="s">
        <v>44</v>
      </c>
      <c r="E101" s="59">
        <f t="shared" si="40"/>
        <v>205000</v>
      </c>
      <c r="F101" s="60">
        <v>205000</v>
      </c>
      <c r="G101" s="60"/>
      <c r="H101" s="60"/>
      <c r="I101" s="59">
        <f t="shared" si="54"/>
        <v>75492</v>
      </c>
      <c r="J101" s="61">
        <v>75492</v>
      </c>
      <c r="K101" s="65"/>
      <c r="L101" s="65"/>
      <c r="M101" s="90">
        <f t="shared" si="41"/>
        <v>0.36825365853658537</v>
      </c>
      <c r="N101" s="90">
        <f t="shared" si="42"/>
        <v>0.36825365853658537</v>
      </c>
      <c r="O101" s="90" t="str">
        <f t="shared" si="43"/>
        <v/>
      </c>
      <c r="P101" s="90" t="str">
        <f t="shared" si="44"/>
        <v/>
      </c>
    </row>
    <row r="102" spans="1:16" s="37" customFormat="1" ht="34.799999999999997" x14ac:dyDescent="0.3">
      <c r="A102" s="17" t="s">
        <v>73</v>
      </c>
      <c r="B102" s="17" t="s">
        <v>231</v>
      </c>
      <c r="C102" s="17" t="s">
        <v>231</v>
      </c>
      <c r="D102" s="18" t="s">
        <v>259</v>
      </c>
      <c r="E102" s="57">
        <f t="shared" si="40"/>
        <v>58031300</v>
      </c>
      <c r="F102" s="58">
        <f>F103</f>
        <v>56726300</v>
      </c>
      <c r="G102" s="58">
        <f t="shared" ref="G102:H102" si="56">G103</f>
        <v>1305000</v>
      </c>
      <c r="H102" s="58">
        <f t="shared" si="56"/>
        <v>0</v>
      </c>
      <c r="I102" s="57">
        <f t="shared" si="54"/>
        <v>38125968.25</v>
      </c>
      <c r="J102" s="66">
        <f>J103</f>
        <v>37504034.560000002</v>
      </c>
      <c r="K102" s="66">
        <f t="shared" ref="K102:L102" si="57">K103</f>
        <v>621933.68999999994</v>
      </c>
      <c r="L102" s="66">
        <f t="shared" si="57"/>
        <v>0</v>
      </c>
      <c r="M102" s="88">
        <f t="shared" si="41"/>
        <v>0.6569897322651741</v>
      </c>
      <c r="N102" s="88">
        <f t="shared" si="42"/>
        <v>0.6611401512173366</v>
      </c>
      <c r="O102" s="88">
        <f t="shared" si="43"/>
        <v>0.47657754022988502</v>
      </c>
      <c r="P102" s="88" t="str">
        <f t="shared" si="44"/>
        <v/>
      </c>
    </row>
    <row r="103" spans="1:16" s="37" customFormat="1" ht="34.799999999999997" x14ac:dyDescent="0.3">
      <c r="A103" s="17" t="s">
        <v>74</v>
      </c>
      <c r="B103" s="17" t="s">
        <v>231</v>
      </c>
      <c r="C103" s="17" t="s">
        <v>231</v>
      </c>
      <c r="D103" s="18" t="s">
        <v>259</v>
      </c>
      <c r="E103" s="57">
        <f t="shared" si="40"/>
        <v>58031300</v>
      </c>
      <c r="F103" s="58">
        <f>F104+F105+F106+F108+F109+F110+F111+F112+F107</f>
        <v>56726300</v>
      </c>
      <c r="G103" s="58">
        <f t="shared" ref="G103:L103" si="58">G104+G105+G106+G108+G109+G110+G111+G112+G107</f>
        <v>1305000</v>
      </c>
      <c r="H103" s="58">
        <f t="shared" si="58"/>
        <v>0</v>
      </c>
      <c r="I103" s="58">
        <f t="shared" si="58"/>
        <v>38125968.25</v>
      </c>
      <c r="J103" s="58">
        <f t="shared" si="58"/>
        <v>37504034.560000002</v>
      </c>
      <c r="K103" s="58">
        <f t="shared" si="58"/>
        <v>621933.68999999994</v>
      </c>
      <c r="L103" s="58">
        <f t="shared" si="58"/>
        <v>0</v>
      </c>
      <c r="M103" s="88">
        <f t="shared" si="41"/>
        <v>0.6569897322651741</v>
      </c>
      <c r="N103" s="88">
        <f t="shared" si="42"/>
        <v>0.6611401512173366</v>
      </c>
      <c r="O103" s="88">
        <f t="shared" si="43"/>
        <v>0.47657754022988502</v>
      </c>
      <c r="P103" s="88" t="str">
        <f t="shared" si="44"/>
        <v/>
      </c>
    </row>
    <row r="104" spans="1:16" s="38" customFormat="1" ht="54" x14ac:dyDescent="0.3">
      <c r="A104" s="19" t="s">
        <v>75</v>
      </c>
      <c r="B104" s="19" t="s">
        <v>56</v>
      </c>
      <c r="C104" s="19" t="s">
        <v>2</v>
      </c>
      <c r="D104" s="20" t="s">
        <v>248</v>
      </c>
      <c r="E104" s="59">
        <f t="shared" si="40"/>
        <v>1007100</v>
      </c>
      <c r="F104" s="60">
        <v>1007100</v>
      </c>
      <c r="G104" s="60"/>
      <c r="H104" s="60"/>
      <c r="I104" s="59">
        <f t="shared" si="54"/>
        <v>696566.11</v>
      </c>
      <c r="J104" s="61">
        <v>696566.11</v>
      </c>
      <c r="K104" s="61"/>
      <c r="L104" s="61"/>
      <c r="M104" s="90">
        <f t="shared" si="41"/>
        <v>0.69165535696554459</v>
      </c>
      <c r="N104" s="90">
        <f t="shared" si="42"/>
        <v>0.69165535696554459</v>
      </c>
      <c r="O104" s="90" t="str">
        <f t="shared" si="43"/>
        <v/>
      </c>
      <c r="P104" s="90" t="str">
        <f t="shared" si="44"/>
        <v/>
      </c>
    </row>
    <row r="105" spans="1:16" s="38" customFormat="1" ht="18" x14ac:dyDescent="0.3">
      <c r="A105" s="19" t="s">
        <v>260</v>
      </c>
      <c r="B105" s="19" t="s">
        <v>9</v>
      </c>
      <c r="C105" s="19" t="s">
        <v>5</v>
      </c>
      <c r="D105" s="20" t="s">
        <v>102</v>
      </c>
      <c r="E105" s="59">
        <f t="shared" si="40"/>
        <v>99000</v>
      </c>
      <c r="F105" s="60">
        <v>99000</v>
      </c>
      <c r="G105" s="60"/>
      <c r="H105" s="60"/>
      <c r="I105" s="59">
        <f t="shared" si="54"/>
        <v>94810</v>
      </c>
      <c r="J105" s="65">
        <v>94810</v>
      </c>
      <c r="K105" s="61"/>
      <c r="L105" s="61"/>
      <c r="M105" s="90">
        <f t="shared" si="41"/>
        <v>0.95767676767676768</v>
      </c>
      <c r="N105" s="90">
        <f t="shared" si="42"/>
        <v>0.95767676767676768</v>
      </c>
      <c r="O105" s="90" t="str">
        <f t="shared" si="43"/>
        <v/>
      </c>
      <c r="P105" s="90" t="str">
        <f t="shared" si="44"/>
        <v/>
      </c>
    </row>
    <row r="106" spans="1:16" s="38" customFormat="1" ht="36" x14ac:dyDescent="0.3">
      <c r="A106" s="19" t="s">
        <v>208</v>
      </c>
      <c r="B106" s="19" t="s">
        <v>209</v>
      </c>
      <c r="C106" s="19" t="s">
        <v>16</v>
      </c>
      <c r="D106" s="20" t="s">
        <v>261</v>
      </c>
      <c r="E106" s="59">
        <f t="shared" si="40"/>
        <v>26849300</v>
      </c>
      <c r="F106" s="60">
        <v>25824300</v>
      </c>
      <c r="G106" s="60">
        <v>1025000</v>
      </c>
      <c r="H106" s="60"/>
      <c r="I106" s="59">
        <f t="shared" si="54"/>
        <v>18042228.699999999</v>
      </c>
      <c r="J106" s="65">
        <v>17561254.289999999</v>
      </c>
      <c r="K106" s="61">
        <f>298964.41+182010</f>
        <v>480974.41</v>
      </c>
      <c r="L106" s="61"/>
      <c r="M106" s="90">
        <f t="shared" si="41"/>
        <v>0.67198134402014198</v>
      </c>
      <c r="N106" s="90">
        <f t="shared" si="42"/>
        <v>0.68002827917891284</v>
      </c>
      <c r="O106" s="90">
        <f t="shared" si="43"/>
        <v>0.46924332682926828</v>
      </c>
      <c r="P106" s="90" t="str">
        <f t="shared" si="44"/>
        <v/>
      </c>
    </row>
    <row r="107" spans="1:16" s="38" customFormat="1" ht="90" x14ac:dyDescent="0.3">
      <c r="A107" s="23">
        <v>1013140</v>
      </c>
      <c r="B107" s="23">
        <v>3140</v>
      </c>
      <c r="C107" s="23">
        <v>1040</v>
      </c>
      <c r="D107" s="20" t="s">
        <v>293</v>
      </c>
      <c r="E107" s="59">
        <f t="shared" si="40"/>
        <v>150000</v>
      </c>
      <c r="F107" s="60">
        <v>150000</v>
      </c>
      <c r="G107" s="60"/>
      <c r="H107" s="60"/>
      <c r="I107" s="59">
        <f t="shared" si="54"/>
        <v>149320</v>
      </c>
      <c r="J107" s="65">
        <v>149320</v>
      </c>
      <c r="K107" s="61"/>
      <c r="L107" s="61"/>
      <c r="M107" s="90">
        <f t="shared" si="41"/>
        <v>0.99546666666666672</v>
      </c>
      <c r="N107" s="90">
        <f t="shared" si="42"/>
        <v>0.99546666666666672</v>
      </c>
      <c r="O107" s="90" t="str">
        <f t="shared" si="43"/>
        <v/>
      </c>
      <c r="P107" s="90" t="str">
        <f t="shared" si="44"/>
        <v/>
      </c>
    </row>
    <row r="108" spans="1:16" s="38" customFormat="1" ht="18" x14ac:dyDescent="0.3">
      <c r="A108" s="19" t="s">
        <v>77</v>
      </c>
      <c r="B108" s="19" t="s">
        <v>76</v>
      </c>
      <c r="C108" s="19" t="s">
        <v>37</v>
      </c>
      <c r="D108" s="20" t="s">
        <v>78</v>
      </c>
      <c r="E108" s="59">
        <f t="shared" si="40"/>
        <v>9660300</v>
      </c>
      <c r="F108" s="60">
        <v>9580300</v>
      </c>
      <c r="G108" s="60">
        <v>80000</v>
      </c>
      <c r="H108" s="60"/>
      <c r="I108" s="59">
        <f t="shared" si="54"/>
        <v>6480643.9100000001</v>
      </c>
      <c r="J108" s="61">
        <v>6417337.4100000001</v>
      </c>
      <c r="K108" s="61">
        <v>63306.5</v>
      </c>
      <c r="L108" s="61"/>
      <c r="M108" s="90">
        <f t="shared" si="41"/>
        <v>0.6708532768133495</v>
      </c>
      <c r="N108" s="90">
        <f t="shared" si="42"/>
        <v>0.66984722920994122</v>
      </c>
      <c r="O108" s="90">
        <f t="shared" si="43"/>
        <v>0.79133125000000004</v>
      </c>
      <c r="P108" s="90" t="str">
        <f t="shared" si="44"/>
        <v/>
      </c>
    </row>
    <row r="109" spans="1:16" s="38" customFormat="1" ht="18" x14ac:dyDescent="0.3">
      <c r="A109" s="19" t="s">
        <v>80</v>
      </c>
      <c r="B109" s="19" t="s">
        <v>79</v>
      </c>
      <c r="C109" s="19" t="s">
        <v>37</v>
      </c>
      <c r="D109" s="20" t="s">
        <v>262</v>
      </c>
      <c r="E109" s="59">
        <f t="shared" si="40"/>
        <v>4002600</v>
      </c>
      <c r="F109" s="60">
        <v>3962600</v>
      </c>
      <c r="G109" s="60">
        <v>40000</v>
      </c>
      <c r="H109" s="60"/>
      <c r="I109" s="59">
        <f t="shared" si="54"/>
        <v>2739360.19</v>
      </c>
      <c r="J109" s="61">
        <v>2721682.77</v>
      </c>
      <c r="K109" s="61">
        <v>17677.419999999998</v>
      </c>
      <c r="L109" s="61"/>
      <c r="M109" s="90">
        <f t="shared" si="41"/>
        <v>0.684395190626093</v>
      </c>
      <c r="N109" s="90">
        <f t="shared" si="42"/>
        <v>0.68684267147832234</v>
      </c>
      <c r="O109" s="90">
        <f t="shared" si="43"/>
        <v>0.44193549999999998</v>
      </c>
      <c r="P109" s="90" t="str">
        <f t="shared" si="44"/>
        <v/>
      </c>
    </row>
    <row r="110" spans="1:16" s="38" customFormat="1" ht="54" x14ac:dyDescent="0.3">
      <c r="A110" s="19" t="s">
        <v>81</v>
      </c>
      <c r="B110" s="19" t="s">
        <v>36</v>
      </c>
      <c r="C110" s="19" t="s">
        <v>38</v>
      </c>
      <c r="D110" s="20" t="s">
        <v>263</v>
      </c>
      <c r="E110" s="59">
        <f t="shared" si="40"/>
        <v>13071200</v>
      </c>
      <c r="F110" s="60">
        <v>12911200</v>
      </c>
      <c r="G110" s="60">
        <v>160000</v>
      </c>
      <c r="H110" s="60"/>
      <c r="I110" s="59">
        <f t="shared" si="54"/>
        <v>8055676.8900000006</v>
      </c>
      <c r="J110" s="61">
        <v>7995701.5300000003</v>
      </c>
      <c r="K110" s="61">
        <v>59975.360000000001</v>
      </c>
      <c r="L110" s="61"/>
      <c r="M110" s="90">
        <f t="shared" si="41"/>
        <v>0.61629206882306142</v>
      </c>
      <c r="N110" s="90">
        <f t="shared" si="42"/>
        <v>0.6192841509697008</v>
      </c>
      <c r="O110" s="90">
        <f t="shared" si="43"/>
        <v>0.37484600000000001</v>
      </c>
      <c r="P110" s="90" t="str">
        <f t="shared" si="44"/>
        <v/>
      </c>
    </row>
    <row r="111" spans="1:16" s="38" customFormat="1" ht="36" x14ac:dyDescent="0.3">
      <c r="A111" s="19" t="s">
        <v>151</v>
      </c>
      <c r="B111" s="19" t="s">
        <v>132</v>
      </c>
      <c r="C111" s="19" t="s">
        <v>39</v>
      </c>
      <c r="D111" s="20" t="s">
        <v>133</v>
      </c>
      <c r="E111" s="59">
        <f t="shared" si="40"/>
        <v>2591800</v>
      </c>
      <c r="F111" s="60">
        <v>2591800</v>
      </c>
      <c r="G111" s="60"/>
      <c r="H111" s="60"/>
      <c r="I111" s="59">
        <f t="shared" si="54"/>
        <v>1709518.45</v>
      </c>
      <c r="J111" s="61">
        <v>1709518.45</v>
      </c>
      <c r="K111" s="61"/>
      <c r="L111" s="61"/>
      <c r="M111" s="90">
        <f t="shared" si="41"/>
        <v>0.65958733312755613</v>
      </c>
      <c r="N111" s="90">
        <f t="shared" si="42"/>
        <v>0.65958733312755613</v>
      </c>
      <c r="O111" s="90" t="str">
        <f t="shared" si="43"/>
        <v/>
      </c>
      <c r="P111" s="90" t="str">
        <f t="shared" si="44"/>
        <v/>
      </c>
    </row>
    <row r="112" spans="1:16" s="38" customFormat="1" ht="18" x14ac:dyDescent="0.3">
      <c r="A112" s="19" t="s">
        <v>130</v>
      </c>
      <c r="B112" s="19" t="s">
        <v>131</v>
      </c>
      <c r="C112" s="19" t="s">
        <v>39</v>
      </c>
      <c r="D112" s="20" t="s">
        <v>134</v>
      </c>
      <c r="E112" s="59">
        <f t="shared" si="40"/>
        <v>600000</v>
      </c>
      <c r="F112" s="60">
        <v>600000</v>
      </c>
      <c r="G112" s="60"/>
      <c r="H112" s="60"/>
      <c r="I112" s="59">
        <f t="shared" si="54"/>
        <v>157844</v>
      </c>
      <c r="J112" s="61">
        <v>157844</v>
      </c>
      <c r="K112" s="61"/>
      <c r="L112" s="61"/>
      <c r="M112" s="90">
        <f t="shared" si="41"/>
        <v>0.26307333333333333</v>
      </c>
      <c r="N112" s="90">
        <f t="shared" si="42"/>
        <v>0.26307333333333333</v>
      </c>
      <c r="O112" s="90" t="str">
        <f t="shared" si="43"/>
        <v/>
      </c>
      <c r="P112" s="90" t="str">
        <f t="shared" si="44"/>
        <v/>
      </c>
    </row>
    <row r="113" spans="1:16" s="36" customFormat="1" ht="52.2" x14ac:dyDescent="0.3">
      <c r="A113" s="17" t="s">
        <v>23</v>
      </c>
      <c r="B113" s="17" t="s">
        <v>231</v>
      </c>
      <c r="C113" s="17" t="s">
        <v>231</v>
      </c>
      <c r="D113" s="18" t="s">
        <v>264</v>
      </c>
      <c r="E113" s="57">
        <f t="shared" si="40"/>
        <v>7311144</v>
      </c>
      <c r="F113" s="58">
        <f>F114</f>
        <v>7311144</v>
      </c>
      <c r="G113" s="66">
        <f>G114</f>
        <v>0</v>
      </c>
      <c r="H113" s="66">
        <f>H114</f>
        <v>0</v>
      </c>
      <c r="I113" s="57">
        <f t="shared" si="54"/>
        <v>4962360.33</v>
      </c>
      <c r="J113" s="66">
        <f>J114</f>
        <v>4962360.33</v>
      </c>
      <c r="K113" s="66">
        <f>K114</f>
        <v>0</v>
      </c>
      <c r="L113" s="66">
        <f>L114</f>
        <v>0</v>
      </c>
      <c r="M113" s="88">
        <f t="shared" si="41"/>
        <v>0.67873924108183348</v>
      </c>
      <c r="N113" s="88">
        <f t="shared" si="42"/>
        <v>0.67873924108183348</v>
      </c>
      <c r="O113" s="88" t="str">
        <f t="shared" si="43"/>
        <v/>
      </c>
      <c r="P113" s="88" t="str">
        <f t="shared" si="44"/>
        <v/>
      </c>
    </row>
    <row r="114" spans="1:16" s="37" customFormat="1" ht="52.2" x14ac:dyDescent="0.3">
      <c r="A114" s="17" t="s">
        <v>24</v>
      </c>
      <c r="B114" s="17" t="s">
        <v>231</v>
      </c>
      <c r="C114" s="17" t="s">
        <v>231</v>
      </c>
      <c r="D114" s="18" t="s">
        <v>264</v>
      </c>
      <c r="E114" s="57">
        <f t="shared" si="40"/>
        <v>7311144</v>
      </c>
      <c r="F114" s="58">
        <f>F115+F116+F117+F118+F119+F121+F120</f>
        <v>7311144</v>
      </c>
      <c r="G114" s="58">
        <f>G115+G116+G117+G118+G119+G121</f>
        <v>0</v>
      </c>
      <c r="H114" s="58">
        <f>H115+H116+H117+H118+H119+H121</f>
        <v>0</v>
      </c>
      <c r="I114" s="58">
        <f>I115+I116+I117+I118+I119+I121</f>
        <v>4910388.33</v>
      </c>
      <c r="J114" s="58">
        <f>J115+J116+J117+J118+J119+J121+J120</f>
        <v>4962360.33</v>
      </c>
      <c r="K114" s="66">
        <f>SUM(K115:K121)</f>
        <v>0</v>
      </c>
      <c r="L114" s="66">
        <f>SUM(L115:L121)</f>
        <v>0</v>
      </c>
      <c r="M114" s="88">
        <f t="shared" si="41"/>
        <v>0.67163064084088619</v>
      </c>
      <c r="N114" s="88">
        <f t="shared" si="42"/>
        <v>0.67873924108183348</v>
      </c>
      <c r="O114" s="88" t="str">
        <f t="shared" si="43"/>
        <v/>
      </c>
      <c r="P114" s="88" t="str">
        <f t="shared" si="44"/>
        <v/>
      </c>
    </row>
    <row r="115" spans="1:16" s="38" customFormat="1" ht="54" x14ac:dyDescent="0.3">
      <c r="A115" s="19" t="s">
        <v>82</v>
      </c>
      <c r="B115" s="19" t="s">
        <v>56</v>
      </c>
      <c r="C115" s="19" t="s">
        <v>2</v>
      </c>
      <c r="D115" s="20" t="s">
        <v>248</v>
      </c>
      <c r="E115" s="59">
        <f t="shared" si="40"/>
        <v>2072100</v>
      </c>
      <c r="F115" s="60">
        <v>2072100</v>
      </c>
      <c r="G115" s="60"/>
      <c r="H115" s="60"/>
      <c r="I115" s="59">
        <f t="shared" si="54"/>
        <v>1500356.44</v>
      </c>
      <c r="J115" s="61">
        <v>1500356.44</v>
      </c>
      <c r="K115" s="61"/>
      <c r="L115" s="61"/>
      <c r="M115" s="90">
        <f t="shared" si="41"/>
        <v>0.72407530524588581</v>
      </c>
      <c r="N115" s="90">
        <f t="shared" si="42"/>
        <v>0.72407530524588581</v>
      </c>
      <c r="O115" s="90" t="str">
        <f t="shared" si="43"/>
        <v/>
      </c>
      <c r="P115" s="90" t="str">
        <f t="shared" si="44"/>
        <v/>
      </c>
    </row>
    <row r="116" spans="1:16" s="38" customFormat="1" ht="18" x14ac:dyDescent="0.3">
      <c r="A116" s="19" t="s">
        <v>265</v>
      </c>
      <c r="B116" s="19" t="s">
        <v>9</v>
      </c>
      <c r="C116" s="19" t="s">
        <v>5</v>
      </c>
      <c r="D116" s="20" t="s">
        <v>102</v>
      </c>
      <c r="E116" s="59">
        <f t="shared" si="40"/>
        <v>99000</v>
      </c>
      <c r="F116" s="60">
        <v>99000</v>
      </c>
      <c r="G116" s="60"/>
      <c r="H116" s="60"/>
      <c r="I116" s="59">
        <f t="shared" si="54"/>
        <v>64630</v>
      </c>
      <c r="J116" s="61">
        <v>64630</v>
      </c>
      <c r="K116" s="61"/>
      <c r="L116" s="61"/>
      <c r="M116" s="90">
        <f t="shared" si="41"/>
        <v>0.65282828282828287</v>
      </c>
      <c r="N116" s="90">
        <f t="shared" si="42"/>
        <v>0.65282828282828287</v>
      </c>
      <c r="O116" s="90" t="str">
        <f t="shared" si="43"/>
        <v/>
      </c>
      <c r="P116" s="90" t="str">
        <f t="shared" si="44"/>
        <v/>
      </c>
    </row>
    <row r="117" spans="1:16" s="38" customFormat="1" ht="18" x14ac:dyDescent="0.3">
      <c r="A117" s="19" t="s">
        <v>85</v>
      </c>
      <c r="B117" s="19" t="s">
        <v>84</v>
      </c>
      <c r="C117" s="19" t="s">
        <v>19</v>
      </c>
      <c r="D117" s="20" t="s">
        <v>49</v>
      </c>
      <c r="E117" s="59">
        <f t="shared" si="40"/>
        <v>1979400</v>
      </c>
      <c r="F117" s="60">
        <f>913000+1066400</f>
        <v>1979400</v>
      </c>
      <c r="G117" s="60"/>
      <c r="H117" s="60"/>
      <c r="I117" s="59">
        <f t="shared" si="54"/>
        <v>1173220.6200000001</v>
      </c>
      <c r="J117" s="61">
        <f>489667.6+683553.02</f>
        <v>1173220.6200000001</v>
      </c>
      <c r="K117" s="61"/>
      <c r="L117" s="61"/>
      <c r="M117" s="90">
        <f t="shared" si="41"/>
        <v>0.59271527735677487</v>
      </c>
      <c r="N117" s="90">
        <f t="shared" si="42"/>
        <v>0.59271527735677487</v>
      </c>
      <c r="O117" s="90" t="str">
        <f t="shared" si="43"/>
        <v/>
      </c>
      <c r="P117" s="90" t="str">
        <f t="shared" si="44"/>
        <v/>
      </c>
    </row>
    <row r="118" spans="1:16" s="38" customFormat="1" ht="36" x14ac:dyDescent="0.3">
      <c r="A118" s="19" t="s">
        <v>26</v>
      </c>
      <c r="B118" s="19" t="s">
        <v>25</v>
      </c>
      <c r="C118" s="19" t="s">
        <v>20</v>
      </c>
      <c r="D118" s="20" t="s">
        <v>43</v>
      </c>
      <c r="E118" s="59">
        <f t="shared" si="40"/>
        <v>895000</v>
      </c>
      <c r="F118" s="60">
        <v>895000</v>
      </c>
      <c r="G118" s="60"/>
      <c r="H118" s="60"/>
      <c r="I118" s="59">
        <f t="shared" si="54"/>
        <v>534634.64</v>
      </c>
      <c r="J118" s="61">
        <v>534634.64</v>
      </c>
      <c r="K118" s="61"/>
      <c r="L118" s="61"/>
      <c r="M118" s="90">
        <f t="shared" si="41"/>
        <v>0.59735713966480453</v>
      </c>
      <c r="N118" s="90">
        <f t="shared" si="42"/>
        <v>0.59735713966480453</v>
      </c>
      <c r="O118" s="90" t="str">
        <f t="shared" si="43"/>
        <v/>
      </c>
      <c r="P118" s="90" t="str">
        <f t="shared" si="44"/>
        <v/>
      </c>
    </row>
    <row r="119" spans="1:16" s="38" customFormat="1" ht="36" x14ac:dyDescent="0.3">
      <c r="A119" s="19" t="s">
        <v>45</v>
      </c>
      <c r="B119" s="19" t="s">
        <v>46</v>
      </c>
      <c r="C119" s="19" t="s">
        <v>20</v>
      </c>
      <c r="D119" s="20" t="s">
        <v>47</v>
      </c>
      <c r="E119" s="59">
        <f t="shared" si="40"/>
        <v>320000</v>
      </c>
      <c r="F119" s="60">
        <v>320000</v>
      </c>
      <c r="G119" s="60"/>
      <c r="H119" s="60"/>
      <c r="I119" s="59">
        <f t="shared" si="54"/>
        <v>226490.63</v>
      </c>
      <c r="J119" s="61">
        <v>226490.63</v>
      </c>
      <c r="K119" s="61"/>
      <c r="L119" s="61"/>
      <c r="M119" s="90">
        <f t="shared" si="41"/>
        <v>0.70778321875000005</v>
      </c>
      <c r="N119" s="90">
        <f t="shared" si="42"/>
        <v>0.70778321875000005</v>
      </c>
      <c r="O119" s="90" t="str">
        <f t="shared" si="43"/>
        <v/>
      </c>
      <c r="P119" s="90" t="str">
        <f t="shared" si="44"/>
        <v/>
      </c>
    </row>
    <row r="120" spans="1:16" s="38" customFormat="1" ht="54" x14ac:dyDescent="0.3">
      <c r="A120" s="77" t="s">
        <v>357</v>
      </c>
      <c r="B120" s="77" t="s">
        <v>358</v>
      </c>
      <c r="C120" s="77" t="s">
        <v>20</v>
      </c>
      <c r="D120" s="83" t="s">
        <v>359</v>
      </c>
      <c r="E120" s="59">
        <f t="shared" ref="E120" si="59">F120+G120</f>
        <v>103944</v>
      </c>
      <c r="F120" s="60">
        <v>103944</v>
      </c>
      <c r="G120" s="60"/>
      <c r="H120" s="60"/>
      <c r="I120" s="59">
        <f t="shared" si="54"/>
        <v>51972</v>
      </c>
      <c r="J120" s="61">
        <v>51972</v>
      </c>
      <c r="K120" s="61"/>
      <c r="L120" s="61"/>
      <c r="M120" s="90">
        <f t="shared" si="41"/>
        <v>0.5</v>
      </c>
      <c r="N120" s="90">
        <f t="shared" si="42"/>
        <v>0.5</v>
      </c>
      <c r="O120" s="90" t="str">
        <f t="shared" si="43"/>
        <v/>
      </c>
      <c r="P120" s="90" t="str">
        <f t="shared" si="44"/>
        <v/>
      </c>
    </row>
    <row r="121" spans="1:16" s="38" customFormat="1" ht="72" x14ac:dyDescent="0.3">
      <c r="A121" s="19" t="s">
        <v>50</v>
      </c>
      <c r="B121" s="19" t="s">
        <v>51</v>
      </c>
      <c r="C121" s="19" t="s">
        <v>20</v>
      </c>
      <c r="D121" s="20" t="s">
        <v>266</v>
      </c>
      <c r="E121" s="59">
        <f t="shared" si="40"/>
        <v>1841700</v>
      </c>
      <c r="F121" s="60">
        <v>1841700</v>
      </c>
      <c r="G121" s="60"/>
      <c r="H121" s="60"/>
      <c r="I121" s="59">
        <f t="shared" si="54"/>
        <v>1411056</v>
      </c>
      <c r="J121" s="61">
        <v>1411056</v>
      </c>
      <c r="K121" s="61"/>
      <c r="L121" s="61"/>
      <c r="M121" s="90">
        <f t="shared" si="41"/>
        <v>0.76617038605636101</v>
      </c>
      <c r="N121" s="90">
        <f t="shared" si="42"/>
        <v>0.76617038605636101</v>
      </c>
      <c r="O121" s="90" t="str">
        <f t="shared" si="43"/>
        <v/>
      </c>
      <c r="P121" s="90" t="str">
        <f t="shared" si="44"/>
        <v/>
      </c>
    </row>
    <row r="122" spans="1:16" s="37" customFormat="1" ht="52.2" x14ac:dyDescent="0.3">
      <c r="A122" s="17" t="s">
        <v>86</v>
      </c>
      <c r="B122" s="17" t="s">
        <v>231</v>
      </c>
      <c r="C122" s="17" t="s">
        <v>231</v>
      </c>
      <c r="D122" s="18" t="s">
        <v>267</v>
      </c>
      <c r="E122" s="57">
        <f t="shared" si="40"/>
        <v>165904683.31999999</v>
      </c>
      <c r="F122" s="58">
        <f>F123</f>
        <v>152783142</v>
      </c>
      <c r="G122" s="58">
        <f t="shared" ref="G122:H122" si="60">G123</f>
        <v>13121541.32</v>
      </c>
      <c r="H122" s="58">
        <f t="shared" si="60"/>
        <v>11869937</v>
      </c>
      <c r="I122" s="57">
        <f t="shared" si="54"/>
        <v>114003906.91</v>
      </c>
      <c r="J122" s="66">
        <f>J123</f>
        <v>109581911.64</v>
      </c>
      <c r="K122" s="66">
        <f t="shared" ref="K122:L122" si="61">K123</f>
        <v>4421995.2699999996</v>
      </c>
      <c r="L122" s="66">
        <f t="shared" si="61"/>
        <v>3291798.64</v>
      </c>
      <c r="M122" s="88">
        <f t="shared" si="41"/>
        <v>0.6871650915972467</v>
      </c>
      <c r="N122" s="88">
        <f t="shared" si="42"/>
        <v>0.71723823849623414</v>
      </c>
      <c r="O122" s="88">
        <f t="shared" si="43"/>
        <v>0.33700273177968393</v>
      </c>
      <c r="P122" s="88">
        <f t="shared" si="44"/>
        <v>0.27732233456672939</v>
      </c>
    </row>
    <row r="123" spans="1:16" s="38" customFormat="1" ht="52.2" x14ac:dyDescent="0.3">
      <c r="A123" s="17" t="s">
        <v>87</v>
      </c>
      <c r="B123" s="17" t="s">
        <v>231</v>
      </c>
      <c r="C123" s="17" t="s">
        <v>231</v>
      </c>
      <c r="D123" s="18" t="s">
        <v>267</v>
      </c>
      <c r="E123" s="57">
        <f t="shared" si="40"/>
        <v>165904683.31999999</v>
      </c>
      <c r="F123" s="58">
        <f t="shared" ref="F123:L123" si="62">SUM(F124:F143)</f>
        <v>152783142</v>
      </c>
      <c r="G123" s="58">
        <f t="shared" si="62"/>
        <v>13121541.32</v>
      </c>
      <c r="H123" s="58">
        <f t="shared" si="62"/>
        <v>11869937</v>
      </c>
      <c r="I123" s="58">
        <f t="shared" si="62"/>
        <v>114003906.91</v>
      </c>
      <c r="J123" s="58">
        <f t="shared" si="62"/>
        <v>109581911.64</v>
      </c>
      <c r="K123" s="58">
        <f t="shared" si="62"/>
        <v>4421995.2699999996</v>
      </c>
      <c r="L123" s="58">
        <f t="shared" si="62"/>
        <v>3291798.64</v>
      </c>
      <c r="M123" s="88">
        <f t="shared" si="41"/>
        <v>0.6871650915972467</v>
      </c>
      <c r="N123" s="88">
        <f t="shared" si="42"/>
        <v>0.71723823849623414</v>
      </c>
      <c r="O123" s="88">
        <f t="shared" si="43"/>
        <v>0.33700273177968393</v>
      </c>
      <c r="P123" s="88">
        <f t="shared" si="44"/>
        <v>0.27732233456672939</v>
      </c>
    </row>
    <row r="124" spans="1:16" s="41" customFormat="1" ht="54" x14ac:dyDescent="0.3">
      <c r="A124" s="19" t="s">
        <v>88</v>
      </c>
      <c r="B124" s="19" t="s">
        <v>56</v>
      </c>
      <c r="C124" s="19" t="s">
        <v>2</v>
      </c>
      <c r="D124" s="20" t="s">
        <v>248</v>
      </c>
      <c r="E124" s="59">
        <f t="shared" si="40"/>
        <v>4330900</v>
      </c>
      <c r="F124" s="60">
        <v>4294900</v>
      </c>
      <c r="G124" s="60">
        <v>36000</v>
      </c>
      <c r="H124" s="60">
        <v>36000</v>
      </c>
      <c r="I124" s="59">
        <f t="shared" si="54"/>
        <v>2771269.75</v>
      </c>
      <c r="J124" s="61">
        <v>2771269.75</v>
      </c>
      <c r="K124" s="61"/>
      <c r="L124" s="61"/>
      <c r="M124" s="90">
        <f t="shared" si="41"/>
        <v>0.63988310743725318</v>
      </c>
      <c r="N124" s="90">
        <f t="shared" si="42"/>
        <v>0.64524662972362568</v>
      </c>
      <c r="O124" s="90">
        <f t="shared" si="43"/>
        <v>0</v>
      </c>
      <c r="P124" s="90">
        <f t="shared" si="44"/>
        <v>0</v>
      </c>
    </row>
    <row r="125" spans="1:16" s="38" customFormat="1" ht="54" x14ac:dyDescent="0.3">
      <c r="A125" s="19" t="s">
        <v>187</v>
      </c>
      <c r="B125" s="19" t="s">
        <v>109</v>
      </c>
      <c r="C125" s="19" t="s">
        <v>110</v>
      </c>
      <c r="D125" s="20" t="s">
        <v>111</v>
      </c>
      <c r="E125" s="59">
        <f t="shared" si="40"/>
        <v>25000</v>
      </c>
      <c r="F125" s="60">
        <v>25000</v>
      </c>
      <c r="G125" s="60"/>
      <c r="H125" s="60"/>
      <c r="I125" s="59">
        <f t="shared" si="54"/>
        <v>2200</v>
      </c>
      <c r="J125" s="61">
        <v>2200</v>
      </c>
      <c r="K125" s="61"/>
      <c r="L125" s="61"/>
      <c r="M125" s="90">
        <f t="shared" si="41"/>
        <v>8.7999999999999995E-2</v>
      </c>
      <c r="N125" s="90">
        <f t="shared" si="42"/>
        <v>8.7999999999999995E-2</v>
      </c>
      <c r="O125" s="90" t="str">
        <f t="shared" si="43"/>
        <v/>
      </c>
      <c r="P125" s="90" t="str">
        <f t="shared" si="44"/>
        <v/>
      </c>
    </row>
    <row r="126" spans="1:16" s="38" customFormat="1" ht="18" x14ac:dyDescent="0.3">
      <c r="A126" s="19" t="s">
        <v>268</v>
      </c>
      <c r="B126" s="19" t="s">
        <v>9</v>
      </c>
      <c r="C126" s="19" t="s">
        <v>5</v>
      </c>
      <c r="D126" s="20" t="s">
        <v>102</v>
      </c>
      <c r="E126" s="59">
        <f t="shared" si="40"/>
        <v>99000</v>
      </c>
      <c r="F126" s="60">
        <v>99000</v>
      </c>
      <c r="G126" s="60"/>
      <c r="H126" s="60"/>
      <c r="I126" s="59">
        <f t="shared" si="54"/>
        <v>49900</v>
      </c>
      <c r="J126" s="61">
        <v>49900</v>
      </c>
      <c r="K126" s="61"/>
      <c r="L126" s="61"/>
      <c r="M126" s="90">
        <f t="shared" si="41"/>
        <v>0.50404040404040407</v>
      </c>
      <c r="N126" s="90">
        <f t="shared" si="42"/>
        <v>0.50404040404040407</v>
      </c>
      <c r="O126" s="90" t="str">
        <f t="shared" si="43"/>
        <v/>
      </c>
      <c r="P126" s="90" t="str">
        <f t="shared" si="44"/>
        <v/>
      </c>
    </row>
    <row r="127" spans="1:16" s="38" customFormat="1" ht="18" x14ac:dyDescent="0.3">
      <c r="A127" s="19" t="s">
        <v>139</v>
      </c>
      <c r="B127" s="19" t="s">
        <v>138</v>
      </c>
      <c r="C127" s="19" t="s">
        <v>118</v>
      </c>
      <c r="D127" s="20" t="s">
        <v>119</v>
      </c>
      <c r="E127" s="59">
        <f t="shared" si="40"/>
        <v>30000</v>
      </c>
      <c r="F127" s="60">
        <v>30000</v>
      </c>
      <c r="G127" s="60"/>
      <c r="H127" s="60"/>
      <c r="I127" s="59">
        <f t="shared" si="54"/>
        <v>9763.66</v>
      </c>
      <c r="J127" s="61">
        <v>9763.66</v>
      </c>
      <c r="K127" s="61"/>
      <c r="L127" s="61"/>
      <c r="M127" s="90">
        <f t="shared" si="41"/>
        <v>0.32545533333333332</v>
      </c>
      <c r="N127" s="90">
        <f t="shared" si="42"/>
        <v>0.32545533333333332</v>
      </c>
      <c r="O127" s="90" t="str">
        <f t="shared" si="43"/>
        <v/>
      </c>
      <c r="P127" s="90" t="str">
        <f t="shared" si="44"/>
        <v/>
      </c>
    </row>
    <row r="128" spans="1:16" s="38" customFormat="1" ht="36" x14ac:dyDescent="0.3">
      <c r="A128" s="27">
        <v>1216011</v>
      </c>
      <c r="B128" s="27">
        <v>6011</v>
      </c>
      <c r="C128" s="24" t="s">
        <v>285</v>
      </c>
      <c r="D128" s="28" t="s">
        <v>99</v>
      </c>
      <c r="E128" s="59">
        <f t="shared" si="40"/>
        <v>4550895</v>
      </c>
      <c r="F128" s="60">
        <v>319069</v>
      </c>
      <c r="G128" s="60">
        <v>4231826</v>
      </c>
      <c r="H128" s="60">
        <v>4231826</v>
      </c>
      <c r="I128" s="59">
        <f t="shared" si="54"/>
        <v>1890251.17</v>
      </c>
      <c r="J128" s="61"/>
      <c r="K128" s="61">
        <v>1890251.17</v>
      </c>
      <c r="L128" s="61">
        <v>1890251.17</v>
      </c>
      <c r="M128" s="90">
        <f t="shared" si="41"/>
        <v>0.41535811527183114</v>
      </c>
      <c r="N128" s="90">
        <f t="shared" si="42"/>
        <v>0</v>
      </c>
      <c r="O128" s="90">
        <f t="shared" si="43"/>
        <v>0.44667506887097908</v>
      </c>
      <c r="P128" s="90">
        <f t="shared" si="44"/>
        <v>0.44667506887097908</v>
      </c>
    </row>
    <row r="129" spans="1:18" s="38" customFormat="1" ht="36" x14ac:dyDescent="0.3">
      <c r="A129" s="23">
        <v>1216013</v>
      </c>
      <c r="B129" s="23">
        <v>6013</v>
      </c>
      <c r="C129" s="24" t="s">
        <v>8</v>
      </c>
      <c r="D129" s="82" t="s">
        <v>100</v>
      </c>
      <c r="E129" s="59">
        <f t="shared" ref="E129" si="63">F129+G129</f>
        <v>1304221</v>
      </c>
      <c r="F129" s="60">
        <v>59940</v>
      </c>
      <c r="G129" s="60">
        <v>1244281</v>
      </c>
      <c r="H129" s="60">
        <v>1244281</v>
      </c>
      <c r="I129" s="59">
        <f t="shared" si="54"/>
        <v>1244281</v>
      </c>
      <c r="J129" s="61">
        <v>0</v>
      </c>
      <c r="K129" s="61">
        <v>1244281</v>
      </c>
      <c r="L129" s="61">
        <f>K129</f>
        <v>1244281</v>
      </c>
      <c r="M129" s="90">
        <f t="shared" si="41"/>
        <v>0.95404153130489389</v>
      </c>
      <c r="N129" s="90">
        <f t="shared" si="42"/>
        <v>0</v>
      </c>
      <c r="O129" s="90">
        <f t="shared" si="43"/>
        <v>1</v>
      </c>
      <c r="P129" s="90">
        <f t="shared" si="44"/>
        <v>1</v>
      </c>
    </row>
    <row r="130" spans="1:18" s="38" customFormat="1" ht="36" x14ac:dyDescent="0.3">
      <c r="A130" s="19" t="s">
        <v>121</v>
      </c>
      <c r="B130" s="19" t="s">
        <v>120</v>
      </c>
      <c r="C130" s="19" t="s">
        <v>8</v>
      </c>
      <c r="D130" s="20" t="s">
        <v>122</v>
      </c>
      <c r="E130" s="59">
        <f t="shared" si="40"/>
        <v>2280702</v>
      </c>
      <c r="F130" s="60">
        <v>300000</v>
      </c>
      <c r="G130" s="60">
        <v>1980702</v>
      </c>
      <c r="H130" s="60">
        <f>G130</f>
        <v>1980702</v>
      </c>
      <c r="I130" s="59">
        <f t="shared" si="54"/>
        <v>35060.639999999999</v>
      </c>
      <c r="J130" s="61">
        <v>0</v>
      </c>
      <c r="K130" s="61">
        <v>35060.639999999999</v>
      </c>
      <c r="L130" s="61">
        <f>K130</f>
        <v>35060.639999999999</v>
      </c>
      <c r="M130" s="90">
        <f t="shared" si="41"/>
        <v>1.5372740498320254E-2</v>
      </c>
      <c r="N130" s="90">
        <f t="shared" si="42"/>
        <v>0</v>
      </c>
      <c r="O130" s="90">
        <f t="shared" si="43"/>
        <v>1.7701118088435313E-2</v>
      </c>
      <c r="P130" s="90">
        <f t="shared" si="44"/>
        <v>1.7701118088435313E-2</v>
      </c>
    </row>
    <row r="131" spans="1:18" s="38" customFormat="1" ht="36" x14ac:dyDescent="0.3">
      <c r="A131" s="19" t="s">
        <v>153</v>
      </c>
      <c r="B131" s="19" t="s">
        <v>154</v>
      </c>
      <c r="C131" s="19" t="s">
        <v>8</v>
      </c>
      <c r="D131" s="20" t="s">
        <v>269</v>
      </c>
      <c r="E131" s="59">
        <f t="shared" si="40"/>
        <v>2693000</v>
      </c>
      <c r="F131" s="60">
        <v>1493000</v>
      </c>
      <c r="G131" s="60">
        <v>1200000</v>
      </c>
      <c r="H131" s="60">
        <f>G131</f>
        <v>1200000</v>
      </c>
      <c r="I131" s="59">
        <f t="shared" si="54"/>
        <v>1099896.67</v>
      </c>
      <c r="J131" s="61">
        <v>1099896.67</v>
      </c>
      <c r="K131" s="61"/>
      <c r="L131" s="61"/>
      <c r="M131" s="90">
        <f t="shared" si="41"/>
        <v>0.40842802450798366</v>
      </c>
      <c r="N131" s="90">
        <f t="shared" si="42"/>
        <v>0.7367023911587407</v>
      </c>
      <c r="O131" s="90">
        <f t="shared" si="43"/>
        <v>0</v>
      </c>
      <c r="P131" s="90">
        <f t="shared" si="44"/>
        <v>0</v>
      </c>
    </row>
    <row r="132" spans="1:18" s="41" customFormat="1" ht="18" x14ac:dyDescent="0.3">
      <c r="A132" s="19" t="s">
        <v>89</v>
      </c>
      <c r="B132" s="19" t="s">
        <v>40</v>
      </c>
      <c r="C132" s="19" t="s">
        <v>8</v>
      </c>
      <c r="D132" s="20" t="s">
        <v>240</v>
      </c>
      <c r="E132" s="59">
        <f t="shared" si="40"/>
        <v>74684500</v>
      </c>
      <c r="F132" s="60">
        <f>35730000+19050000+19065000</f>
        <v>73845000</v>
      </c>
      <c r="G132" s="60">
        <v>839500</v>
      </c>
      <c r="H132" s="60">
        <f>G132</f>
        <v>839500</v>
      </c>
      <c r="I132" s="59">
        <f t="shared" si="54"/>
        <v>52278110.200000003</v>
      </c>
      <c r="J132" s="61">
        <f>27344818.46+13335441.1+11010142.64</f>
        <v>51690402.200000003</v>
      </c>
      <c r="K132" s="61">
        <v>587708</v>
      </c>
      <c r="L132" s="61"/>
      <c r="M132" s="90">
        <f t="shared" si="41"/>
        <v>0.69998607743239905</v>
      </c>
      <c r="N132" s="90">
        <f t="shared" si="42"/>
        <v>0.69998513372604787</v>
      </c>
      <c r="O132" s="90">
        <f t="shared" si="43"/>
        <v>0.70006908874329954</v>
      </c>
      <c r="P132" s="90">
        <f t="shared" si="44"/>
        <v>0</v>
      </c>
    </row>
    <row r="133" spans="1:18" s="41" customFormat="1" ht="18" x14ac:dyDescent="0.3">
      <c r="A133" s="23">
        <v>1217130</v>
      </c>
      <c r="B133" s="23">
        <v>7130</v>
      </c>
      <c r="C133" s="24" t="s">
        <v>296</v>
      </c>
      <c r="D133" s="82" t="s">
        <v>297</v>
      </c>
      <c r="E133" s="59">
        <f t="shared" ref="E133" si="64">F133+G133</f>
        <v>55000</v>
      </c>
      <c r="F133" s="60">
        <v>55000</v>
      </c>
      <c r="G133" s="60"/>
      <c r="H133" s="60"/>
      <c r="I133" s="59">
        <f t="shared" si="54"/>
        <v>0</v>
      </c>
      <c r="J133" s="61">
        <v>0</v>
      </c>
      <c r="K133" s="61"/>
      <c r="L133" s="61"/>
      <c r="M133" s="90">
        <f t="shared" si="41"/>
        <v>0</v>
      </c>
      <c r="N133" s="90">
        <f t="shared" si="42"/>
        <v>0</v>
      </c>
      <c r="O133" s="90" t="str">
        <f t="shared" si="43"/>
        <v/>
      </c>
      <c r="P133" s="90" t="str">
        <f t="shared" si="44"/>
        <v/>
      </c>
    </row>
    <row r="134" spans="1:18" s="38" customFormat="1" ht="54" x14ac:dyDescent="0.3">
      <c r="A134" s="19" t="s">
        <v>123</v>
      </c>
      <c r="B134" s="19" t="s">
        <v>97</v>
      </c>
      <c r="C134" s="19" t="s">
        <v>41</v>
      </c>
      <c r="D134" s="20" t="s">
        <v>98</v>
      </c>
      <c r="E134" s="59">
        <f t="shared" si="40"/>
        <v>25700000</v>
      </c>
      <c r="F134" s="60">
        <v>25700000</v>
      </c>
      <c r="G134" s="60"/>
      <c r="H134" s="60"/>
      <c r="I134" s="59">
        <f t="shared" si="54"/>
        <v>17189181.600000001</v>
      </c>
      <c r="J134" s="61">
        <v>17189181.600000001</v>
      </c>
      <c r="K134" s="61"/>
      <c r="L134" s="61"/>
      <c r="M134" s="90">
        <f t="shared" si="41"/>
        <v>0.66883975097276271</v>
      </c>
      <c r="N134" s="90">
        <f t="shared" si="42"/>
        <v>0.66883975097276271</v>
      </c>
      <c r="O134" s="90" t="str">
        <f t="shared" si="43"/>
        <v/>
      </c>
      <c r="P134" s="90" t="str">
        <f t="shared" si="44"/>
        <v/>
      </c>
    </row>
    <row r="135" spans="1:18" s="38" customFormat="1" ht="144" x14ac:dyDescent="0.3">
      <c r="A135" s="23">
        <v>1217691</v>
      </c>
      <c r="B135" s="23">
        <v>7691</v>
      </c>
      <c r="C135" s="24" t="s">
        <v>22</v>
      </c>
      <c r="D135" s="20" t="s">
        <v>156</v>
      </c>
      <c r="E135" s="59">
        <f t="shared" si="40"/>
        <v>580802.88</v>
      </c>
      <c r="F135" s="60"/>
      <c r="G135" s="60">
        <v>580802.88</v>
      </c>
      <c r="H135" s="60"/>
      <c r="I135" s="59">
        <f t="shared" si="54"/>
        <v>123448.63</v>
      </c>
      <c r="J135" s="61"/>
      <c r="K135" s="61">
        <v>123448.63</v>
      </c>
      <c r="L135" s="61"/>
      <c r="M135" s="90">
        <f t="shared" si="41"/>
        <v>0.21254824011891954</v>
      </c>
      <c r="N135" s="90" t="str">
        <f t="shared" si="42"/>
        <v/>
      </c>
      <c r="O135" s="90">
        <f t="shared" si="43"/>
        <v>0.21254824011891954</v>
      </c>
      <c r="P135" s="90" t="str">
        <f t="shared" si="44"/>
        <v/>
      </c>
    </row>
    <row r="136" spans="1:18" s="38" customFormat="1" ht="36" x14ac:dyDescent="0.3">
      <c r="A136" s="23">
        <v>1217693</v>
      </c>
      <c r="B136" s="19" t="s">
        <v>136</v>
      </c>
      <c r="C136" s="19" t="s">
        <v>22</v>
      </c>
      <c r="D136" s="20" t="s">
        <v>270</v>
      </c>
      <c r="E136" s="59">
        <f t="shared" si="40"/>
        <v>44171102</v>
      </c>
      <c r="F136" s="60">
        <f>3166802+26000000+15004300</f>
        <v>44171102</v>
      </c>
      <c r="G136" s="60"/>
      <c r="H136" s="60"/>
      <c r="I136" s="59">
        <f t="shared" si="54"/>
        <v>34961528.670000002</v>
      </c>
      <c r="J136" s="61">
        <f>1957228.67+18000000+15004300</f>
        <v>34961528.670000002</v>
      </c>
      <c r="K136" s="61"/>
      <c r="L136" s="61"/>
      <c r="M136" s="90">
        <f t="shared" si="41"/>
        <v>0.79150229645617631</v>
      </c>
      <c r="N136" s="90">
        <f t="shared" si="42"/>
        <v>0.79150229645617631</v>
      </c>
      <c r="O136" s="90" t="str">
        <f t="shared" si="43"/>
        <v/>
      </c>
      <c r="P136" s="90" t="str">
        <f t="shared" si="44"/>
        <v/>
      </c>
    </row>
    <row r="137" spans="1:18" s="38" customFormat="1" ht="72" x14ac:dyDescent="0.3">
      <c r="A137" s="23">
        <v>1217700</v>
      </c>
      <c r="B137" s="23">
        <v>7700</v>
      </c>
      <c r="C137" s="24" t="s">
        <v>5</v>
      </c>
      <c r="D137" s="20" t="s">
        <v>363</v>
      </c>
      <c r="E137" s="59">
        <f t="shared" si="40"/>
        <v>420801.44</v>
      </c>
      <c r="F137" s="60"/>
      <c r="G137" s="60">
        <v>420801.44</v>
      </c>
      <c r="H137" s="60"/>
      <c r="I137" s="59">
        <f t="shared" si="54"/>
        <v>419040</v>
      </c>
      <c r="J137" s="61"/>
      <c r="K137" s="61">
        <v>419040</v>
      </c>
      <c r="L137" s="61"/>
      <c r="M137" s="90">
        <f t="shared" si="41"/>
        <v>0.99581408276549621</v>
      </c>
      <c r="N137" s="90" t="str">
        <f t="shared" si="42"/>
        <v/>
      </c>
      <c r="O137" s="90">
        <f t="shared" si="43"/>
        <v>0.99581408276549621</v>
      </c>
      <c r="P137" s="90" t="str">
        <f t="shared" si="44"/>
        <v/>
      </c>
    </row>
    <row r="138" spans="1:18" s="38" customFormat="1" ht="54" x14ac:dyDescent="0.3">
      <c r="A138" s="23">
        <v>1218110</v>
      </c>
      <c r="B138" s="23">
        <v>8110</v>
      </c>
      <c r="C138" s="24" t="s">
        <v>4</v>
      </c>
      <c r="D138" s="20" t="s">
        <v>137</v>
      </c>
      <c r="E138" s="59">
        <f t="shared" si="40"/>
        <v>3235231</v>
      </c>
      <c r="F138" s="60">
        <f>1852741+155500+63990</f>
        <v>2072231</v>
      </c>
      <c r="G138" s="60">
        <f>1013000+150000</f>
        <v>1163000</v>
      </c>
      <c r="H138" s="60">
        <f>G138</f>
        <v>1163000</v>
      </c>
      <c r="I138" s="59">
        <f t="shared" si="54"/>
        <v>1917274.9200000002</v>
      </c>
      <c r="J138" s="65">
        <f>1575579.09+155500+63990</f>
        <v>1795069.09</v>
      </c>
      <c r="K138" s="65">
        <v>122205.83</v>
      </c>
      <c r="L138" s="65">
        <f>K138</f>
        <v>122205.83</v>
      </c>
      <c r="M138" s="90">
        <f t="shared" si="41"/>
        <v>0.59262380955177552</v>
      </c>
      <c r="N138" s="90">
        <f t="shared" si="42"/>
        <v>0.86624951079295698</v>
      </c>
      <c r="O138" s="90">
        <f t="shared" si="43"/>
        <v>0.10507809974204643</v>
      </c>
      <c r="P138" s="90">
        <f t="shared" si="44"/>
        <v>0.10507809974204643</v>
      </c>
    </row>
    <row r="139" spans="1:18" s="38" customFormat="1" ht="18" x14ac:dyDescent="0.3">
      <c r="A139" s="23">
        <v>1218240</v>
      </c>
      <c r="B139" s="23">
        <v>8240</v>
      </c>
      <c r="C139" s="25" t="s">
        <v>160</v>
      </c>
      <c r="D139" s="26" t="s">
        <v>247</v>
      </c>
      <c r="E139" s="59">
        <f t="shared" si="40"/>
        <v>12700</v>
      </c>
      <c r="F139" s="60">
        <v>12700</v>
      </c>
      <c r="G139" s="60"/>
      <c r="H139" s="60"/>
      <c r="I139" s="59">
        <f t="shared" si="54"/>
        <v>12700</v>
      </c>
      <c r="J139" s="65">
        <v>12700</v>
      </c>
      <c r="K139" s="65"/>
      <c r="L139" s="65"/>
      <c r="M139" s="90">
        <f t="shared" si="41"/>
        <v>1</v>
      </c>
      <c r="N139" s="90">
        <f t="shared" si="42"/>
        <v>1</v>
      </c>
      <c r="O139" s="90" t="str">
        <f t="shared" si="43"/>
        <v/>
      </c>
      <c r="P139" s="90" t="str">
        <f t="shared" si="44"/>
        <v/>
      </c>
    </row>
    <row r="140" spans="1:18" s="40" customFormat="1" ht="36" x14ac:dyDescent="0.3">
      <c r="A140" s="19" t="s">
        <v>129</v>
      </c>
      <c r="B140" s="19" t="s">
        <v>126</v>
      </c>
      <c r="C140" s="19" t="s">
        <v>42</v>
      </c>
      <c r="D140" s="20" t="s">
        <v>135</v>
      </c>
      <c r="E140" s="59">
        <f t="shared" si="40"/>
        <v>250000</v>
      </c>
      <c r="F140" s="60"/>
      <c r="G140" s="60">
        <f>100000+150000</f>
        <v>250000</v>
      </c>
      <c r="H140" s="60"/>
      <c r="I140" s="59">
        <f t="shared" si="54"/>
        <v>0</v>
      </c>
      <c r="J140" s="65"/>
      <c r="K140" s="65"/>
      <c r="L140" s="65"/>
      <c r="M140" s="90">
        <f t="shared" ref="M140:M142" si="65">IFERROR((I140/E140),"")</f>
        <v>0</v>
      </c>
      <c r="N140" s="90" t="str">
        <f t="shared" ref="N140:N142" si="66">IFERROR((J140/F140),"")</f>
        <v/>
      </c>
      <c r="O140" s="90">
        <f t="shared" si="43"/>
        <v>0</v>
      </c>
      <c r="P140" s="90" t="str">
        <f t="shared" si="44"/>
        <v/>
      </c>
    </row>
    <row r="141" spans="1:18" s="40" customFormat="1" ht="72" x14ac:dyDescent="0.3">
      <c r="A141" s="24" t="s">
        <v>372</v>
      </c>
      <c r="B141" s="23">
        <v>8733</v>
      </c>
      <c r="C141" s="24" t="s">
        <v>41</v>
      </c>
      <c r="D141" s="82" t="s">
        <v>373</v>
      </c>
      <c r="E141" s="59">
        <f t="shared" si="40"/>
        <v>697200</v>
      </c>
      <c r="F141" s="60">
        <v>197200</v>
      </c>
      <c r="G141" s="60">
        <v>500000</v>
      </c>
      <c r="H141" s="60">
        <v>500000</v>
      </c>
      <c r="I141" s="59">
        <f t="shared" si="54"/>
        <v>0</v>
      </c>
      <c r="J141" s="65"/>
      <c r="K141" s="65"/>
      <c r="L141" s="65"/>
      <c r="M141" s="90">
        <f t="shared" si="65"/>
        <v>0</v>
      </c>
      <c r="N141" s="90">
        <f t="shared" si="66"/>
        <v>0</v>
      </c>
      <c r="O141" s="90"/>
      <c r="P141" s="90"/>
    </row>
    <row r="142" spans="1:18" s="40" customFormat="1" ht="90" x14ac:dyDescent="0.3">
      <c r="A142" s="24" t="s">
        <v>374</v>
      </c>
      <c r="B142" s="23">
        <v>8746</v>
      </c>
      <c r="C142" s="24" t="s">
        <v>375</v>
      </c>
      <c r="D142" s="82" t="s">
        <v>376</v>
      </c>
      <c r="E142" s="59">
        <f t="shared" si="40"/>
        <v>109000</v>
      </c>
      <c r="F142" s="60">
        <v>109000</v>
      </c>
      <c r="G142" s="60"/>
      <c r="H142" s="60"/>
      <c r="I142" s="59">
        <f t="shared" si="54"/>
        <v>0</v>
      </c>
      <c r="J142" s="65"/>
      <c r="K142" s="65"/>
      <c r="L142" s="65"/>
      <c r="M142" s="90">
        <f t="shared" si="65"/>
        <v>0</v>
      </c>
      <c r="N142" s="90">
        <f t="shared" si="66"/>
        <v>0</v>
      </c>
      <c r="O142" s="90"/>
      <c r="P142" s="90"/>
    </row>
    <row r="143" spans="1:18" s="40" customFormat="1" ht="72" x14ac:dyDescent="0.3">
      <c r="A143" s="23">
        <v>1218761</v>
      </c>
      <c r="B143" s="87" t="s">
        <v>42</v>
      </c>
      <c r="C143" s="87" t="s">
        <v>365</v>
      </c>
      <c r="D143" s="20" t="s">
        <v>364</v>
      </c>
      <c r="E143" s="59">
        <f t="shared" si="40"/>
        <v>674628</v>
      </c>
      <c r="F143" s="60"/>
      <c r="G143" s="60">
        <v>674628</v>
      </c>
      <c r="H143" s="60">
        <v>674628</v>
      </c>
      <c r="I143" s="59">
        <f t="shared" si="54"/>
        <v>0</v>
      </c>
      <c r="J143" s="65"/>
      <c r="K143" s="65"/>
      <c r="L143" s="65"/>
      <c r="M143" s="90">
        <f t="shared" si="41"/>
        <v>0</v>
      </c>
      <c r="N143" s="90" t="str">
        <f t="shared" si="42"/>
        <v/>
      </c>
      <c r="O143" s="90">
        <f t="shared" si="43"/>
        <v>0</v>
      </c>
      <c r="P143" s="90">
        <f t="shared" si="44"/>
        <v>0</v>
      </c>
    </row>
    <row r="144" spans="1:18" s="40" customFormat="1" ht="52.2" x14ac:dyDescent="0.3">
      <c r="A144" s="17" t="s">
        <v>27</v>
      </c>
      <c r="B144" s="17" t="s">
        <v>231</v>
      </c>
      <c r="C144" s="17" t="s">
        <v>231</v>
      </c>
      <c r="D144" s="18" t="s">
        <v>271</v>
      </c>
      <c r="E144" s="57">
        <f t="shared" si="40"/>
        <v>241683186</v>
      </c>
      <c r="F144" s="58">
        <f>F145</f>
        <v>4555000</v>
      </c>
      <c r="G144" s="58">
        <f t="shared" ref="G144:L144" si="67">G145</f>
        <v>237128186</v>
      </c>
      <c r="H144" s="58">
        <f t="shared" si="67"/>
        <v>237128186</v>
      </c>
      <c r="I144" s="58">
        <f t="shared" si="67"/>
        <v>27104719.75</v>
      </c>
      <c r="J144" s="58">
        <f>J145</f>
        <v>3058670.41</v>
      </c>
      <c r="K144" s="58">
        <f t="shared" si="67"/>
        <v>24046049.339999996</v>
      </c>
      <c r="L144" s="58">
        <f t="shared" si="67"/>
        <v>24046049.339999996</v>
      </c>
      <c r="M144" s="88">
        <f t="shared" si="41"/>
        <v>0.11214979493856887</v>
      </c>
      <c r="N144" s="88">
        <f t="shared" si="42"/>
        <v>0.67149734577387488</v>
      </c>
      <c r="O144" s="88">
        <f t="shared" si="43"/>
        <v>0.10140527680669727</v>
      </c>
      <c r="P144" s="88">
        <f t="shared" si="44"/>
        <v>0.10140527680669727</v>
      </c>
      <c r="Q144" s="44"/>
      <c r="R144" s="46"/>
    </row>
    <row r="145" spans="1:18" s="40" customFormat="1" ht="52.2" x14ac:dyDescent="0.3">
      <c r="A145" s="17" t="s">
        <v>28</v>
      </c>
      <c r="B145" s="17" t="s">
        <v>231</v>
      </c>
      <c r="C145" s="17" t="s">
        <v>231</v>
      </c>
      <c r="D145" s="18" t="s">
        <v>271</v>
      </c>
      <c r="E145" s="57">
        <f t="shared" si="40"/>
        <v>241683186</v>
      </c>
      <c r="F145" s="58">
        <f t="shared" ref="F145:L145" si="68">SUM(F146:F157)</f>
        <v>4555000</v>
      </c>
      <c r="G145" s="58">
        <f t="shared" si="68"/>
        <v>237128186</v>
      </c>
      <c r="H145" s="58">
        <f t="shared" si="68"/>
        <v>237128186</v>
      </c>
      <c r="I145" s="58">
        <f t="shared" si="68"/>
        <v>27104719.75</v>
      </c>
      <c r="J145" s="58">
        <f t="shared" si="68"/>
        <v>3058670.41</v>
      </c>
      <c r="K145" s="58">
        <f t="shared" si="68"/>
        <v>24046049.339999996</v>
      </c>
      <c r="L145" s="58">
        <f t="shared" si="68"/>
        <v>24046049.339999996</v>
      </c>
      <c r="M145" s="88">
        <f t="shared" si="41"/>
        <v>0.11214979493856887</v>
      </c>
      <c r="N145" s="88">
        <f t="shared" si="42"/>
        <v>0.67149734577387488</v>
      </c>
      <c r="O145" s="88">
        <f t="shared" si="43"/>
        <v>0.10140527680669727</v>
      </c>
      <c r="P145" s="88">
        <f t="shared" si="44"/>
        <v>0.10140527680669727</v>
      </c>
      <c r="Q145" s="44"/>
      <c r="R145" s="46"/>
    </row>
    <row r="146" spans="1:18" s="40" customFormat="1" ht="54" x14ac:dyDescent="0.3">
      <c r="A146" s="19" t="s">
        <v>90</v>
      </c>
      <c r="B146" s="19" t="s">
        <v>56</v>
      </c>
      <c r="C146" s="19" t="s">
        <v>2</v>
      </c>
      <c r="D146" s="20" t="s">
        <v>248</v>
      </c>
      <c r="E146" s="59">
        <f t="shared" si="40"/>
        <v>4456000</v>
      </c>
      <c r="F146" s="60">
        <v>4456000</v>
      </c>
      <c r="G146" s="60"/>
      <c r="H146" s="60"/>
      <c r="I146" s="59">
        <f t="shared" si="54"/>
        <v>3008770.41</v>
      </c>
      <c r="J146" s="61">
        <v>3008770.41</v>
      </c>
      <c r="K146" s="61">
        <v>0</v>
      </c>
      <c r="L146" s="61">
        <v>0</v>
      </c>
      <c r="M146" s="90">
        <f t="shared" si="41"/>
        <v>0.67521777603231603</v>
      </c>
      <c r="N146" s="90">
        <f t="shared" si="42"/>
        <v>0.67521777603231603</v>
      </c>
      <c r="O146" s="90" t="str">
        <f t="shared" si="43"/>
        <v/>
      </c>
      <c r="P146" s="90" t="str">
        <f t="shared" si="44"/>
        <v/>
      </c>
      <c r="R146" s="91"/>
    </row>
    <row r="147" spans="1:18" s="40" customFormat="1" ht="18" x14ac:dyDescent="0.3">
      <c r="A147" s="19" t="s">
        <v>272</v>
      </c>
      <c r="B147" s="19" t="s">
        <v>9</v>
      </c>
      <c r="C147" s="19" t="s">
        <v>5</v>
      </c>
      <c r="D147" s="20" t="s">
        <v>102</v>
      </c>
      <c r="E147" s="59">
        <f t="shared" si="40"/>
        <v>99000</v>
      </c>
      <c r="F147" s="60">
        <v>99000</v>
      </c>
      <c r="G147" s="60"/>
      <c r="H147" s="60"/>
      <c r="I147" s="59">
        <f t="shared" si="54"/>
        <v>49900</v>
      </c>
      <c r="J147" s="61">
        <v>49900</v>
      </c>
      <c r="K147" s="61"/>
      <c r="L147" s="61"/>
      <c r="M147" s="90">
        <f t="shared" si="41"/>
        <v>0.50404040404040407</v>
      </c>
      <c r="N147" s="90">
        <f t="shared" si="42"/>
        <v>0.50404040404040407</v>
      </c>
      <c r="O147" s="90" t="str">
        <f t="shared" si="43"/>
        <v/>
      </c>
      <c r="P147" s="90" t="str">
        <f t="shared" si="44"/>
        <v/>
      </c>
      <c r="R147" s="91"/>
    </row>
    <row r="148" spans="1:18" s="40" customFormat="1" ht="36" x14ac:dyDescent="0.3">
      <c r="A148" s="23">
        <v>1512010</v>
      </c>
      <c r="B148" s="23">
        <v>2010</v>
      </c>
      <c r="C148" s="24" t="s">
        <v>31</v>
      </c>
      <c r="D148" s="20" t="s">
        <v>155</v>
      </c>
      <c r="E148" s="59">
        <f t="shared" si="40"/>
        <v>1150627</v>
      </c>
      <c r="F148" s="60"/>
      <c r="G148" s="60">
        <v>1150627</v>
      </c>
      <c r="H148" s="60">
        <f>G148</f>
        <v>1150627</v>
      </c>
      <c r="I148" s="59">
        <f t="shared" si="54"/>
        <v>1110730.92</v>
      </c>
      <c r="J148" s="61"/>
      <c r="K148" s="61">
        <v>1110730.92</v>
      </c>
      <c r="L148" s="61">
        <v>1110730.92</v>
      </c>
      <c r="M148" s="90">
        <f t="shared" si="41"/>
        <v>0.96532666102916054</v>
      </c>
      <c r="N148" s="90" t="str">
        <f t="shared" si="42"/>
        <v/>
      </c>
      <c r="O148" s="90">
        <f t="shared" si="43"/>
        <v>0.96532666102916054</v>
      </c>
      <c r="P148" s="90">
        <f t="shared" si="44"/>
        <v>0.96532666102916054</v>
      </c>
      <c r="R148" s="91"/>
    </row>
    <row r="149" spans="1:18" s="40" customFormat="1" ht="36" x14ac:dyDescent="0.3">
      <c r="A149" s="23">
        <v>1516013</v>
      </c>
      <c r="B149" s="23">
        <v>6013</v>
      </c>
      <c r="C149" s="25" t="s">
        <v>8</v>
      </c>
      <c r="D149" s="20" t="s">
        <v>100</v>
      </c>
      <c r="E149" s="59">
        <f t="shared" si="40"/>
        <v>382750</v>
      </c>
      <c r="F149" s="60"/>
      <c r="G149" s="60">
        <f>H149</f>
        <v>382750</v>
      </c>
      <c r="H149" s="60">
        <v>382750</v>
      </c>
      <c r="I149" s="59">
        <f t="shared" si="54"/>
        <v>382749.55</v>
      </c>
      <c r="J149" s="61"/>
      <c r="K149" s="61">
        <f>L149</f>
        <v>382749.55</v>
      </c>
      <c r="L149" s="61">
        <v>382749.55</v>
      </c>
      <c r="M149" s="90">
        <f t="shared" si="41"/>
        <v>0.99999882429784448</v>
      </c>
      <c r="N149" s="90" t="str">
        <f t="shared" si="42"/>
        <v/>
      </c>
      <c r="O149" s="90">
        <f t="shared" si="43"/>
        <v>0.99999882429784448</v>
      </c>
      <c r="P149" s="90">
        <f t="shared" si="44"/>
        <v>0.99999882429784448</v>
      </c>
      <c r="R149" s="91"/>
    </row>
    <row r="150" spans="1:18" s="40" customFormat="1" ht="36" x14ac:dyDescent="0.3">
      <c r="A150" s="23">
        <v>1516015</v>
      </c>
      <c r="B150" s="19" t="s">
        <v>120</v>
      </c>
      <c r="C150" s="19" t="s">
        <v>8</v>
      </c>
      <c r="D150" s="20" t="s">
        <v>122</v>
      </c>
      <c r="E150" s="59">
        <f t="shared" si="40"/>
        <v>23415217</v>
      </c>
      <c r="F150" s="60"/>
      <c r="G150" s="60">
        <v>23415217</v>
      </c>
      <c r="H150" s="60">
        <v>23415217</v>
      </c>
      <c r="I150" s="59">
        <f t="shared" si="54"/>
        <v>6038058.5899999999</v>
      </c>
      <c r="J150" s="61"/>
      <c r="K150" s="61">
        <v>6038058.5899999999</v>
      </c>
      <c r="L150" s="61">
        <f>K150</f>
        <v>6038058.5899999999</v>
      </c>
      <c r="M150" s="90">
        <f t="shared" si="41"/>
        <v>0.25786899989011419</v>
      </c>
      <c r="N150" s="90" t="str">
        <f t="shared" si="42"/>
        <v/>
      </c>
      <c r="O150" s="90">
        <f t="shared" si="43"/>
        <v>0.25786899989011419</v>
      </c>
      <c r="P150" s="90">
        <f t="shared" si="44"/>
        <v>0.25786899989011419</v>
      </c>
      <c r="R150" s="91"/>
    </row>
    <row r="151" spans="1:18" s="40" customFormat="1" ht="72" x14ac:dyDescent="0.3">
      <c r="A151" s="23">
        <v>1516050</v>
      </c>
      <c r="B151" s="24" t="s">
        <v>335</v>
      </c>
      <c r="C151" s="24" t="s">
        <v>8</v>
      </c>
      <c r="D151" s="20" t="s">
        <v>336</v>
      </c>
      <c r="E151" s="59">
        <f t="shared" si="40"/>
        <v>1194873</v>
      </c>
      <c r="F151" s="60"/>
      <c r="G151" s="60">
        <v>1194873</v>
      </c>
      <c r="H151" s="60">
        <v>1194873</v>
      </c>
      <c r="I151" s="59">
        <f t="shared" si="54"/>
        <v>1194872.49</v>
      </c>
      <c r="J151" s="61"/>
      <c r="K151" s="61">
        <v>1194872.49</v>
      </c>
      <c r="L151" s="61">
        <f>K151</f>
        <v>1194872.49</v>
      </c>
      <c r="M151" s="90">
        <f t="shared" si="41"/>
        <v>0.99999957317639609</v>
      </c>
      <c r="N151" s="90" t="str">
        <f t="shared" si="42"/>
        <v/>
      </c>
      <c r="O151" s="90">
        <f t="shared" si="43"/>
        <v>0.99999957317639609</v>
      </c>
      <c r="P151" s="90">
        <f t="shared" si="44"/>
        <v>0.99999957317639609</v>
      </c>
      <c r="R151" s="91"/>
    </row>
    <row r="152" spans="1:18" s="40" customFormat="1" ht="36" x14ac:dyDescent="0.3">
      <c r="A152" s="23">
        <v>1517310</v>
      </c>
      <c r="B152" s="23">
        <v>7310</v>
      </c>
      <c r="C152" s="25" t="s">
        <v>125</v>
      </c>
      <c r="D152" s="20" t="s">
        <v>338</v>
      </c>
      <c r="E152" s="59">
        <f t="shared" si="40"/>
        <v>44001250</v>
      </c>
      <c r="F152" s="60"/>
      <c r="G152" s="60">
        <f>600000+9401250+34000000</f>
        <v>44001250</v>
      </c>
      <c r="H152" s="60">
        <f>G152</f>
        <v>44001250</v>
      </c>
      <c r="I152" s="59">
        <f t="shared" si="54"/>
        <v>0</v>
      </c>
      <c r="J152" s="61"/>
      <c r="K152" s="61"/>
      <c r="L152" s="61"/>
      <c r="M152" s="90">
        <f t="shared" si="41"/>
        <v>0</v>
      </c>
      <c r="N152" s="90" t="str">
        <f t="shared" si="42"/>
        <v/>
      </c>
      <c r="O152" s="90">
        <f t="shared" si="43"/>
        <v>0</v>
      </c>
      <c r="P152" s="90">
        <f t="shared" si="44"/>
        <v>0</v>
      </c>
      <c r="R152" s="91"/>
    </row>
    <row r="153" spans="1:18" s="40" customFormat="1" ht="18" x14ac:dyDescent="0.3">
      <c r="A153" s="23">
        <v>1517321</v>
      </c>
      <c r="B153" s="23">
        <v>7321</v>
      </c>
      <c r="C153" s="25" t="s">
        <v>125</v>
      </c>
      <c r="D153" s="20" t="s">
        <v>339</v>
      </c>
      <c r="E153" s="59">
        <f t="shared" si="40"/>
        <v>83746460</v>
      </c>
      <c r="F153" s="60"/>
      <c r="G153" s="60">
        <v>83746460</v>
      </c>
      <c r="H153" s="60">
        <f>G153</f>
        <v>83746460</v>
      </c>
      <c r="I153" s="59">
        <f t="shared" si="54"/>
        <v>122583.1</v>
      </c>
      <c r="J153" s="61"/>
      <c r="K153" s="61">
        <v>122583.1</v>
      </c>
      <c r="L153" s="61">
        <f>K153</f>
        <v>122583.1</v>
      </c>
      <c r="M153" s="90">
        <f t="shared" si="41"/>
        <v>1.4637406763223187E-3</v>
      </c>
      <c r="N153" s="90" t="str">
        <f t="shared" si="42"/>
        <v/>
      </c>
      <c r="O153" s="90">
        <f t="shared" si="43"/>
        <v>1.4637406763223187E-3</v>
      </c>
      <c r="P153" s="90">
        <f t="shared" si="44"/>
        <v>1.4637406763223187E-3</v>
      </c>
      <c r="R153" s="91"/>
    </row>
    <row r="154" spans="1:18" s="40" customFormat="1" ht="36" x14ac:dyDescent="0.3">
      <c r="A154" s="25" t="s">
        <v>323</v>
      </c>
      <c r="B154" s="25" t="s">
        <v>324</v>
      </c>
      <c r="C154" s="25" t="s">
        <v>22</v>
      </c>
      <c r="D154" s="20" t="s">
        <v>325</v>
      </c>
      <c r="E154" s="59">
        <f t="shared" ref="E154" si="69">F154+G154</f>
        <v>26491442</v>
      </c>
      <c r="F154" s="60"/>
      <c r="G154" s="60">
        <v>26491442</v>
      </c>
      <c r="H154" s="60">
        <v>26491442</v>
      </c>
      <c r="I154" s="59">
        <f t="shared" si="54"/>
        <v>0</v>
      </c>
      <c r="J154" s="61"/>
      <c r="K154" s="61"/>
      <c r="L154" s="61"/>
      <c r="M154" s="90">
        <f t="shared" si="41"/>
        <v>0</v>
      </c>
      <c r="N154" s="90" t="str">
        <f t="shared" si="42"/>
        <v/>
      </c>
      <c r="O154" s="90">
        <f t="shared" si="43"/>
        <v>0</v>
      </c>
      <c r="P154" s="90">
        <f t="shared" si="44"/>
        <v>0</v>
      </c>
      <c r="R154" s="91"/>
    </row>
    <row r="155" spans="1:18" s="40" customFormat="1" ht="36" x14ac:dyDescent="0.3">
      <c r="A155" s="23">
        <v>1517370</v>
      </c>
      <c r="B155" s="23">
        <v>7370</v>
      </c>
      <c r="C155" s="25" t="s">
        <v>22</v>
      </c>
      <c r="D155" s="20" t="s">
        <v>124</v>
      </c>
      <c r="E155" s="59">
        <f t="shared" ref="E155:E186" si="70">F155+G155</f>
        <v>27740698</v>
      </c>
      <c r="F155" s="60"/>
      <c r="G155" s="60">
        <f>155676+27585022</f>
        <v>27740698</v>
      </c>
      <c r="H155" s="60">
        <f>G155</f>
        <v>27740698</v>
      </c>
      <c r="I155" s="59">
        <f t="shared" si="54"/>
        <v>0</v>
      </c>
      <c r="J155" s="61">
        <v>0</v>
      </c>
      <c r="K155" s="61"/>
      <c r="L155" s="61"/>
      <c r="M155" s="90">
        <f t="shared" si="41"/>
        <v>0</v>
      </c>
      <c r="N155" s="90" t="str">
        <f t="shared" si="42"/>
        <v/>
      </c>
      <c r="O155" s="90">
        <f t="shared" si="43"/>
        <v>0</v>
      </c>
      <c r="P155" s="90">
        <f t="shared" si="44"/>
        <v>0</v>
      </c>
      <c r="R155" s="91"/>
    </row>
    <row r="156" spans="1:18" s="40" customFormat="1" ht="18" x14ac:dyDescent="0.3">
      <c r="A156" s="23">
        <v>1517640</v>
      </c>
      <c r="B156" s="23">
        <v>7640</v>
      </c>
      <c r="C156" s="25" t="s">
        <v>6</v>
      </c>
      <c r="D156" s="20" t="s">
        <v>7</v>
      </c>
      <c r="E156" s="59">
        <f t="shared" si="70"/>
        <v>7720091</v>
      </c>
      <c r="F156" s="60"/>
      <c r="G156" s="60">
        <v>7720091</v>
      </c>
      <c r="H156" s="60">
        <v>7720091</v>
      </c>
      <c r="I156" s="59">
        <f t="shared" ref="I156:I157" si="71">J156+K156</f>
        <v>5675313.7000000002</v>
      </c>
      <c r="J156" s="65"/>
      <c r="K156" s="65">
        <v>5675313.7000000002</v>
      </c>
      <c r="L156" s="65">
        <f>K156</f>
        <v>5675313.7000000002</v>
      </c>
      <c r="M156" s="90">
        <f t="shared" ref="M156:M198" si="72">IFERROR((I156/E156),"")</f>
        <v>0.73513559619957847</v>
      </c>
      <c r="N156" s="90" t="str">
        <f t="shared" ref="N156:N198" si="73">IFERROR((J156/F156),"")</f>
        <v/>
      </c>
      <c r="O156" s="90">
        <f t="shared" ref="O156:O198" si="74">IFERROR((K156/G156),"")</f>
        <v>0.73513559619957847</v>
      </c>
      <c r="P156" s="90">
        <f t="shared" ref="P156:P198" si="75">IFERROR((L156/H156),"")</f>
        <v>0.73513559619957847</v>
      </c>
      <c r="R156" s="91"/>
    </row>
    <row r="157" spans="1:18" s="40" customFormat="1" ht="54" x14ac:dyDescent="0.3">
      <c r="A157" s="24" t="s">
        <v>281</v>
      </c>
      <c r="B157" s="23">
        <v>8110</v>
      </c>
      <c r="C157" s="25" t="s">
        <v>4</v>
      </c>
      <c r="D157" s="20" t="s">
        <v>137</v>
      </c>
      <c r="E157" s="59">
        <f t="shared" si="70"/>
        <v>21284778</v>
      </c>
      <c r="F157" s="60"/>
      <c r="G157" s="60">
        <f>7105844+14178934</f>
        <v>21284778</v>
      </c>
      <c r="H157" s="60">
        <f>7105844+14178934</f>
        <v>21284778</v>
      </c>
      <c r="I157" s="59">
        <f t="shared" si="71"/>
        <v>9521740.9900000002</v>
      </c>
      <c r="J157" s="65"/>
      <c r="K157" s="65">
        <f>4457530.49+5064210.5</f>
        <v>9521740.9900000002</v>
      </c>
      <c r="L157" s="65">
        <f>K157</f>
        <v>9521740.9900000002</v>
      </c>
      <c r="M157" s="90">
        <f t="shared" si="72"/>
        <v>0.44734979101027034</v>
      </c>
      <c r="N157" s="90" t="str">
        <f t="shared" si="73"/>
        <v/>
      </c>
      <c r="O157" s="90">
        <f t="shared" si="74"/>
        <v>0.44734979101027034</v>
      </c>
      <c r="P157" s="90">
        <f t="shared" si="75"/>
        <v>0.44734979101027034</v>
      </c>
      <c r="R157" s="91"/>
    </row>
    <row r="158" spans="1:18" s="38" customFormat="1" ht="52.2" x14ac:dyDescent="0.3">
      <c r="A158" s="17" t="s">
        <v>91</v>
      </c>
      <c r="B158" s="17" t="s">
        <v>231</v>
      </c>
      <c r="C158" s="17" t="s">
        <v>231</v>
      </c>
      <c r="D158" s="18" t="s">
        <v>273</v>
      </c>
      <c r="E158" s="57">
        <f t="shared" si="70"/>
        <v>24484100</v>
      </c>
      <c r="F158" s="58">
        <f>F159</f>
        <v>24484100</v>
      </c>
      <c r="G158" s="58">
        <f t="shared" ref="G158:H158" si="76">G159</f>
        <v>0</v>
      </c>
      <c r="H158" s="58">
        <f t="shared" si="76"/>
        <v>0</v>
      </c>
      <c r="I158" s="57">
        <f t="shared" ref="I158:I186" si="77">J158+K158</f>
        <v>14848397.789999999</v>
      </c>
      <c r="J158" s="68">
        <f>J159</f>
        <v>14848397.789999999</v>
      </c>
      <c r="K158" s="68">
        <f>K159</f>
        <v>0</v>
      </c>
      <c r="L158" s="68">
        <f>L159</f>
        <v>0</v>
      </c>
      <c r="M158" s="88">
        <f t="shared" si="72"/>
        <v>0.60645062673326766</v>
      </c>
      <c r="N158" s="88">
        <f t="shared" si="73"/>
        <v>0.60645062673326766</v>
      </c>
      <c r="O158" s="88" t="str">
        <f t="shared" si="74"/>
        <v/>
      </c>
      <c r="P158" s="88" t="str">
        <f t="shared" si="75"/>
        <v/>
      </c>
    </row>
    <row r="159" spans="1:18" s="38" customFormat="1" ht="52.2" x14ac:dyDescent="0.3">
      <c r="A159" s="17" t="s">
        <v>92</v>
      </c>
      <c r="B159" s="17" t="s">
        <v>231</v>
      </c>
      <c r="C159" s="17" t="s">
        <v>231</v>
      </c>
      <c r="D159" s="18" t="s">
        <v>273</v>
      </c>
      <c r="E159" s="57">
        <f t="shared" si="70"/>
        <v>24484100</v>
      </c>
      <c r="F159" s="58">
        <f t="shared" ref="F159:L159" si="78">SUM(F160:F166)</f>
        <v>24484100</v>
      </c>
      <c r="G159" s="58">
        <f t="shared" si="78"/>
        <v>0</v>
      </c>
      <c r="H159" s="58">
        <f t="shared" si="78"/>
        <v>0</v>
      </c>
      <c r="I159" s="58">
        <f t="shared" si="78"/>
        <v>14848397.789999999</v>
      </c>
      <c r="J159" s="58">
        <f t="shared" si="78"/>
        <v>14848397.789999999</v>
      </c>
      <c r="K159" s="58">
        <f t="shared" si="78"/>
        <v>0</v>
      </c>
      <c r="L159" s="58">
        <f t="shared" si="78"/>
        <v>0</v>
      </c>
      <c r="M159" s="88">
        <f t="shared" si="72"/>
        <v>0.60645062673326766</v>
      </c>
      <c r="N159" s="88">
        <f t="shared" si="73"/>
        <v>0.60645062673326766</v>
      </c>
      <c r="O159" s="88" t="str">
        <f t="shared" si="74"/>
        <v/>
      </c>
      <c r="P159" s="88" t="str">
        <f t="shared" si="75"/>
        <v/>
      </c>
    </row>
    <row r="160" spans="1:18" s="38" customFormat="1" ht="54" x14ac:dyDescent="0.3">
      <c r="A160" s="19" t="s">
        <v>93</v>
      </c>
      <c r="B160" s="19" t="s">
        <v>56</v>
      </c>
      <c r="C160" s="19" t="s">
        <v>2</v>
      </c>
      <c r="D160" s="20" t="s">
        <v>248</v>
      </c>
      <c r="E160" s="59">
        <f t="shared" si="70"/>
        <v>3762800</v>
      </c>
      <c r="F160" s="60">
        <v>3762800</v>
      </c>
      <c r="G160" s="60"/>
      <c r="H160" s="60"/>
      <c r="I160" s="59">
        <f t="shared" si="77"/>
        <v>2689088.66</v>
      </c>
      <c r="J160" s="65">
        <v>2689088.66</v>
      </c>
      <c r="K160" s="65"/>
      <c r="L160" s="65"/>
      <c r="M160" s="90">
        <f t="shared" si="72"/>
        <v>0.71465096736472844</v>
      </c>
      <c r="N160" s="90">
        <f t="shared" si="73"/>
        <v>0.71465096736472844</v>
      </c>
      <c r="O160" s="90" t="str">
        <f t="shared" si="74"/>
        <v/>
      </c>
      <c r="P160" s="90" t="str">
        <f t="shared" si="75"/>
        <v/>
      </c>
    </row>
    <row r="161" spans="1:16" s="38" customFormat="1" ht="18" x14ac:dyDescent="0.3">
      <c r="A161" s="19" t="s">
        <v>101</v>
      </c>
      <c r="B161" s="19" t="s">
        <v>9</v>
      </c>
      <c r="C161" s="19" t="s">
        <v>5</v>
      </c>
      <c r="D161" s="20" t="s">
        <v>102</v>
      </c>
      <c r="E161" s="59">
        <f t="shared" si="70"/>
        <v>159000</v>
      </c>
      <c r="F161" s="60">
        <v>159000</v>
      </c>
      <c r="G161" s="60"/>
      <c r="H161" s="60"/>
      <c r="I161" s="59">
        <f t="shared" si="77"/>
        <v>57160.04</v>
      </c>
      <c r="J161" s="65">
        <v>57160.04</v>
      </c>
      <c r="K161" s="65"/>
      <c r="L161" s="65"/>
      <c r="M161" s="90">
        <f t="shared" si="72"/>
        <v>0.359497106918239</v>
      </c>
      <c r="N161" s="90">
        <f t="shared" si="73"/>
        <v>0.359497106918239</v>
      </c>
      <c r="O161" s="90" t="str">
        <f t="shared" si="74"/>
        <v/>
      </c>
      <c r="P161" s="90" t="str">
        <f t="shared" si="75"/>
        <v/>
      </c>
    </row>
    <row r="162" spans="1:16" s="38" customFormat="1" ht="36" x14ac:dyDescent="0.3">
      <c r="A162" s="19" t="s">
        <v>185</v>
      </c>
      <c r="B162" s="19" t="s">
        <v>154</v>
      </c>
      <c r="C162" s="19" t="s">
        <v>8</v>
      </c>
      <c r="D162" s="20" t="s">
        <v>269</v>
      </c>
      <c r="E162" s="59">
        <f t="shared" si="70"/>
        <v>250000</v>
      </c>
      <c r="F162" s="60">
        <v>250000</v>
      </c>
      <c r="G162" s="60"/>
      <c r="H162" s="60"/>
      <c r="I162" s="59">
        <f t="shared" si="77"/>
        <v>111091.97</v>
      </c>
      <c r="J162" s="65">
        <v>111091.97</v>
      </c>
      <c r="K162" s="65"/>
      <c r="L162" s="65"/>
      <c r="M162" s="90">
        <f t="shared" si="72"/>
        <v>0.44436787999999999</v>
      </c>
      <c r="N162" s="90">
        <f t="shared" si="73"/>
        <v>0.44436787999999999</v>
      </c>
      <c r="O162" s="90" t="str">
        <f t="shared" si="74"/>
        <v/>
      </c>
      <c r="P162" s="90" t="str">
        <f t="shared" si="75"/>
        <v/>
      </c>
    </row>
    <row r="163" spans="1:16" s="38" customFormat="1" ht="18" x14ac:dyDescent="0.3">
      <c r="A163" s="19" t="s">
        <v>294</v>
      </c>
      <c r="B163" s="19" t="s">
        <v>295</v>
      </c>
      <c r="C163" s="19" t="s">
        <v>296</v>
      </c>
      <c r="D163" s="20" t="s">
        <v>297</v>
      </c>
      <c r="E163" s="59">
        <f t="shared" si="70"/>
        <v>194000</v>
      </c>
      <c r="F163" s="60">
        <v>194000</v>
      </c>
      <c r="G163" s="60"/>
      <c r="H163" s="60"/>
      <c r="I163" s="59">
        <f t="shared" si="77"/>
        <v>137000</v>
      </c>
      <c r="J163" s="65">
        <v>137000</v>
      </c>
      <c r="K163" s="65"/>
      <c r="L163" s="65"/>
      <c r="M163" s="90">
        <f t="shared" si="72"/>
        <v>0.70618556701030932</v>
      </c>
      <c r="N163" s="90">
        <f t="shared" si="73"/>
        <v>0.70618556701030932</v>
      </c>
      <c r="O163" s="90" t="str">
        <f t="shared" si="74"/>
        <v/>
      </c>
      <c r="P163" s="90" t="str">
        <f t="shared" si="75"/>
        <v/>
      </c>
    </row>
    <row r="164" spans="1:16" s="38" customFormat="1" ht="36" x14ac:dyDescent="0.3">
      <c r="A164" s="23">
        <v>3117350</v>
      </c>
      <c r="B164" s="23">
        <v>7350</v>
      </c>
      <c r="C164" s="24" t="s">
        <v>125</v>
      </c>
      <c r="D164" s="20" t="s">
        <v>311</v>
      </c>
      <c r="E164" s="59">
        <f t="shared" si="70"/>
        <v>1500000</v>
      </c>
      <c r="F164" s="60">
        <v>1500000</v>
      </c>
      <c r="G164" s="60"/>
      <c r="H164" s="60"/>
      <c r="I164" s="59">
        <f t="shared" si="77"/>
        <v>960683</v>
      </c>
      <c r="J164" s="65">
        <v>960683</v>
      </c>
      <c r="K164" s="65"/>
      <c r="L164" s="65"/>
      <c r="M164" s="90">
        <f t="shared" si="72"/>
        <v>0.64045533333333338</v>
      </c>
      <c r="N164" s="90">
        <f t="shared" si="73"/>
        <v>0.64045533333333338</v>
      </c>
      <c r="O164" s="90" t="str">
        <f t="shared" si="74"/>
        <v/>
      </c>
      <c r="P164" s="90" t="str">
        <f t="shared" si="75"/>
        <v/>
      </c>
    </row>
    <row r="165" spans="1:16" s="38" customFormat="1" ht="36" x14ac:dyDescent="0.3">
      <c r="A165" s="19" t="s">
        <v>174</v>
      </c>
      <c r="B165" s="19" t="s">
        <v>136</v>
      </c>
      <c r="C165" s="19" t="s">
        <v>22</v>
      </c>
      <c r="D165" s="20" t="s">
        <v>270</v>
      </c>
      <c r="E165" s="59">
        <f t="shared" si="70"/>
        <v>18468300</v>
      </c>
      <c r="F165" s="60">
        <f>1682300+187000+16599000</f>
        <v>18468300</v>
      </c>
      <c r="G165" s="60"/>
      <c r="H165" s="60"/>
      <c r="I165" s="59">
        <f t="shared" si="77"/>
        <v>10827422.08</v>
      </c>
      <c r="J165" s="65">
        <f>1041298.67+77702.39+9708421.02</f>
        <v>10827422.08</v>
      </c>
      <c r="K165" s="65"/>
      <c r="L165" s="65"/>
      <c r="M165" s="90">
        <f t="shared" si="72"/>
        <v>0.5862706410443842</v>
      </c>
      <c r="N165" s="90">
        <f t="shared" si="73"/>
        <v>0.5862706410443842</v>
      </c>
      <c r="O165" s="90" t="str">
        <f t="shared" si="74"/>
        <v/>
      </c>
      <c r="P165" s="90" t="str">
        <f t="shared" si="75"/>
        <v/>
      </c>
    </row>
    <row r="166" spans="1:16" s="47" customFormat="1" ht="18" x14ac:dyDescent="0.3">
      <c r="A166" s="25" t="s">
        <v>280</v>
      </c>
      <c r="B166" s="25" t="s">
        <v>246</v>
      </c>
      <c r="C166" s="25" t="s">
        <v>160</v>
      </c>
      <c r="D166" s="26" t="s">
        <v>247</v>
      </c>
      <c r="E166" s="59">
        <f t="shared" si="70"/>
        <v>150000</v>
      </c>
      <c r="F166" s="60">
        <v>150000</v>
      </c>
      <c r="G166" s="60"/>
      <c r="H166" s="60"/>
      <c r="I166" s="59">
        <f t="shared" si="77"/>
        <v>65952.039999999994</v>
      </c>
      <c r="J166" s="67">
        <v>65952.039999999994</v>
      </c>
      <c r="K166" s="67"/>
      <c r="L166" s="67"/>
      <c r="M166" s="90">
        <f t="shared" si="72"/>
        <v>0.4396802666666666</v>
      </c>
      <c r="N166" s="90">
        <f t="shared" si="73"/>
        <v>0.4396802666666666</v>
      </c>
      <c r="O166" s="90" t="str">
        <f t="shared" si="74"/>
        <v/>
      </c>
      <c r="P166" s="90" t="str">
        <f t="shared" si="75"/>
        <v/>
      </c>
    </row>
    <row r="167" spans="1:16" s="47" customFormat="1" ht="52.2" x14ac:dyDescent="0.3">
      <c r="A167" s="17" t="s">
        <v>94</v>
      </c>
      <c r="B167" s="17" t="s">
        <v>231</v>
      </c>
      <c r="C167" s="17" t="s">
        <v>231</v>
      </c>
      <c r="D167" s="18" t="s">
        <v>274</v>
      </c>
      <c r="E167" s="57">
        <f t="shared" si="70"/>
        <v>74470681</v>
      </c>
      <c r="F167" s="58">
        <f>F168</f>
        <v>24267914</v>
      </c>
      <c r="G167" s="58">
        <f t="shared" ref="G167:H167" si="79">G168</f>
        <v>50202767</v>
      </c>
      <c r="H167" s="58">
        <f t="shared" si="79"/>
        <v>50202767</v>
      </c>
      <c r="I167" s="57">
        <f t="shared" si="77"/>
        <v>65639506.579999998</v>
      </c>
      <c r="J167" s="58">
        <f t="shared" ref="J167:L167" si="80">J168</f>
        <v>19270982.829999998</v>
      </c>
      <c r="K167" s="58">
        <f t="shared" si="80"/>
        <v>46368523.75</v>
      </c>
      <c r="L167" s="58">
        <f t="shared" si="80"/>
        <v>46368391</v>
      </c>
      <c r="M167" s="88">
        <f t="shared" si="72"/>
        <v>0.88141407730647714</v>
      </c>
      <c r="N167" s="88">
        <f t="shared" si="73"/>
        <v>0.79409309057218502</v>
      </c>
      <c r="O167" s="88">
        <f t="shared" si="74"/>
        <v>0.9236248621515224</v>
      </c>
      <c r="P167" s="88">
        <f t="shared" si="75"/>
        <v>0.9236222178749629</v>
      </c>
    </row>
    <row r="168" spans="1:16" s="47" customFormat="1" ht="52.2" x14ac:dyDescent="0.3">
      <c r="A168" s="17" t="s">
        <v>95</v>
      </c>
      <c r="B168" s="17" t="s">
        <v>231</v>
      </c>
      <c r="C168" s="17" t="s">
        <v>231</v>
      </c>
      <c r="D168" s="18" t="s">
        <v>274</v>
      </c>
      <c r="E168" s="57">
        <f t="shared" si="70"/>
        <v>74470681</v>
      </c>
      <c r="F168" s="58">
        <f>F169+F170+F171+F172+F180</f>
        <v>24267914</v>
      </c>
      <c r="G168" s="58">
        <f>G169+G170+G171+G172+G180</f>
        <v>50202767</v>
      </c>
      <c r="H168" s="58">
        <f>H169+H170+H171+H172+H180</f>
        <v>50202767</v>
      </c>
      <c r="I168" s="57">
        <f t="shared" si="77"/>
        <v>65639506.579999998</v>
      </c>
      <c r="J168" s="58">
        <f>J169+J170+J171+J172+J180</f>
        <v>19270982.829999998</v>
      </c>
      <c r="K168" s="58">
        <f>K169+K170+K171+K172+K180</f>
        <v>46368523.75</v>
      </c>
      <c r="L168" s="58">
        <f>L169+L170+L171+L172+L180</f>
        <v>46368391</v>
      </c>
      <c r="M168" s="88">
        <f t="shared" si="72"/>
        <v>0.88141407730647714</v>
      </c>
      <c r="N168" s="88">
        <f t="shared" si="73"/>
        <v>0.79409309057218502</v>
      </c>
      <c r="O168" s="88">
        <f t="shared" si="74"/>
        <v>0.9236248621515224</v>
      </c>
      <c r="P168" s="88">
        <f t="shared" si="75"/>
        <v>0.9236222178749629</v>
      </c>
    </row>
    <row r="169" spans="1:16" s="47" customFormat="1" ht="54" x14ac:dyDescent="0.3">
      <c r="A169" s="19" t="s">
        <v>96</v>
      </c>
      <c r="B169" s="19" t="s">
        <v>56</v>
      </c>
      <c r="C169" s="19" t="s">
        <v>2</v>
      </c>
      <c r="D169" s="20" t="s">
        <v>248</v>
      </c>
      <c r="E169" s="59">
        <f t="shared" si="70"/>
        <v>5938700</v>
      </c>
      <c r="F169" s="60">
        <v>5938700</v>
      </c>
      <c r="G169" s="60"/>
      <c r="H169" s="60"/>
      <c r="I169" s="59">
        <f t="shared" ref="I169:I170" si="81">J169+K169</f>
        <v>4253135.58</v>
      </c>
      <c r="J169" s="65">
        <v>4253002.83</v>
      </c>
      <c r="K169" s="65">
        <v>132.75</v>
      </c>
      <c r="L169" s="65"/>
      <c r="M169" s="90">
        <f t="shared" si="72"/>
        <v>0.7161728290703353</v>
      </c>
      <c r="N169" s="90">
        <f t="shared" si="73"/>
        <v>0.71615047569333357</v>
      </c>
      <c r="O169" s="90" t="s">
        <v>386</v>
      </c>
      <c r="P169" s="90" t="str">
        <f t="shared" si="75"/>
        <v/>
      </c>
    </row>
    <row r="170" spans="1:16" s="38" customFormat="1" ht="18" x14ac:dyDescent="0.3">
      <c r="A170" s="19" t="s">
        <v>103</v>
      </c>
      <c r="B170" s="19" t="s">
        <v>9</v>
      </c>
      <c r="C170" s="19" t="s">
        <v>5</v>
      </c>
      <c r="D170" s="20" t="s">
        <v>102</v>
      </c>
      <c r="E170" s="59">
        <f t="shared" si="70"/>
        <v>52900</v>
      </c>
      <c r="F170" s="60">
        <v>52900</v>
      </c>
      <c r="G170" s="60"/>
      <c r="H170" s="60"/>
      <c r="I170" s="59">
        <f t="shared" si="81"/>
        <v>40200</v>
      </c>
      <c r="J170" s="65">
        <v>40200</v>
      </c>
      <c r="K170" s="65"/>
      <c r="L170" s="65"/>
      <c r="M170" s="90">
        <f t="shared" si="72"/>
        <v>0.75992438563327036</v>
      </c>
      <c r="N170" s="90">
        <f t="shared" si="73"/>
        <v>0.75992438563327036</v>
      </c>
      <c r="O170" s="90" t="str">
        <f t="shared" si="74"/>
        <v/>
      </c>
      <c r="P170" s="90" t="str">
        <f t="shared" si="75"/>
        <v/>
      </c>
    </row>
    <row r="171" spans="1:16" s="38" customFormat="1" ht="18" x14ac:dyDescent="0.3">
      <c r="A171" s="19" t="s">
        <v>210</v>
      </c>
      <c r="B171" s="19" t="s">
        <v>211</v>
      </c>
      <c r="C171" s="19" t="s">
        <v>5</v>
      </c>
      <c r="D171" s="20" t="s">
        <v>275</v>
      </c>
      <c r="E171" s="59">
        <f t="shared" si="70"/>
        <v>2193800</v>
      </c>
      <c r="F171" s="60">
        <v>2193800</v>
      </c>
      <c r="G171" s="60"/>
      <c r="H171" s="60"/>
      <c r="I171" s="59">
        <f t="shared" si="77"/>
        <v>0</v>
      </c>
      <c r="J171" s="65">
        <v>0</v>
      </c>
      <c r="K171" s="65"/>
      <c r="L171" s="65"/>
      <c r="M171" s="90">
        <f t="shared" si="72"/>
        <v>0</v>
      </c>
      <c r="N171" s="90">
        <f t="shared" si="73"/>
        <v>0</v>
      </c>
      <c r="O171" s="90" t="str">
        <f t="shared" si="74"/>
        <v/>
      </c>
      <c r="P171" s="90" t="str">
        <f t="shared" si="75"/>
        <v/>
      </c>
    </row>
    <row r="172" spans="1:16" s="47" customFormat="1" ht="18" x14ac:dyDescent="0.3">
      <c r="A172" s="23">
        <v>3719770</v>
      </c>
      <c r="B172" s="29">
        <v>9770</v>
      </c>
      <c r="C172" s="25" t="s">
        <v>9</v>
      </c>
      <c r="D172" s="48" t="s">
        <v>158</v>
      </c>
      <c r="E172" s="59">
        <f t="shared" si="70"/>
        <v>7707500</v>
      </c>
      <c r="F172" s="60">
        <f>SUM(F174:F179)</f>
        <v>4407500</v>
      </c>
      <c r="G172" s="60">
        <v>3300000</v>
      </c>
      <c r="H172" s="60">
        <f>G172</f>
        <v>3300000</v>
      </c>
      <c r="I172" s="59">
        <f t="shared" si="77"/>
        <v>5648100</v>
      </c>
      <c r="J172" s="60">
        <f>SUM(J174:J179)</f>
        <v>3848100</v>
      </c>
      <c r="K172" s="60">
        <f>SUM(K174:K179)</f>
        <v>1800000</v>
      </c>
      <c r="L172" s="60">
        <f>SUM(L174:L179)</f>
        <v>1800000</v>
      </c>
      <c r="M172" s="90">
        <f t="shared" si="72"/>
        <v>0.73280570872526762</v>
      </c>
      <c r="N172" s="90">
        <f t="shared" si="73"/>
        <v>0.87307997731140097</v>
      </c>
      <c r="O172" s="90">
        <f t="shared" si="74"/>
        <v>0.54545454545454541</v>
      </c>
      <c r="P172" s="90">
        <f t="shared" si="75"/>
        <v>0.54545454545454541</v>
      </c>
    </row>
    <row r="173" spans="1:16" s="47" customFormat="1" ht="18" x14ac:dyDescent="0.3">
      <c r="A173" s="19"/>
      <c r="B173" s="29"/>
      <c r="C173" s="25"/>
      <c r="D173" s="20" t="s">
        <v>326</v>
      </c>
      <c r="E173" s="59">
        <f t="shared" si="70"/>
        <v>0</v>
      </c>
      <c r="F173" s="60"/>
      <c r="G173" s="60"/>
      <c r="H173" s="60"/>
      <c r="I173" s="62"/>
      <c r="J173" s="67"/>
      <c r="K173" s="67"/>
      <c r="L173" s="67"/>
      <c r="M173" s="90" t="str">
        <f t="shared" si="72"/>
        <v/>
      </c>
      <c r="N173" s="90" t="str">
        <f t="shared" si="73"/>
        <v/>
      </c>
      <c r="O173" s="90" t="str">
        <f t="shared" si="74"/>
        <v/>
      </c>
      <c r="P173" s="90" t="str">
        <f t="shared" si="75"/>
        <v/>
      </c>
    </row>
    <row r="174" spans="1:16" s="50" customFormat="1" ht="126" x14ac:dyDescent="0.3">
      <c r="A174" s="21"/>
      <c r="B174" s="21"/>
      <c r="C174" s="30"/>
      <c r="D174" s="22" t="s">
        <v>327</v>
      </c>
      <c r="E174" s="69">
        <f t="shared" si="70"/>
        <v>1570500</v>
      </c>
      <c r="F174" s="81">
        <f>1261500+309000</f>
        <v>1570500</v>
      </c>
      <c r="G174" s="81"/>
      <c r="H174" s="70"/>
      <c r="I174" s="69">
        <f t="shared" si="77"/>
        <v>1570500</v>
      </c>
      <c r="J174" s="70">
        <v>1570500</v>
      </c>
      <c r="K174" s="70"/>
      <c r="L174" s="70"/>
      <c r="M174" s="93">
        <f t="shared" si="72"/>
        <v>1</v>
      </c>
      <c r="N174" s="93">
        <f t="shared" si="73"/>
        <v>1</v>
      </c>
      <c r="O174" s="93" t="str">
        <f t="shared" si="74"/>
        <v/>
      </c>
      <c r="P174" s="93" t="str">
        <f t="shared" si="75"/>
        <v/>
      </c>
    </row>
    <row r="175" spans="1:16" s="50" customFormat="1" ht="54" x14ac:dyDescent="0.3">
      <c r="A175" s="21"/>
      <c r="B175" s="21"/>
      <c r="C175" s="30"/>
      <c r="D175" s="22" t="s">
        <v>328</v>
      </c>
      <c r="E175" s="69">
        <f t="shared" si="70"/>
        <v>300000</v>
      </c>
      <c r="F175" s="81">
        <v>300000</v>
      </c>
      <c r="G175" s="81"/>
      <c r="H175" s="70"/>
      <c r="I175" s="69">
        <f t="shared" si="77"/>
        <v>300000</v>
      </c>
      <c r="J175" s="70">
        <v>300000</v>
      </c>
      <c r="K175" s="70"/>
      <c r="L175" s="70"/>
      <c r="M175" s="93">
        <f t="shared" si="72"/>
        <v>1</v>
      </c>
      <c r="N175" s="93">
        <f t="shared" si="73"/>
        <v>1</v>
      </c>
      <c r="O175" s="93" t="str">
        <f t="shared" si="74"/>
        <v/>
      </c>
      <c r="P175" s="93" t="str">
        <f t="shared" si="75"/>
        <v/>
      </c>
    </row>
    <row r="176" spans="1:16" s="50" customFormat="1" ht="72" x14ac:dyDescent="0.3">
      <c r="A176" s="21"/>
      <c r="B176" s="21"/>
      <c r="C176" s="30"/>
      <c r="D176" s="22" t="s">
        <v>329</v>
      </c>
      <c r="E176" s="69">
        <f t="shared" si="70"/>
        <v>2237000</v>
      </c>
      <c r="F176" s="81">
        <v>2237000</v>
      </c>
      <c r="G176" s="81"/>
      <c r="H176" s="70"/>
      <c r="I176" s="69">
        <f t="shared" si="77"/>
        <v>1677600</v>
      </c>
      <c r="J176" s="70">
        <v>1677600</v>
      </c>
      <c r="K176" s="70"/>
      <c r="L176" s="70"/>
      <c r="M176" s="93">
        <f t="shared" si="72"/>
        <v>0.7499329459097005</v>
      </c>
      <c r="N176" s="93">
        <f t="shared" si="73"/>
        <v>0.7499329459097005</v>
      </c>
      <c r="O176" s="93" t="str">
        <f t="shared" si="74"/>
        <v/>
      </c>
      <c r="P176" s="93" t="str">
        <f t="shared" si="75"/>
        <v/>
      </c>
    </row>
    <row r="177" spans="1:16" s="50" customFormat="1" ht="72" x14ac:dyDescent="0.3">
      <c r="A177" s="21"/>
      <c r="B177" s="21"/>
      <c r="C177" s="30"/>
      <c r="D177" s="22" t="s">
        <v>360</v>
      </c>
      <c r="E177" s="69">
        <f t="shared" si="70"/>
        <v>300000</v>
      </c>
      <c r="F177" s="81">
        <v>300000</v>
      </c>
      <c r="G177" s="81"/>
      <c r="H177" s="70"/>
      <c r="I177" s="69">
        <f t="shared" si="77"/>
        <v>300000</v>
      </c>
      <c r="J177" s="70">
        <v>300000</v>
      </c>
      <c r="K177" s="70"/>
      <c r="L177" s="70"/>
      <c r="M177" s="93">
        <f t="shared" si="72"/>
        <v>1</v>
      </c>
      <c r="N177" s="93">
        <f t="shared" si="73"/>
        <v>1</v>
      </c>
      <c r="O177" s="93" t="str">
        <f t="shared" si="74"/>
        <v/>
      </c>
      <c r="P177" s="93" t="str">
        <f t="shared" si="75"/>
        <v/>
      </c>
    </row>
    <row r="178" spans="1:16" s="50" customFormat="1" ht="90" x14ac:dyDescent="0.3">
      <c r="A178" s="21"/>
      <c r="B178" s="21"/>
      <c r="C178" s="30"/>
      <c r="D178" s="22" t="s">
        <v>322</v>
      </c>
      <c r="E178" s="69">
        <f t="shared" si="70"/>
        <v>1800000</v>
      </c>
      <c r="F178" s="81"/>
      <c r="G178" s="81">
        <v>1800000</v>
      </c>
      <c r="H178" s="70">
        <v>1800000</v>
      </c>
      <c r="I178" s="69">
        <f t="shared" si="77"/>
        <v>1800000</v>
      </c>
      <c r="J178" s="70"/>
      <c r="K178" s="70">
        <v>1800000</v>
      </c>
      <c r="L178" s="70">
        <v>1800000</v>
      </c>
      <c r="M178" s="93">
        <f t="shared" si="72"/>
        <v>1</v>
      </c>
      <c r="N178" s="93" t="str">
        <f t="shared" si="73"/>
        <v/>
      </c>
      <c r="O178" s="93">
        <f t="shared" si="74"/>
        <v>1</v>
      </c>
      <c r="P178" s="93">
        <f t="shared" si="75"/>
        <v>1</v>
      </c>
    </row>
    <row r="179" spans="1:16" s="50" customFormat="1" ht="162" x14ac:dyDescent="0.3">
      <c r="A179" s="21"/>
      <c r="B179" s="21"/>
      <c r="C179" s="30"/>
      <c r="D179" s="22" t="s">
        <v>377</v>
      </c>
      <c r="E179" s="69">
        <f t="shared" si="70"/>
        <v>1500000</v>
      </c>
      <c r="F179" s="81"/>
      <c r="G179" s="81">
        <v>1500000</v>
      </c>
      <c r="H179" s="70">
        <v>1500000</v>
      </c>
      <c r="I179" s="69">
        <f t="shared" si="77"/>
        <v>0</v>
      </c>
      <c r="J179" s="70"/>
      <c r="K179" s="70"/>
      <c r="L179" s="70"/>
      <c r="M179" s="93"/>
      <c r="N179" s="93"/>
      <c r="O179" s="93"/>
      <c r="P179" s="93"/>
    </row>
    <row r="180" spans="1:16" s="51" customFormat="1" ht="54" x14ac:dyDescent="0.3">
      <c r="A180" s="23">
        <v>3719800</v>
      </c>
      <c r="B180" s="23">
        <v>9800</v>
      </c>
      <c r="C180" s="25" t="s">
        <v>9</v>
      </c>
      <c r="D180" s="20" t="s">
        <v>230</v>
      </c>
      <c r="E180" s="71">
        <f t="shared" si="70"/>
        <v>58577781</v>
      </c>
      <c r="F180" s="72">
        <f>SUM(F182:F186)</f>
        <v>11675014</v>
      </c>
      <c r="G180" s="72">
        <f t="shared" ref="G180:H180" si="82">SUM(G182:G186)</f>
        <v>46902767</v>
      </c>
      <c r="H180" s="72">
        <f t="shared" si="82"/>
        <v>46902767</v>
      </c>
      <c r="I180" s="72">
        <f>SUM(I182:I186)</f>
        <v>55698071</v>
      </c>
      <c r="J180" s="72">
        <f t="shared" ref="J180:L180" si="83">SUM(J182:J186)</f>
        <v>11129680</v>
      </c>
      <c r="K180" s="72">
        <f t="shared" si="83"/>
        <v>44568391</v>
      </c>
      <c r="L180" s="72">
        <f t="shared" si="83"/>
        <v>44568391</v>
      </c>
      <c r="M180" s="90">
        <f t="shared" si="72"/>
        <v>0.95083955126261954</v>
      </c>
      <c r="N180" s="90">
        <f t="shared" si="73"/>
        <v>0.95329050569018592</v>
      </c>
      <c r="O180" s="90">
        <f t="shared" si="74"/>
        <v>0.95022946087594362</v>
      </c>
      <c r="P180" s="90">
        <f t="shared" si="75"/>
        <v>0.95022946087594362</v>
      </c>
    </row>
    <row r="181" spans="1:16" s="50" customFormat="1" ht="18" x14ac:dyDescent="0.3">
      <c r="A181" s="31"/>
      <c r="B181" s="31"/>
      <c r="C181" s="30"/>
      <c r="D181" s="20" t="s">
        <v>157</v>
      </c>
      <c r="E181" s="69"/>
      <c r="F181" s="70"/>
      <c r="G181" s="70"/>
      <c r="H181" s="70"/>
      <c r="I181" s="69"/>
      <c r="J181" s="70"/>
      <c r="K181" s="70"/>
      <c r="L181" s="70"/>
      <c r="M181" s="93" t="str">
        <f t="shared" si="72"/>
        <v/>
      </c>
      <c r="N181" s="93" t="str">
        <f t="shared" si="73"/>
        <v/>
      </c>
      <c r="O181" s="93" t="str">
        <f t="shared" si="74"/>
        <v/>
      </c>
      <c r="P181" s="93" t="str">
        <f t="shared" si="75"/>
        <v/>
      </c>
    </row>
    <row r="182" spans="1:16" s="50" customFormat="1" ht="162" x14ac:dyDescent="0.3">
      <c r="A182" s="31"/>
      <c r="B182" s="31"/>
      <c r="C182" s="30"/>
      <c r="D182" s="22" t="s">
        <v>361</v>
      </c>
      <c r="E182" s="69">
        <f t="shared" si="70"/>
        <v>36901381</v>
      </c>
      <c r="F182" s="81">
        <v>8698614</v>
      </c>
      <c r="G182" s="81">
        <v>28202767</v>
      </c>
      <c r="H182" s="76">
        <v>28202767</v>
      </c>
      <c r="I182" s="69">
        <f t="shared" si="77"/>
        <v>34094047</v>
      </c>
      <c r="J182" s="70">
        <v>8153280</v>
      </c>
      <c r="K182" s="70">
        <v>25940767</v>
      </c>
      <c r="L182" s="70">
        <v>25940767</v>
      </c>
      <c r="M182" s="93">
        <f t="shared" si="72"/>
        <v>0.92392333501014501</v>
      </c>
      <c r="N182" s="93">
        <f t="shared" si="73"/>
        <v>0.93730794354135039</v>
      </c>
      <c r="O182" s="93">
        <f t="shared" si="74"/>
        <v>0.91979510379247542</v>
      </c>
      <c r="P182" s="93">
        <f t="shared" si="75"/>
        <v>0.91979510379247542</v>
      </c>
    </row>
    <row r="183" spans="1:16" s="50" customFormat="1" ht="90" x14ac:dyDescent="0.3">
      <c r="A183" s="31"/>
      <c r="B183" s="31"/>
      <c r="C183" s="30"/>
      <c r="D183" s="22" t="s">
        <v>322</v>
      </c>
      <c r="E183" s="69">
        <f t="shared" si="70"/>
        <v>16200000</v>
      </c>
      <c r="F183" s="81"/>
      <c r="G183" s="81">
        <v>16200000</v>
      </c>
      <c r="H183" s="76">
        <v>16200000</v>
      </c>
      <c r="I183" s="69">
        <f t="shared" si="77"/>
        <v>16200000</v>
      </c>
      <c r="J183" s="70"/>
      <c r="K183" s="76">
        <v>16200000</v>
      </c>
      <c r="L183" s="76">
        <v>16200000</v>
      </c>
      <c r="M183" s="93">
        <f t="shared" si="72"/>
        <v>1</v>
      </c>
      <c r="N183" s="93" t="str">
        <f t="shared" si="73"/>
        <v/>
      </c>
      <c r="O183" s="93">
        <f t="shared" si="74"/>
        <v>1</v>
      </c>
      <c r="P183" s="93">
        <f t="shared" si="75"/>
        <v>1</v>
      </c>
    </row>
    <row r="184" spans="1:16" s="50" customFormat="1" ht="54" x14ac:dyDescent="0.3">
      <c r="A184" s="31"/>
      <c r="B184" s="31"/>
      <c r="C184" s="30"/>
      <c r="D184" s="22" t="s">
        <v>330</v>
      </c>
      <c r="E184" s="69">
        <f t="shared" si="70"/>
        <v>2526400</v>
      </c>
      <c r="F184" s="81">
        <f>950000+26400</f>
        <v>976400</v>
      </c>
      <c r="G184" s="81">
        <v>1550000</v>
      </c>
      <c r="H184" s="76">
        <v>1550000</v>
      </c>
      <c r="I184" s="69">
        <f t="shared" si="77"/>
        <v>2454024</v>
      </c>
      <c r="J184" s="76">
        <v>976400</v>
      </c>
      <c r="K184" s="76">
        <v>1477624</v>
      </c>
      <c r="L184" s="70">
        <v>1477624</v>
      </c>
      <c r="M184" s="93">
        <f t="shared" si="72"/>
        <v>0.97135212159594675</v>
      </c>
      <c r="N184" s="93">
        <f t="shared" si="73"/>
        <v>1</v>
      </c>
      <c r="O184" s="93">
        <f t="shared" si="74"/>
        <v>0.95330580645161289</v>
      </c>
      <c r="P184" s="93">
        <f t="shared" si="75"/>
        <v>0.95330580645161289</v>
      </c>
    </row>
    <row r="185" spans="1:16" s="50" customFormat="1" ht="72" x14ac:dyDescent="0.3">
      <c r="A185" s="31"/>
      <c r="B185" s="31"/>
      <c r="C185" s="30"/>
      <c r="D185" s="22" t="s">
        <v>331</v>
      </c>
      <c r="E185" s="69">
        <f t="shared" si="70"/>
        <v>2000000</v>
      </c>
      <c r="F185" s="81">
        <v>2000000</v>
      </c>
      <c r="G185" s="81"/>
      <c r="H185" s="76"/>
      <c r="I185" s="69">
        <f t="shared" si="77"/>
        <v>2000000</v>
      </c>
      <c r="J185" s="76">
        <v>2000000</v>
      </c>
      <c r="K185" s="104"/>
      <c r="L185" s="70"/>
      <c r="M185" s="93">
        <f t="shared" si="72"/>
        <v>1</v>
      </c>
      <c r="N185" s="93">
        <f t="shared" si="73"/>
        <v>1</v>
      </c>
      <c r="O185" s="93" t="str">
        <f t="shared" si="74"/>
        <v/>
      </c>
      <c r="P185" s="93" t="str">
        <f t="shared" si="75"/>
        <v/>
      </c>
    </row>
    <row r="186" spans="1:16" s="50" customFormat="1" ht="54" x14ac:dyDescent="0.3">
      <c r="A186" s="31"/>
      <c r="B186" s="31"/>
      <c r="C186" s="30"/>
      <c r="D186" s="22" t="s">
        <v>362</v>
      </c>
      <c r="E186" s="69">
        <f t="shared" si="70"/>
        <v>950000</v>
      </c>
      <c r="F186" s="81"/>
      <c r="G186" s="81">
        <v>950000</v>
      </c>
      <c r="H186" s="76">
        <v>950000</v>
      </c>
      <c r="I186" s="69">
        <f t="shared" si="77"/>
        <v>950000</v>
      </c>
      <c r="J186" s="76"/>
      <c r="K186" s="104">
        <v>950000</v>
      </c>
      <c r="L186" s="70">
        <v>950000</v>
      </c>
      <c r="M186" s="93">
        <f t="shared" si="72"/>
        <v>1</v>
      </c>
      <c r="N186" s="93" t="str">
        <f t="shared" si="73"/>
        <v/>
      </c>
      <c r="O186" s="93">
        <f t="shared" si="74"/>
        <v>1</v>
      </c>
      <c r="P186" s="93">
        <f t="shared" si="75"/>
        <v>1</v>
      </c>
    </row>
    <row r="187" spans="1:16" s="51" customFormat="1" ht="18" x14ac:dyDescent="0.3">
      <c r="A187" s="32" t="s">
        <v>276</v>
      </c>
      <c r="B187" s="17" t="s">
        <v>276</v>
      </c>
      <c r="C187" s="17" t="s">
        <v>276</v>
      </c>
      <c r="D187" s="17" t="s">
        <v>277</v>
      </c>
      <c r="E187" s="73">
        <f>F187+G187</f>
        <v>1325348438.3099999</v>
      </c>
      <c r="F187" s="73">
        <f t="shared" ref="F187:L187" si="84">F16+F46+F78+F102+F113+F122+F144+F158+F167+F97</f>
        <v>967366691.63</v>
      </c>
      <c r="G187" s="73">
        <f t="shared" si="84"/>
        <v>357981746.68000001</v>
      </c>
      <c r="H187" s="73">
        <f t="shared" si="84"/>
        <v>337097226.36000001</v>
      </c>
      <c r="I187" s="73">
        <f>J187+K187</f>
        <v>748877192.88000011</v>
      </c>
      <c r="J187" s="73">
        <f>J16+J46+J78+J102+J113+J122+J144+J158+J167+J97</f>
        <v>642472467.84000015</v>
      </c>
      <c r="K187" s="73">
        <f t="shared" si="84"/>
        <v>106404725.03999999</v>
      </c>
      <c r="L187" s="73">
        <f t="shared" si="84"/>
        <v>87289608.409999996</v>
      </c>
      <c r="M187" s="88">
        <f t="shared" si="72"/>
        <v>0.56504174391673234</v>
      </c>
      <c r="N187" s="88">
        <f t="shared" si="73"/>
        <v>0.66414574059547427</v>
      </c>
      <c r="O187" s="88">
        <f t="shared" si="74"/>
        <v>0.29723505744865591</v>
      </c>
      <c r="P187" s="88">
        <f t="shared" si="75"/>
        <v>0.25894490249166224</v>
      </c>
    </row>
    <row r="188" spans="1:16" s="51" customFormat="1" ht="19.5" customHeight="1" x14ac:dyDescent="0.3">
      <c r="A188" s="52"/>
      <c r="B188" s="52"/>
      <c r="C188" s="53" t="s">
        <v>216</v>
      </c>
      <c r="D188" s="54" t="s">
        <v>217</v>
      </c>
      <c r="E188" s="89">
        <f>F188+G188</f>
        <v>123592076</v>
      </c>
      <c r="F188" s="72">
        <f>F18+F23+F24+F48+F49+F80+F81+F104+F105+F124+F146+F147+F160+F161+F169+F170+F115+F116+F125+F126+F99+F100</f>
        <v>123417476</v>
      </c>
      <c r="G188" s="72">
        <f>G18+G23+G24+G48+G49+G80+G81+G104+G105+G124+G146+G147+G160+G161+G169+G170+G115+G116+G125+G126+G99</f>
        <v>174600</v>
      </c>
      <c r="H188" s="72">
        <f>H18+H23+H24+H48+H49+H80+H81+H104+H105+H124+H146+H147+H160+H161+H169+H170+H115+H116+H125+H126+H99</f>
        <v>36000</v>
      </c>
      <c r="I188" s="73">
        <f t="shared" ref="I188:I197" si="85">J188+K188</f>
        <v>89324975.469999969</v>
      </c>
      <c r="J188" s="72">
        <f>J18+J23+J24+J48+J49+J80+J81+J104+J105+J124+J146+J147+J160+J161+J169+J170+J115+J116+J125+J126+J99+J100</f>
        <v>85923281.119999975</v>
      </c>
      <c r="K188" s="72">
        <f>K18+K23+K24+K48+K49+K80+K81+K104+K105+K124+K146+K147+K160+K161+K169+K170+K115+K116+K125+K126+K99</f>
        <v>3401694.35</v>
      </c>
      <c r="L188" s="72"/>
      <c r="M188" s="90">
        <f t="shared" si="72"/>
        <v>0.72274031119923876</v>
      </c>
      <c r="N188" s="90">
        <f t="shared" si="73"/>
        <v>0.6962002781518557</v>
      </c>
      <c r="O188" s="90" t="s">
        <v>388</v>
      </c>
      <c r="P188" s="90">
        <f t="shared" si="75"/>
        <v>0</v>
      </c>
    </row>
    <row r="189" spans="1:16" s="51" customFormat="1" ht="18" x14ac:dyDescent="0.3">
      <c r="A189" s="52"/>
      <c r="B189" s="52"/>
      <c r="C189" s="53" t="s">
        <v>218</v>
      </c>
      <c r="D189" s="54" t="s">
        <v>219</v>
      </c>
      <c r="E189" s="89">
        <f t="shared" ref="E189:E197" si="86">F189+G189</f>
        <v>459838612.99000001</v>
      </c>
      <c r="F189" s="72">
        <f>F50+F51+F52+F53+F54+F55+F56+F57+F58+F59+F61+F106+F60+F67+F71+F63</f>
        <v>429878721.99000001</v>
      </c>
      <c r="G189" s="72">
        <f>G50+G51+G52+G53+G54+G55+G56+G57+G58+G59+G61+G106+G72+G71+G62</f>
        <v>29959891</v>
      </c>
      <c r="H189" s="72">
        <f>H50+H51+H52+H53+H54+H55+H56+H57+H58+H59+H61+H106+H72+H71+H62</f>
        <v>10901975</v>
      </c>
      <c r="I189" s="73">
        <f t="shared" si="85"/>
        <v>300552925.25</v>
      </c>
      <c r="J189" s="94">
        <f>J50+J51+J52+J53+J54+J55+J56+J57+J58+J59+J61+J106+J60+J67+J71+J63</f>
        <v>284772912.44999999</v>
      </c>
      <c r="K189" s="72">
        <f>K50+K51+K52+K53+K54+K55+K56+K57+K58+K59+K61+K106</f>
        <v>15780012.800000001</v>
      </c>
      <c r="L189" s="72">
        <f>L50+L51+L52+L53+L54+L55+L56+L57+L58+L59+L61+L106</f>
        <v>2087282.6099999999</v>
      </c>
      <c r="M189" s="90">
        <f t="shared" si="72"/>
        <v>0.65360523618432198</v>
      </c>
      <c r="N189" s="90">
        <f t="shared" si="73"/>
        <v>0.6624494255768828</v>
      </c>
      <c r="O189" s="90">
        <f t="shared" si="74"/>
        <v>0.52670461317766482</v>
      </c>
      <c r="P189" s="90">
        <f t="shared" si="75"/>
        <v>0.19145912644268584</v>
      </c>
    </row>
    <row r="190" spans="1:16" s="51" customFormat="1" ht="18" x14ac:dyDescent="0.3">
      <c r="A190" s="52"/>
      <c r="B190" s="52"/>
      <c r="C190" s="53" t="s">
        <v>220</v>
      </c>
      <c r="D190" s="54" t="s">
        <v>221</v>
      </c>
      <c r="E190" s="89">
        <f t="shared" si="86"/>
        <v>49855536</v>
      </c>
      <c r="F190" s="72">
        <f t="shared" ref="F190:L190" si="87">F25+F26+F27+F28+F148</f>
        <v>45070219</v>
      </c>
      <c r="G190" s="72">
        <f t="shared" si="87"/>
        <v>4785317</v>
      </c>
      <c r="H190" s="72">
        <f t="shared" si="87"/>
        <v>4785317</v>
      </c>
      <c r="I190" s="73">
        <f t="shared" si="85"/>
        <v>31085071.949999999</v>
      </c>
      <c r="J190" s="72">
        <f t="shared" ref="J190" si="88">J25+J26+J27+J28+J148</f>
        <v>27340754.710000001</v>
      </c>
      <c r="K190" s="72">
        <f t="shared" si="87"/>
        <v>3744317.2399999998</v>
      </c>
      <c r="L190" s="72">
        <f t="shared" si="87"/>
        <v>3744317.2399999998</v>
      </c>
      <c r="M190" s="90">
        <f t="shared" si="72"/>
        <v>0.6235029134979112</v>
      </c>
      <c r="N190" s="90">
        <f t="shared" si="73"/>
        <v>0.6066257346120284</v>
      </c>
      <c r="O190" s="90">
        <f t="shared" si="74"/>
        <v>0.78245960298972872</v>
      </c>
      <c r="P190" s="90">
        <f t="shared" si="75"/>
        <v>0.78245960298972872</v>
      </c>
    </row>
    <row r="191" spans="1:16" s="51" customFormat="1" ht="18" x14ac:dyDescent="0.3">
      <c r="A191" s="52"/>
      <c r="B191" s="52"/>
      <c r="C191" s="53" t="s">
        <v>222</v>
      </c>
      <c r="D191" s="54" t="s">
        <v>223</v>
      </c>
      <c r="E191" s="89">
        <f t="shared" si="86"/>
        <v>105414512</v>
      </c>
      <c r="F191" s="72">
        <f t="shared" ref="F191" si="89">F29+F74+F82+F83+F84+F85+F86+F87+F88+F89+F90+F91+F92+F95+F96+F117+F127+F73+F107+F101</f>
        <v>98754265</v>
      </c>
      <c r="G191" s="72">
        <f>G29+G74+G82+G83+G84+G85+G86+G87+G88+G89+G90+G91+G92+G95+G96+G117+G127+G73+G107+G101+G93+G94</f>
        <v>6660247</v>
      </c>
      <c r="H191" s="72">
        <f>H93+H94</f>
        <v>6603847</v>
      </c>
      <c r="I191" s="73">
        <f t="shared" si="85"/>
        <v>66379608.359999992</v>
      </c>
      <c r="J191" s="72">
        <f t="shared" ref="J191" si="90">J29+J74+J82+J83+J84+J85+J86+J87+J88+J89+J90+J91+J92+J95+J96+J117+J127+J73+J107+J101</f>
        <v>59069883.159999989</v>
      </c>
      <c r="K191" s="72">
        <f>K29+K74+K82+K83+K84+K85+K86+K87+K88+K89+K90+K91+K92+K95+K96+K117+K127+K73+K107+K101+K93+K94</f>
        <v>7309725.2000000002</v>
      </c>
      <c r="L191" s="72">
        <f>L93+L94</f>
        <v>6600229.0200000005</v>
      </c>
      <c r="M191" s="90">
        <f t="shared" si="72"/>
        <v>0.62970085522949626</v>
      </c>
      <c r="N191" s="90">
        <f t="shared" si="73"/>
        <v>0.59815019796866487</v>
      </c>
      <c r="O191" s="90">
        <f t="shared" si="74"/>
        <v>1.0975156326784878</v>
      </c>
      <c r="P191" s="90">
        <f t="shared" si="75"/>
        <v>0.99945214054777476</v>
      </c>
    </row>
    <row r="192" spans="1:16" s="51" customFormat="1" ht="18" x14ac:dyDescent="0.3">
      <c r="A192" s="52"/>
      <c r="B192" s="52"/>
      <c r="C192" s="53" t="s">
        <v>224</v>
      </c>
      <c r="D192" s="54" t="s">
        <v>225</v>
      </c>
      <c r="E192" s="89">
        <f t="shared" si="86"/>
        <v>29925900</v>
      </c>
      <c r="F192" s="72">
        <f t="shared" ref="F192:L192" si="91">F108+F109+F110+F111+F112</f>
        <v>29645900</v>
      </c>
      <c r="G192" s="72">
        <f t="shared" si="91"/>
        <v>280000</v>
      </c>
      <c r="H192" s="72">
        <f t="shared" si="91"/>
        <v>0</v>
      </c>
      <c r="I192" s="73">
        <f t="shared" si="85"/>
        <v>19143043.440000001</v>
      </c>
      <c r="J192" s="72">
        <f t="shared" ref="J192" si="92">J108+J109+J110+J111+J112</f>
        <v>19002084.16</v>
      </c>
      <c r="K192" s="72">
        <f t="shared" si="91"/>
        <v>140959.28</v>
      </c>
      <c r="L192" s="72">
        <f t="shared" si="91"/>
        <v>0</v>
      </c>
      <c r="M192" s="90">
        <f t="shared" si="72"/>
        <v>0.63968146120918679</v>
      </c>
      <c r="N192" s="90">
        <f t="shared" si="73"/>
        <v>0.64096836864456808</v>
      </c>
      <c r="O192" s="90">
        <f t="shared" si="74"/>
        <v>0.50342600000000004</v>
      </c>
      <c r="P192" s="90" t="str">
        <f t="shared" si="75"/>
        <v/>
      </c>
    </row>
    <row r="193" spans="1:16" s="51" customFormat="1" ht="18" x14ac:dyDescent="0.3">
      <c r="A193" s="52"/>
      <c r="B193" s="52"/>
      <c r="C193" s="53" t="s">
        <v>226</v>
      </c>
      <c r="D193" s="54" t="s">
        <v>227</v>
      </c>
      <c r="E193" s="89">
        <f t="shared" si="86"/>
        <v>15094391</v>
      </c>
      <c r="F193" s="72">
        <f>F75+F118+F119+F121+F120</f>
        <v>15094391</v>
      </c>
      <c r="G193" s="72"/>
      <c r="H193" s="72"/>
      <c r="I193" s="73">
        <f t="shared" si="85"/>
        <v>9812231.6199999992</v>
      </c>
      <c r="J193" s="72">
        <f>J75+J118+J119+J121+J120</f>
        <v>9792191.6199999992</v>
      </c>
      <c r="K193" s="72">
        <f>K75</f>
        <v>20040</v>
      </c>
      <c r="L193" s="72"/>
      <c r="M193" s="90">
        <f t="shared" si="72"/>
        <v>0.65005813218963249</v>
      </c>
      <c r="N193" s="90">
        <f t="shared" si="73"/>
        <v>0.64873048670860578</v>
      </c>
      <c r="O193" s="90" t="s">
        <v>386</v>
      </c>
      <c r="P193" s="90" t="str">
        <f t="shared" si="75"/>
        <v/>
      </c>
    </row>
    <row r="194" spans="1:16" s="51" customFormat="1" ht="18" x14ac:dyDescent="0.3">
      <c r="A194" s="52"/>
      <c r="B194" s="52"/>
      <c r="C194" s="53" t="s">
        <v>228</v>
      </c>
      <c r="D194" s="54" t="s">
        <v>229</v>
      </c>
      <c r="E194" s="89">
        <f t="shared" si="86"/>
        <v>122797158</v>
      </c>
      <c r="F194" s="72">
        <f>F30+F128+F130+F131+F132+F149+F150+F151+F162+F129</f>
        <v>88308009</v>
      </c>
      <c r="G194" s="72">
        <f>G30+G128+G130+G131+G132+G149+G150+G151+G162+G129</f>
        <v>34489149</v>
      </c>
      <c r="H194" s="72">
        <f>H30+H128+H130+H131+H132+H149+H150+H151+H162+H129</f>
        <v>34489149</v>
      </c>
      <c r="I194" s="73">
        <f t="shared" si="85"/>
        <v>70636923.430000007</v>
      </c>
      <c r="J194" s="72">
        <f>J30+J128+J130+J131+J132+J149+J150+J151+J162+J129</f>
        <v>59263941.990000002</v>
      </c>
      <c r="K194" s="72">
        <f>K30+K128+K130+K131+K132+K149+K150+K151+K162+K129</f>
        <v>11372981.439999999</v>
      </c>
      <c r="L194" s="72">
        <f>L30+L128+L130+L131+L132+L149+L150+L151+L162+L129</f>
        <v>10785273.439999999</v>
      </c>
      <c r="M194" s="90">
        <f t="shared" si="72"/>
        <v>0.57523255896524905</v>
      </c>
      <c r="N194" s="90">
        <f t="shared" si="73"/>
        <v>0.67110495028825756</v>
      </c>
      <c r="O194" s="90">
        <f t="shared" si="74"/>
        <v>0.32975535116856608</v>
      </c>
      <c r="P194" s="90">
        <f t="shared" si="75"/>
        <v>0.31271497710772739</v>
      </c>
    </row>
    <row r="195" spans="1:16" s="51" customFormat="1" ht="18" x14ac:dyDescent="0.3">
      <c r="A195" s="52"/>
      <c r="B195" s="52"/>
      <c r="C195" s="53" t="s">
        <v>298</v>
      </c>
      <c r="D195" s="54" t="s">
        <v>299</v>
      </c>
      <c r="E195" s="89">
        <f t="shared" si="86"/>
        <v>283813147.31999999</v>
      </c>
      <c r="F195" s="72">
        <f>F152+F153+F155+F163+F134+F38+F135+F136+F165+F164+F35+F34+F133+F76</f>
        <v>90508402</v>
      </c>
      <c r="G195" s="72">
        <f>G152+G153+G155+G163+G134+G38+G135+G136+G165+G164+G156+G154+G37+G137+G35+G36+G76</f>
        <v>193304745.31999999</v>
      </c>
      <c r="H195" s="72">
        <f>H152+H153+H155+H163+H134+H38+H135+H136+H165+H164+H156+H154+H37+H35+H36+H76</f>
        <v>192303141</v>
      </c>
      <c r="I195" s="73">
        <f t="shared" si="85"/>
        <v>70784494.780000001</v>
      </c>
      <c r="J195" s="72">
        <f>J152+J153+J155+J163+J134+J38+J135+J136+J165+J164+J35+J34+J133+J76</f>
        <v>64184110.350000001</v>
      </c>
      <c r="K195" s="72">
        <f>K152+K153+K155+K163+K134+K38+K135+K136+K165+K164+K156+K154+K35+K137</f>
        <v>6600384.4300000006</v>
      </c>
      <c r="L195" s="72">
        <f>L152+L153+L155+L163+L134+L38+L135+L136+L165+L164+L156+L154+L35</f>
        <v>6057895.7999999998</v>
      </c>
      <c r="M195" s="90">
        <f t="shared" si="72"/>
        <v>0.24940527050422479</v>
      </c>
      <c r="N195" s="90">
        <f t="shared" si="73"/>
        <v>0.70915085154193758</v>
      </c>
      <c r="O195" s="90">
        <f t="shared" si="74"/>
        <v>3.4144968449034252E-2</v>
      </c>
      <c r="P195" s="90">
        <f t="shared" si="75"/>
        <v>3.1501803706887967E-2</v>
      </c>
    </row>
    <row r="196" spans="1:16" s="51" customFormat="1" ht="18" x14ac:dyDescent="0.3">
      <c r="A196" s="52"/>
      <c r="B196" s="52"/>
      <c r="C196" s="53" t="s">
        <v>301</v>
      </c>
      <c r="D196" s="54" t="s">
        <v>300</v>
      </c>
      <c r="E196" s="89">
        <f t="shared" si="86"/>
        <v>68731824</v>
      </c>
      <c r="F196" s="72">
        <f>F77+F138+F157+F40+F41+F42+F166+F139+F44+F140+F171+F43+F45+F39+F142+F141</f>
        <v>30606793.640000001</v>
      </c>
      <c r="G196" s="72">
        <f>G77+G138+G157+G40+G41+G42+G166+G139+G44+G140+G171+G43+G143+G141+G142</f>
        <v>38125030.359999999</v>
      </c>
      <c r="H196" s="72">
        <f>H77+H138+H157+H40+H41+H42+H166+H139+H44+H140+H171+H43+H143+H141+H142</f>
        <v>37775030.359999999</v>
      </c>
      <c r="I196" s="73">
        <f t="shared" si="85"/>
        <v>29811747.580000002</v>
      </c>
      <c r="J196" s="72">
        <f>J77+J138+J157+J40+J41+J42+J166+J139+J44+J140+J171+J43+J45+J39+J142+J141</f>
        <v>18145528.280000001</v>
      </c>
      <c r="K196" s="72">
        <f t="shared" ref="K196:L196" si="93">K77+K138+K157+K40+K41+K42+K166+K139+K44+K140+K171+K43</f>
        <v>11666219.300000001</v>
      </c>
      <c r="L196" s="72">
        <f t="shared" si="93"/>
        <v>11646219.300000001</v>
      </c>
      <c r="M196" s="90">
        <f t="shared" si="72"/>
        <v>0.4337400907620319</v>
      </c>
      <c r="N196" s="90">
        <f t="shared" si="73"/>
        <v>0.59285949692834272</v>
      </c>
      <c r="O196" s="90">
        <f t="shared" si="74"/>
        <v>0.30599895107860581</v>
      </c>
      <c r="P196" s="90">
        <f t="shared" si="75"/>
        <v>0.30830469728310766</v>
      </c>
    </row>
    <row r="197" spans="1:16" s="51" customFormat="1" ht="18" x14ac:dyDescent="0.3">
      <c r="A197" s="55"/>
      <c r="B197" s="55"/>
      <c r="C197" s="53" t="s">
        <v>302</v>
      </c>
      <c r="D197" s="19" t="s">
        <v>303</v>
      </c>
      <c r="E197" s="89">
        <f t="shared" si="86"/>
        <v>66285281</v>
      </c>
      <c r="F197" s="72">
        <f t="shared" ref="F197:G197" si="94">F172+F180</f>
        <v>16082514</v>
      </c>
      <c r="G197" s="72">
        <f t="shared" si="94"/>
        <v>50202767</v>
      </c>
      <c r="H197" s="72">
        <f>H172+H180</f>
        <v>50202767</v>
      </c>
      <c r="I197" s="73">
        <f t="shared" si="85"/>
        <v>61346171</v>
      </c>
      <c r="J197" s="72">
        <f t="shared" ref="J197" si="95">J172+J180</f>
        <v>14977780</v>
      </c>
      <c r="K197" s="72">
        <f>K172+K180+K143</f>
        <v>46368391</v>
      </c>
      <c r="L197" s="72">
        <f>L172+L180+L143</f>
        <v>46368391</v>
      </c>
      <c r="M197" s="90">
        <f t="shared" si="72"/>
        <v>0.92548707759117743</v>
      </c>
      <c r="N197" s="90">
        <f t="shared" si="73"/>
        <v>0.9313083762899258</v>
      </c>
      <c r="O197" s="90">
        <f t="shared" si="74"/>
        <v>0.9236222178749629</v>
      </c>
      <c r="P197" s="90">
        <f t="shared" si="75"/>
        <v>0.9236222178749629</v>
      </c>
    </row>
    <row r="198" spans="1:16" s="56" customFormat="1" ht="21" x14ac:dyDescent="0.4">
      <c r="A198" s="35"/>
      <c r="B198" s="35"/>
      <c r="C198" s="35"/>
      <c r="D198" s="35" t="s">
        <v>1</v>
      </c>
      <c r="E198" s="74">
        <f>F198+G198</f>
        <v>1325348438.3099999</v>
      </c>
      <c r="F198" s="74">
        <f>SUM(F188:F197)</f>
        <v>967366691.63</v>
      </c>
      <c r="G198" s="74">
        <f t="shared" ref="G198:L198" si="96">SUM(G188:G197)</f>
        <v>357981746.68000001</v>
      </c>
      <c r="H198" s="74">
        <f t="shared" si="96"/>
        <v>337097226.36000001</v>
      </c>
      <c r="I198" s="74">
        <f>SUM(I188:I197)</f>
        <v>748877192.88</v>
      </c>
      <c r="J198" s="74">
        <f t="shared" si="96"/>
        <v>642472467.83999991</v>
      </c>
      <c r="K198" s="74">
        <f t="shared" si="96"/>
        <v>106404725.04000001</v>
      </c>
      <c r="L198" s="74">
        <f t="shared" si="96"/>
        <v>87289608.409999996</v>
      </c>
      <c r="M198" s="88">
        <f t="shared" si="72"/>
        <v>0.56504174391673223</v>
      </c>
      <c r="N198" s="88">
        <f t="shared" si="73"/>
        <v>0.66414574059547404</v>
      </c>
      <c r="O198" s="88">
        <f t="shared" si="74"/>
        <v>0.29723505744865597</v>
      </c>
      <c r="P198" s="88">
        <f t="shared" si="75"/>
        <v>0.25894490249166224</v>
      </c>
    </row>
    <row r="199" spans="1:16" s="2" customFormat="1" ht="18" x14ac:dyDescent="0.35">
      <c r="A199" s="33"/>
      <c r="B199" s="33"/>
      <c r="C199" s="33"/>
      <c r="D199" s="15"/>
      <c r="E199" s="79"/>
      <c r="F199" s="16"/>
      <c r="G199" s="15"/>
      <c r="H199" s="15"/>
      <c r="I199" s="15"/>
      <c r="J199" s="16"/>
      <c r="K199" s="15"/>
      <c r="L199" s="15"/>
      <c r="M199" s="98"/>
      <c r="N199" s="98"/>
      <c r="O199" s="98"/>
      <c r="P199" s="98"/>
    </row>
    <row r="200" spans="1:16" s="2" customFormat="1" ht="18" x14ac:dyDescent="0.35">
      <c r="A200" s="33"/>
      <c r="B200" s="33"/>
      <c r="C200" s="33"/>
      <c r="D200" s="15"/>
      <c r="E200" s="16" t="s">
        <v>286</v>
      </c>
      <c r="F200" s="16"/>
      <c r="G200" s="16"/>
      <c r="H200" s="16"/>
      <c r="I200" s="16"/>
      <c r="J200" s="16" t="s">
        <v>287</v>
      </c>
      <c r="K200" s="16">
        <f>K187-K198</f>
        <v>0</v>
      </c>
      <c r="L200" s="16">
        <f>L187-L198</f>
        <v>0</v>
      </c>
      <c r="M200" s="99"/>
      <c r="N200" s="99"/>
      <c r="O200" s="99"/>
      <c r="P200" s="99"/>
    </row>
    <row r="201" spans="1:16" s="2" customFormat="1" ht="18" x14ac:dyDescent="0.35">
      <c r="A201" s="33"/>
      <c r="B201" s="33"/>
      <c r="C201" s="33"/>
      <c r="D201" s="15"/>
      <c r="E201" s="16">
        <f>E198-E187</f>
        <v>0</v>
      </c>
      <c r="F201" s="16">
        <f t="shared" ref="F201:P201" si="97">F198-F187</f>
        <v>0</v>
      </c>
      <c r="G201" s="16">
        <f t="shared" si="97"/>
        <v>0</v>
      </c>
      <c r="H201" s="16">
        <f t="shared" si="97"/>
        <v>0</v>
      </c>
      <c r="I201" s="16">
        <f t="shared" si="97"/>
        <v>0</v>
      </c>
      <c r="J201" s="16">
        <f t="shared" si="97"/>
        <v>0</v>
      </c>
      <c r="K201" s="16">
        <f t="shared" si="97"/>
        <v>0</v>
      </c>
      <c r="L201" s="16">
        <f t="shared" si="97"/>
        <v>0</v>
      </c>
      <c r="M201" s="100">
        <f t="shared" si="97"/>
        <v>0</v>
      </c>
      <c r="N201" s="100">
        <f t="shared" si="97"/>
        <v>0</v>
      </c>
      <c r="O201" s="100">
        <f t="shared" si="97"/>
        <v>0</v>
      </c>
      <c r="P201" s="100">
        <f t="shared" si="97"/>
        <v>0</v>
      </c>
    </row>
    <row r="202" spans="1:16" s="78" customFormat="1" x14ac:dyDescent="0.3">
      <c r="A202" s="5"/>
      <c r="B202" s="5"/>
      <c r="C202" s="5"/>
      <c r="D202" s="75"/>
      <c r="E202" s="75"/>
      <c r="F202" s="75"/>
      <c r="G202" s="75"/>
      <c r="H202" s="75"/>
      <c r="I202" s="75"/>
      <c r="J202" s="75"/>
      <c r="K202" s="75"/>
      <c r="L202" s="75"/>
      <c r="M202" s="116"/>
      <c r="N202" s="116"/>
      <c r="O202" s="116"/>
      <c r="P202" s="116"/>
    </row>
    <row r="203" spans="1:16" x14ac:dyDescent="0.3">
      <c r="I203" s="34"/>
    </row>
    <row r="204" spans="1:16" ht="18" x14ac:dyDescent="0.35">
      <c r="G204" s="102"/>
      <c r="K204" s="105"/>
    </row>
    <row r="205" spans="1:16" x14ac:dyDescent="0.3">
      <c r="G205" s="75"/>
      <c r="K205" s="34"/>
    </row>
    <row r="206" spans="1:16" x14ac:dyDescent="0.3">
      <c r="G206" s="34"/>
      <c r="H206" s="117">
        <f>G194-H194</f>
        <v>0</v>
      </c>
      <c r="K206" s="34"/>
    </row>
  </sheetData>
  <customSheetViews>
    <customSheetView guid="{22648713-93C4-4BCC-9593-E6D578C36006}" scale="72" showPageBreaks="1" fitToPage="1" printArea="1" hiddenRows="1" view="pageBreakPreview">
      <pane xSplit="4" ySplit="12" topLeftCell="E91" activePane="bottomRight" state="frozen"/>
      <selection pane="bottomRight" activeCell="E99" sqref="E99"/>
      <rowBreaks count="2" manualBreakCount="2">
        <brk id="70" max="15" man="1"/>
        <brk id="98" max="15" man="1"/>
      </rowBreaks>
      <pageMargins left="0.39370078740157483" right="0.15748031496062992" top="0.15748031496062992" bottom="0.11811023622047245" header="0.15748031496062992" footer="0.11811023622047245"/>
      <pageSetup paperSize="9" scale="45" fitToHeight="15" orientation="landscape" r:id="rId1"/>
    </customSheetView>
  </customSheetViews>
  <mergeCells count="28">
    <mergeCell ref="A6:P6"/>
    <mergeCell ref="G13:G14"/>
    <mergeCell ref="O13:O14"/>
    <mergeCell ref="G12:H12"/>
    <mergeCell ref="J12:J14"/>
    <mergeCell ref="A10:A14"/>
    <mergeCell ref="M10:P10"/>
    <mergeCell ref="M11:M14"/>
    <mergeCell ref="N11:P11"/>
    <mergeCell ref="F11:H11"/>
    <mergeCell ref="E11:E14"/>
    <mergeCell ref="E10:H10"/>
    <mergeCell ref="M1:O1"/>
    <mergeCell ref="M4:O4"/>
    <mergeCell ref="B10:B14"/>
    <mergeCell ref="C10:C14"/>
    <mergeCell ref="D10:D14"/>
    <mergeCell ref="F12:F14"/>
    <mergeCell ref="K12:L12"/>
    <mergeCell ref="J11:L11"/>
    <mergeCell ref="I10:L10"/>
    <mergeCell ref="I11:I14"/>
    <mergeCell ref="N12:N14"/>
    <mergeCell ref="O12:P12"/>
    <mergeCell ref="K13:K14"/>
    <mergeCell ref="A5:P5"/>
    <mergeCell ref="M2:P2"/>
    <mergeCell ref="M3:P3"/>
  </mergeCells>
  <pageMargins left="0.39370078740157483" right="0.19685039370078741" top="0.39370078740157483" bottom="0.39370078740157483" header="0.15748031496062992" footer="0.11811023622047245"/>
  <pageSetup paperSize="9" scale="41" fitToHeight="26" orientation="landscape" r:id="rId2"/>
  <headerFooter differentFirst="1" alignWithMargins="0">
    <oddHeader>&amp;C&amp;P</oddHeader>
  </headerFooter>
  <rowBreaks count="1" manualBreakCount="1">
    <brk id="17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2024-10-16T13:01:12Z</cp:lastPrinted>
  <dcterms:created xsi:type="dcterms:W3CDTF">2012-12-15T07:44:03Z</dcterms:created>
  <dcterms:modified xsi:type="dcterms:W3CDTF">2024-10-31T07:52:29Z</dcterms:modified>
</cp:coreProperties>
</file>