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52 сесія 30.10.2024\№686 Виконання бюджету 9 м\"/>
    </mc:Choice>
  </mc:AlternateContent>
  <xr:revisionPtr revIDLastSave="0" documentId="13_ncr:1_{06F28778-7999-4609-8F26-CAD97E592506}" xr6:coauthVersionLast="47" xr6:coauthVersionMax="47" xr10:uidLastSave="{00000000-0000-0000-0000-000000000000}"/>
  <bookViews>
    <workbookView xWindow="-108" yWindow="-108" windowWidth="23256" windowHeight="12576" xr2:uid="{00000000-000D-0000-FFFF-FFFF00000000}"/>
  </bookViews>
  <sheets>
    <sheet name="БР" sheetId="1" r:id="rId1"/>
  </sheets>
  <definedNames>
    <definedName name="Z_02AC496F_F7D9_465B_9A66_D319977CD4A2_.wvu.PrintArea" localSheetId="0" hidden="1">БР!$A$1:$H$8</definedName>
    <definedName name="Z_02AC496F_F7D9_465B_9A66_D319977CD4A2_.wvu.PrintTitles" localSheetId="0" hidden="1">БР!$7:$8</definedName>
    <definedName name="Z_6174BFC3_8EFC_491A_B8A3_28DB8186A904_.wvu.PrintArea" localSheetId="0" hidden="1">БР!$A$1:$H$8</definedName>
    <definedName name="Z_6174BFC3_8EFC_491A_B8A3_28DB8186A904_.wvu.PrintTitles" localSheetId="0" hidden="1">БР!$7:$8</definedName>
    <definedName name="Z_71B4C162_96A9_4CA7_B3F0_0C57B820C4BA_.wvu.PrintArea" localSheetId="0" hidden="1">БР!$A$1:$H$8</definedName>
    <definedName name="Z_71B4C162_96A9_4CA7_B3F0_0C57B820C4BA_.wvu.PrintTitles" localSheetId="0" hidden="1">БР!$7:$8</definedName>
    <definedName name="Z_9D5EF3DD_3431_45D7_BCA1_2268CCD9FD10_.wvu.PrintArea" localSheetId="0" hidden="1">БР!$A$1:$H$8</definedName>
    <definedName name="Z_9D5EF3DD_3431_45D7_BCA1_2268CCD9FD10_.wvu.PrintTitles" localSheetId="0" hidden="1">БР!$7:$8</definedName>
    <definedName name="_xlnm.Print_Titles" localSheetId="0">БР!$7:$8</definedName>
    <definedName name="_xlnm.Print_Area" localSheetId="0">БР!$A$1:$H$132</definedName>
  </definedNames>
  <calcPr calcId="191029"/>
  <customWorkbookViews>
    <customWorkbookView name="220FU6 - Личное представление" guid="{6174BFC3-8EFC-491A-B8A3-28DB8186A904}" mergeInterval="0" personalView="1" maximized="1" xWindow="-8" yWindow="-8" windowWidth="1616" windowHeight="876" activeSheetId="1"/>
    <customWorkbookView name="220FU5 - Личное представление" guid="{71B4C162-96A9-4CA7-B3F0-0C57B820C4BA}" mergeInterval="0" personalView="1" maximized="1" xWindow="-8" yWindow="-8" windowWidth="1936" windowHeight="1056" activeSheetId="1"/>
    <customWorkbookView name="220FU3 - Личное представление" guid="{9D5EF3DD-3431-45D7-BCA1-2268CCD9FD10}" mergeInterval="0" personalView="1" maximized="1" xWindow="-8" yWindow="-8" windowWidth="1382" windowHeight="744" activeSheetId="1"/>
    <customWorkbookView name="220FU1 - Личное представление" guid="{02AC496F-F7D9-465B-9A66-D319977CD4A2}"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 l="1"/>
  <c r="H38" i="1" l="1"/>
  <c r="H13" i="1" l="1"/>
  <c r="H15" i="1"/>
  <c r="H16" i="1"/>
  <c r="H17" i="1"/>
  <c r="H18" i="1"/>
  <c r="H19" i="1"/>
  <c r="H21" i="1"/>
  <c r="H22" i="1"/>
  <c r="H23" i="1"/>
  <c r="H24" i="1"/>
  <c r="H28" i="1"/>
  <c r="H29" i="1"/>
  <c r="H30" i="1"/>
  <c r="H31" i="1"/>
  <c r="H32" i="1"/>
  <c r="H34" i="1"/>
  <c r="H35" i="1"/>
  <c r="H36" i="1"/>
  <c r="H37" i="1"/>
  <c r="H39" i="1"/>
  <c r="H40" i="1"/>
  <c r="H45" i="1"/>
  <c r="H48" i="1"/>
  <c r="H49" i="1"/>
  <c r="H52" i="1"/>
  <c r="H60" i="1"/>
  <c r="H61" i="1"/>
  <c r="H62" i="1"/>
  <c r="H63" i="1"/>
  <c r="H64" i="1"/>
  <c r="H65" i="1"/>
  <c r="H66" i="1"/>
  <c r="H69" i="1"/>
  <c r="H70" i="1"/>
  <c r="H72" i="1"/>
  <c r="H74" i="1"/>
  <c r="H75" i="1"/>
  <c r="H76" i="1"/>
  <c r="H77" i="1"/>
  <c r="H78" i="1"/>
  <c r="H82" i="1"/>
  <c r="H84" i="1"/>
  <c r="H86" i="1"/>
  <c r="H93" i="1"/>
  <c r="H94" i="1"/>
  <c r="H97" i="1"/>
  <c r="H99" i="1"/>
  <c r="H100" i="1"/>
  <c r="H101" i="1"/>
  <c r="H102" i="1"/>
  <c r="H105" i="1"/>
  <c r="H106" i="1"/>
  <c r="H108" i="1"/>
  <c r="H109" i="1"/>
  <c r="H110" i="1"/>
  <c r="H111" i="1"/>
  <c r="H112" i="1"/>
  <c r="H113" i="1"/>
  <c r="H116" i="1"/>
  <c r="H117" i="1"/>
  <c r="H121" i="1"/>
  <c r="H122" i="1"/>
  <c r="H127" i="1"/>
  <c r="H128" i="1"/>
  <c r="G12" i="1"/>
  <c r="G11" i="1" s="1"/>
  <c r="G10" i="1" s="1"/>
  <c r="G27" i="1"/>
  <c r="G33" i="1"/>
  <c r="H33" i="1" s="1"/>
  <c r="G41" i="1"/>
  <c r="G47" i="1"/>
  <c r="G46" i="1" s="1"/>
  <c r="G54" i="1"/>
  <c r="G53" i="1" s="1"/>
  <c r="G68" i="1"/>
  <c r="G67" i="1" s="1"/>
  <c r="G71" i="1"/>
  <c r="G73" i="1"/>
  <c r="H73" i="1" s="1"/>
  <c r="G83" i="1"/>
  <c r="G96" i="1"/>
  <c r="H96" i="1" s="1"/>
  <c r="G98" i="1"/>
  <c r="G103" i="1"/>
  <c r="G107" i="1"/>
  <c r="G114" i="1"/>
  <c r="G120" i="1"/>
  <c r="G123" i="1"/>
  <c r="F126" i="1"/>
  <c r="H126" i="1" s="1"/>
  <c r="F125" i="1"/>
  <c r="F123" i="1" s="1"/>
  <c r="F120" i="1"/>
  <c r="F115" i="1"/>
  <c r="H115" i="1" s="1"/>
  <c r="F114" i="1"/>
  <c r="F107" i="1"/>
  <c r="F104" i="1"/>
  <c r="F103" i="1" s="1"/>
  <c r="F98" i="1"/>
  <c r="F96" i="1"/>
  <c r="F95" i="1"/>
  <c r="H95" i="1" s="1"/>
  <c r="F94" i="1"/>
  <c r="F92" i="1"/>
  <c r="H92" i="1" s="1"/>
  <c r="F91" i="1"/>
  <c r="H91" i="1" s="1"/>
  <c r="F90" i="1"/>
  <c r="H90" i="1" s="1"/>
  <c r="F89" i="1"/>
  <c r="F88" i="1"/>
  <c r="H88" i="1" s="1"/>
  <c r="F87" i="1"/>
  <c r="H87" i="1" s="1"/>
  <c r="F85" i="1"/>
  <c r="H85" i="1" s="1"/>
  <c r="F84" i="1"/>
  <c r="F81" i="1"/>
  <c r="H81" i="1" s="1"/>
  <c r="F73" i="1"/>
  <c r="F71" i="1"/>
  <c r="F69" i="1"/>
  <c r="F68" i="1"/>
  <c r="F67" i="1" s="1"/>
  <c r="F59" i="1"/>
  <c r="H59" i="1" s="1"/>
  <c r="F58" i="1"/>
  <c r="H58" i="1" s="1"/>
  <c r="F57" i="1"/>
  <c r="F56" i="1"/>
  <c r="H56" i="1" s="1"/>
  <c r="F55" i="1"/>
  <c r="H55" i="1" s="1"/>
  <c r="F47" i="1"/>
  <c r="F46" i="1"/>
  <c r="F44" i="1"/>
  <c r="H44" i="1" s="1"/>
  <c r="F43" i="1"/>
  <c r="H43" i="1" s="1"/>
  <c r="F42" i="1"/>
  <c r="H42" i="1" s="1"/>
  <c r="F41" i="1"/>
  <c r="F33" i="1"/>
  <c r="F27" i="1"/>
  <c r="F26" i="1" s="1"/>
  <c r="F25" i="1" s="1"/>
  <c r="F20" i="1"/>
  <c r="H20" i="1" s="1"/>
  <c r="F19" i="1"/>
  <c r="F14" i="1"/>
  <c r="H14" i="1" s="1"/>
  <c r="H103" i="1" l="1"/>
  <c r="F54" i="1"/>
  <c r="F53" i="1" s="1"/>
  <c r="F51" i="1" s="1"/>
  <c r="F50" i="1" s="1"/>
  <c r="F119" i="1"/>
  <c r="F118" i="1" s="1"/>
  <c r="H123" i="1"/>
  <c r="H114" i="1"/>
  <c r="H67" i="1"/>
  <c r="H46" i="1"/>
  <c r="H125" i="1"/>
  <c r="H104" i="1"/>
  <c r="H57" i="1"/>
  <c r="F12" i="1"/>
  <c r="F11" i="1" s="1"/>
  <c r="F10" i="1" s="1"/>
  <c r="F83" i="1"/>
  <c r="F80" i="1" s="1"/>
  <c r="F79" i="1" s="1"/>
  <c r="H120" i="1"/>
  <c r="H107" i="1"/>
  <c r="H98" i="1"/>
  <c r="H83" i="1"/>
  <c r="H71" i="1"/>
  <c r="H53" i="1"/>
  <c r="H41" i="1"/>
  <c r="H89" i="1"/>
  <c r="H68" i="1"/>
  <c r="G26" i="1"/>
  <c r="G25" i="1" s="1"/>
  <c r="H25" i="1" s="1"/>
  <c r="H12" i="1"/>
  <c r="G119" i="1"/>
  <c r="H47" i="1"/>
  <c r="H27" i="1"/>
  <c r="G80" i="1"/>
  <c r="G51" i="1"/>
  <c r="F129" i="1"/>
  <c r="H54" i="1" l="1"/>
  <c r="G118" i="1"/>
  <c r="H118" i="1" s="1"/>
  <c r="H119" i="1"/>
  <c r="G79" i="1"/>
  <c r="H79" i="1" s="1"/>
  <c r="H80" i="1"/>
  <c r="G50" i="1"/>
  <c r="H50" i="1" s="1"/>
  <c r="H51" i="1"/>
  <c r="H26" i="1"/>
  <c r="G129" i="1" l="1"/>
  <c r="H129" i="1" l="1"/>
  <c r="H11" i="1"/>
  <c r="H10" i="1" l="1"/>
</calcChain>
</file>

<file path=xl/sharedStrings.xml><?xml version="1.0" encoding="utf-8"?>
<sst xmlns="http://schemas.openxmlformats.org/spreadsheetml/2006/main" count="281" uniqueCount="221">
  <si>
    <t>% виконання</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</si>
  <si>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</si>
  <si>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</si>
  <si>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</si>
  <si>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</si>
  <si>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0600000</t>
  </si>
  <si>
    <t>0610000</t>
  </si>
  <si>
    <t>3700000</t>
  </si>
  <si>
    <t>3710000</t>
  </si>
  <si>
    <t>0180</t>
  </si>
  <si>
    <t>ВСЬОГО</t>
  </si>
  <si>
    <t>(код бюджету)</t>
  </si>
  <si>
    <t>0200000</t>
  </si>
  <si>
    <t>0210000</t>
  </si>
  <si>
    <t>Капітальні видатки</t>
  </si>
  <si>
    <t>0731</t>
  </si>
  <si>
    <t>Багатопрофільна стаціонарна медична допомога населенню</t>
  </si>
  <si>
    <t>6030</t>
  </si>
  <si>
    <t>0620</t>
  </si>
  <si>
    <t>Організація благоустрою населених пунктів</t>
  </si>
  <si>
    <t>0490</t>
  </si>
  <si>
    <t>0611021</t>
  </si>
  <si>
    <t>1021</t>
  </si>
  <si>
    <t>0921</t>
  </si>
  <si>
    <t>Капітальні видатки разом, в т.ч.:</t>
  </si>
  <si>
    <t>0610</t>
  </si>
  <si>
    <t>1200000</t>
  </si>
  <si>
    <t>1210000</t>
  </si>
  <si>
    <t>Експлуатація та технічне обслуговування житлового фонду</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</si>
  <si>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</si>
  <si>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</si>
  <si>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</si>
  <si>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</si>
  <si>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1216030</t>
  </si>
  <si>
    <t>0470</t>
  </si>
  <si>
    <t>Заходи з енергозбереження</t>
  </si>
  <si>
    <t>1500000</t>
  </si>
  <si>
    <t>1510000</t>
  </si>
  <si>
    <t>Реалізація інших заходів щодо соціально-економічного розвитку територій</t>
  </si>
  <si>
    <t>Виконавчий комітет Чорноморської  міської ради  Одеського району Одеської області</t>
  </si>
  <si>
    <t>1518110</t>
  </si>
  <si>
    <t>8110</t>
  </si>
  <si>
    <t>Заходи із запобігання та ліквідації надзвичайних ситуацій та наслідків стихійного лиха</t>
  </si>
  <si>
    <t>Субвенція з місцевого бюджету державному бюджету на виконання програм соціально-економічного розвитку регіонів</t>
  </si>
  <si>
    <t>Начальник фінансового управління</t>
  </si>
  <si>
    <t>Ольга ЯКОВЕНКО</t>
  </si>
  <si>
    <t>0320</t>
  </si>
  <si>
    <t>0212010</t>
  </si>
  <si>
    <t>2010</t>
  </si>
  <si>
    <t/>
  </si>
  <si>
    <t>Надання загальної середньої освіти закладами загальної середньої освіти за рахунок коштів місцевого бюджету</t>
  </si>
  <si>
    <t>6011</t>
  </si>
  <si>
    <t>1516013</t>
  </si>
  <si>
    <t>6013</t>
  </si>
  <si>
    <t>1516015</t>
  </si>
  <si>
    <t>7370</t>
  </si>
  <si>
    <t>1517640</t>
  </si>
  <si>
    <t>7640</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</si>
  <si>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</si>
  <si>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</si>
  <si>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Фiнансове управлiння Чорноморської мiської ради Одеського району Одеської областi</t>
  </si>
  <si>
    <t>3719800</t>
  </si>
  <si>
    <t>9800</t>
  </si>
  <si>
    <t>до рішення Чорноморської міської ради</t>
  </si>
  <si>
    <t>0380</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</si>
  <si>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</si>
  <si>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0611010</t>
  </si>
  <si>
    <t>1010</t>
  </si>
  <si>
    <t>0910</t>
  </si>
  <si>
    <t>Надання дошкільної освіти</t>
  </si>
  <si>
    <t>0618110</t>
  </si>
  <si>
    <t>Найменування робіт</t>
  </si>
  <si>
    <t>0218240</t>
  </si>
  <si>
    <t>8240</t>
  </si>
  <si>
    <t>Заходи та роботи з територіальної оборони</t>
  </si>
  <si>
    <t>Придбання затворів (засувок) з демонтажними вставками для заміни на водогонах</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</si>
  <si>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</si>
  <si>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Додаток 5</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</si>
  <si>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вул.В.Шума, 4</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</si>
  <si>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</si>
  <si>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Управління освіти Чорноморської  міської ради  Одеського району Одеської області</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</si>
  <si>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</si>
  <si>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</si>
  <si>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</si>
  <si>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Капітальний ремонт покрівлі та вимощення закладу дошкільної освіти (ясла-садок) № 12 за адресою: Одеська область, Одеський район, місто Чорноморськ, вулиця 1 Травня, 11-А</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</si>
  <si>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</si>
  <si>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</si>
  <si>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</si>
  <si>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</si>
  <si>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</si>
  <si>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</si>
  <si>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</si>
  <si>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</si>
  <si>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</si>
  <si>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Реконструкція скверу за адресою: Одеська область, м.Чорноморськ, проспект Миру, 14. Коригування</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</si>
  <si>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</si>
  <si>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</si>
  <si>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</si>
  <si>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Експертне обстеження, капітальний ремонт, заміна ліфтів (Міська програма модернізації ліфтового господарства Чорноморської міської ради Одеської області на 2019 - 2025 роки)</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</si>
  <si>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</si>
  <si>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</si>
  <si>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паркової зони біля головної КНС в м.Чорноморськ. Проектні роботи.</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</si>
  <si>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</si>
  <si>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</si>
  <si>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</si>
  <si>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</si>
  <si>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</si>
  <si>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</si>
  <si>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</si>
  <si>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</si>
  <si>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2"/>
        <rFont val="Times New Roman"/>
        <family val="1"/>
        <charset val="204"/>
      </rPr>
      <t>Капітальні видатки</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</si>
  <si>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2"/>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</si>
  <si>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2"/>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</si>
  <si>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</si>
  <si>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2"/>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</si>
  <si>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</si>
  <si>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</si>
  <si>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2"/>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</si>
  <si>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вул.1 Травня, 2 (розробка пректно-кошторисної документації, експертиза)</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</si>
  <si>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</si>
  <si>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вул.Лазурна, 7 (1)</t>
    </r>
  </si>
  <si>
    <r>
      <t>Капітальний ремонт (заміна) ліфтів за адресою: м. Чорноморськ,</t>
    </r>
    <r>
      <rPr>
        <sz val="12"/>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</si>
  <si>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</si>
  <si>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</si>
  <si>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</si>
  <si>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</si>
  <si>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</si>
  <si>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вул.Парусна, 10 (2)</t>
    </r>
  </si>
  <si>
    <r>
      <t>Капітальний ремонт (заміна) ліфтів за адресою: м. Чорноморськ,</t>
    </r>
    <r>
      <rPr>
        <sz val="12"/>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</si>
  <si>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вул.1 Травня, 5 (1)</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</si>
  <si>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</si>
  <si>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</si>
  <si>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</si>
  <si>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7</t>
    </r>
  </si>
  <si>
    <t>Виконано за звітний період, грн</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</si>
  <si>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</si>
  <si>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0212111</t>
  </si>
  <si>
    <t>2111</t>
  </si>
  <si>
    <t>0726</t>
  </si>
  <si>
    <t xml:space="preserve"> Первинна медична допомога населенню, що надається центрами первинної медичної (медико-санітарної) допомоги</t>
  </si>
  <si>
    <t>0217350</t>
  </si>
  <si>
    <t>7350</t>
  </si>
  <si>
    <t>0443</t>
  </si>
  <si>
    <t>Розроблення схем планування та забудови територій (містобудівної документації)</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</si>
  <si>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</si>
  <si>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0218210</t>
  </si>
  <si>
    <t>8210</t>
  </si>
  <si>
    <t>Муніципальні формування з охорони громадського порядку</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</si>
  <si>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</si>
  <si>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</si>
  <si>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</si>
  <si>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</si>
  <si>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</si>
  <si>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1210160</t>
  </si>
  <si>
    <t>0160</t>
  </si>
  <si>
    <t>0111</t>
  </si>
  <si>
    <t>Керівництво і управління у відповідній сфері у містах (місті Києві), селищах, селах, територіальних громадах</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</si>
  <si>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</si>
  <si>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</si>
  <si>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</si>
  <si>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</si>
  <si>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3719770</t>
  </si>
  <si>
    <t>9770</t>
  </si>
  <si>
    <t>Інші субвенції з місцевого бюджету</t>
  </si>
  <si>
    <t>Міська цільова соціальна програма розвитку цивільного захисту Чорноморської міської територіальної громади на 2021-2025 роки</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</si>
  <si>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</si>
  <si>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</si>
  <si>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</si>
  <si>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</si>
  <si>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 xml:space="preserve">Звіт про використання коштів бюджету розвитку у складі бюджету Чорноморської міської територіальної громади  за 9 місяців 2024 року </t>
  </si>
  <si>
    <t>Обсяг видатків бюджету розвитку на 2024 рік, грн</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</si>
  <si>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</si>
  <si>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</si>
  <si>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0217520</t>
  </si>
  <si>
    <t>7520</t>
  </si>
  <si>
    <t>0460</t>
  </si>
  <si>
    <t>Реалізація Національної програми інформатизації</t>
  </si>
  <si>
    <t>0218230</t>
  </si>
  <si>
    <t>8230</t>
  </si>
  <si>
    <t>Інші заходи громадського порядку та безпеки</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</si>
  <si>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</si>
  <si>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</si>
  <si>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</si>
  <si>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</si>
  <si>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</si>
  <si>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0800000</t>
  </si>
  <si>
    <t>Управління соціальної політики Чорноморської  міської ради  Одеського району Одеської області</t>
  </si>
  <si>
    <t>0810000</t>
  </si>
  <si>
    <t>0813221</t>
  </si>
  <si>
    <t>3221</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</si>
  <si>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</si>
  <si>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0813223</t>
  </si>
  <si>
    <t>3223</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</si>
  <si>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</si>
  <si>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Капітальний ремонт фасаду житлового будинку за адресою: Одеська область, Одеський район, м.Чорноморськ, вул.Паркова, 22-А (ОСББ "Паркова - 22-А")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</si>
  <si>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</si>
  <si>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t>1216017</t>
  </si>
  <si>
    <t>6017</t>
  </si>
  <si>
    <t>Інша діяльність, пов`язана з експлуатацією об`єктів житлово-комунального господарства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</si>
  <si>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</si>
  <si>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Придбання пристроїв резервного живлення для світлофорних об'єктів</t>
  </si>
  <si>
    <t>Капітальний ремонт покрівлі житлового багатоквартирного будинку № 20 по вул.Парусна, м.Чорноморськ</t>
  </si>
  <si>
    <t>1218773</t>
  </si>
  <si>
    <t>8773</t>
  </si>
  <si>
    <t>Заходи, пов'язані із підготовкою та проведенням позачергових місцевих виборів, за рахунок коштів резервного фонду місцевого бюджету</t>
  </si>
  <si>
    <t>Капітальний ремонт світлофорного об'єкту за адресою: Одеська область, Одеський район, м.Чорноморськ, перехрестя доріг М27, Т1641 та Т1620 в бік вул.Перемоги</t>
  </si>
  <si>
    <t>1517310</t>
  </si>
  <si>
    <t>7310</t>
  </si>
  <si>
    <t>Будівництво об'єктів житлово-комунального господарства</t>
  </si>
  <si>
    <t>Реконструкція вводу теплової мережі до житлового будинку №4-Б по вул. Корабельній у м. Чорноморськ  Одеського району  Одеської  області</t>
  </si>
  <si>
    <t>Збільшення електропотужностей для 13-го мікрорайону міста Чорноморськ, Одеської області</t>
  </si>
  <si>
    <t xml:space="preserve">Субвенція обласному бюджету Одеської області на співфінансування придбання шкільного автобусу відповідно до п. 4 Порядку та умов надання субвенції з державного бюджету місцевим бюджетам на придбання шкільних автобусів, затверджених постановою Кабінету Міністрів України від 28 квітня 2023 р. № 418 (зі змінами) </t>
  </si>
  <si>
    <r>
      <t>Виготовлення проектно-кошторисної документації по об'єкту "К</t>
    </r>
    <r>
      <rPr>
        <sz val="12"/>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</si>
  <si>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2"/>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</si>
  <si>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r>
      <t>Реконструкція напірного каналізаційного колектору за адресою: Одеська область, Одеський район, м.Чорноморськ,</t>
    </r>
    <r>
      <rPr>
        <sz val="12"/>
        <color indexed="8"/>
        <rFont val="Times New Roman"/>
        <family val="1"/>
        <charset val="204"/>
      </rPr>
      <t xml:space="preserve"> від вул.Космонавтов, 59Г в с.Малодолинське до вул.Світла, 51 в смт.Олександрівка</t>
    </r>
  </si>
  <si>
    <r>
      <t xml:space="preserve">Реконструкція водопровідної мережі по </t>
    </r>
    <r>
      <rPr>
        <sz val="12"/>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</si>
  <si>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2"/>
        <color indexed="8"/>
        <rFont val="Times New Roman"/>
        <family val="1"/>
        <charset val="204"/>
      </rPr>
      <t>м.Чорноморськ, вул.Паркова, 46-50</t>
    </r>
  </si>
  <si>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</si>
  <si>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</si>
  <si>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</si>
  <si>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від   30.10. 2024  № 686 -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</si>
</sst>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
  </numFmts>
  <fonts count="23">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0"/>
      <color theme="1"/>
      <name val="Calibri"/>
      <family val="2"/>
      <charset val="204"/>
      <scheme val="minor"/>
    </font>
    <font>
      <sz val="11"/>
      <color indexed="8"/>
      <name val="Calibri"/>
      <family val="2"/>
      <charset val="204"/>
    </font>
    <font>
      <sz val="13"/>
      <color indexed="12"/>
      <name val="Times New Roman"/>
      <family val="1"/>
    </font>
    <font>
      <sz val="14"/>
      <name val="Times New Roman"/>
      <family val="1"/>
      <charset val="204"/>
    </font>
    <font>
      <b/>
      <sz val="16"/>
      <name val="Times New Roman"/>
      <family val="1"/>
      <charset val="204"/>
    </font>
    <font>
      <sz val="16"/>
      <name val="Times New Roman"/>
      <family val="1"/>
      <charset val="204"/>
    </font>
    <font>
      <u/>
      <sz val="10"/>
      <color indexed="12"/>
      <name val="Arial Cyr"/>
      <charset val="204"/>
    </font>
    <font>
      <b/>
      <sz val="10"/>
      <name val="Times New Roman"/>
      <family val="1"/>
    </font>
    <font>
      <sz val="10"/>
      <name val="Times New Roman"/>
      <family val="1"/>
    </font>
    <font>
      <sz val="10"/>
      <color theme="1"/>
      <name val="Times New Roman"/>
      <family val="1"/>
      <charset val="204"/>
    </font>
    <font>
      <sz val="10"/>
      <color rgb="FF000000"/>
      <name val="Arimo"/>
    </font>
    <font>
      <sz val="11"/>
      <color theme="1"/>
      <name val="Calibri"/>
      <family val="2"/>
      <scheme val="minor"/>
    </font>
    <font>
      <sz val="11"/>
      <color theme="1"/>
      <name val="Calibri"/>
      <family val="2"/>
      <charset val="204"/>
      <scheme val="minor"/>
    </font>
    <font>
      <sz val="12"/>
      <color theme="1"/>
      <name val="Times New Roman"/>
      <family val="1"/>
      <charset val="204"/>
    </font>
    <font>
      <i/>
      <sz val="12"/>
      <name val="Times New Roman"/>
      <family val="1"/>
      <charset val="204"/>
    </font>
    <font>
      <i/>
      <sz val="12"/>
      <color theme="1"/>
      <name val="Times New Roman"/>
      <family val="1"/>
      <charset val="204"/>
    </font>
    <font>
      <sz val="12"/>
      <color indexed="8"/>
      <name val="Times New Roman"/>
      <family val="1"/>
      <charset val="204"/>
    </font>
    <font>
      <sz val="10"/>
      <color indexed="8"/>
      <name val="Arial"/>
      <family val="2"/>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164" fontId="1" fillId="0" borderId="0" applyFont="0" applyFill="0" applyBorder="0" applyAlignment="0" applyProtection="0"/>
    <xf numFmtId="0" fontId="4" fillId="0" borderId="0"/>
    <xf numFmtId="0" fontId="5" fillId="0" borderId="0"/>
    <xf numFmtId="0" fontId="10" fillId="0" borderId="0" applyNumberFormat="0" applyFill="0" applyBorder="0" applyAlignment="0" applyProtection="0">
      <alignment vertical="top"/>
      <protection locked="0"/>
    </xf>
    <xf numFmtId="0" fontId="1" fillId="0" borderId="0"/>
    <xf numFmtId="0" fontId="14" fillId="0" borderId="0"/>
    <xf numFmtId="0" fontId="15" fillId="0" borderId="0"/>
    <xf numFmtId="9" fontId="16" fillId="0" borderId="0" applyFont="0" applyFill="0" applyBorder="0" applyAlignment="0" applyProtection="0"/>
    <xf numFmtId="0" fontId="21" fillId="0" borderId="0"/>
  </cellStyleXfs>
  <cellXfs count="83">
    <xf numFmtId="0" fontId="0" fillId="0" borderId="0" xfId="0"/>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vertical="center"/>
    </xf>
    <xf numFmtId="0" fontId="9" fillId="2" borderId="0" xfId="0" applyFont="1" applyFill="1"/>
    <xf numFmtId="0" fontId="8" fillId="2" borderId="0" xfId="0" applyFont="1" applyFill="1" applyAlignment="1">
      <alignment horizontal="center" vertical="center" wrapText="1"/>
    </xf>
    <xf numFmtId="0" fontId="12" fillId="0" borderId="5" xfId="5" applyFont="1" applyBorder="1" applyAlignment="1" applyProtection="1">
      <alignment horizontal="left"/>
    </xf>
    <xf numFmtId="0" fontId="11" fillId="0" borderId="0" xfId="5" applyFont="1" applyAlignment="1" applyProtection="1">
      <alignment horizontal="center"/>
    </xf>
    <xf numFmtId="9" fontId="6" fillId="2" borderId="0" xfId="9" applyFont="1" applyFill="1" applyAlignment="1">
      <alignment horizontal="left"/>
    </xf>
    <xf numFmtId="9" fontId="7" fillId="2" borderId="0" xfId="9" applyFont="1" applyFill="1"/>
    <xf numFmtId="9" fontId="7" fillId="2" borderId="0" xfId="9" applyFont="1" applyFill="1" applyAlignment="1">
      <alignment horizontal="center"/>
    </xf>
    <xf numFmtId="9" fontId="7" fillId="2" borderId="0" xfId="9" applyFont="1" applyFill="1" applyAlignment="1">
      <alignment horizontal="left" vertical="center"/>
    </xf>
    <xf numFmtId="49" fontId="2" fillId="2" borderId="1" xfId="0" applyNumberFormat="1" applyFont="1" applyFill="1" applyBorder="1" applyAlignment="1">
      <alignment horizontal="center"/>
    </xf>
    <xf numFmtId="0" fontId="3" fillId="2" borderId="0" xfId="0" applyFont="1" applyFill="1"/>
    <xf numFmtId="49" fontId="3"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 xfId="0" quotePrefix="1" applyFont="1" applyFill="1" applyBorder="1" applyAlignment="1">
      <alignment vertical="center" wrapText="1"/>
    </xf>
    <xf numFmtId="0" fontId="3" fillId="2" borderId="1" xfId="0" applyFont="1" applyFill="1" applyBorder="1" applyAlignment="1">
      <alignment horizontal="left" vertical="center" wrapText="1"/>
    </xf>
    <xf numFmtId="49" fontId="18" fillId="2" borderId="1"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1" xfId="0" quotePrefix="1" applyFont="1" applyFill="1" applyBorder="1" applyAlignment="1">
      <alignment vertical="center" wrapText="1"/>
    </xf>
    <xf numFmtId="49" fontId="17" fillId="2" borderId="1" xfId="0" applyNumberFormat="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3" fillId="2" borderId="1" xfId="4" applyFont="1" applyFill="1" applyBorder="1" applyAlignment="1">
      <alignment horizontal="left" vertical="center" wrapText="1"/>
    </xf>
    <xf numFmtId="49" fontId="19" fillId="2" borderId="1" xfId="0" applyNumberFormat="1" applyFont="1" applyFill="1" applyBorder="1" applyAlignment="1">
      <alignment horizontal="center" vertical="center" wrapText="1"/>
    </xf>
    <xf numFmtId="0" fontId="3" fillId="2" borderId="4" xfId="0" quotePrefix="1" applyFont="1" applyFill="1" applyBorder="1" applyAlignment="1">
      <alignment horizontal="left" vertical="center" wrapText="1"/>
    </xf>
    <xf numFmtId="4" fontId="3" fillId="2" borderId="0" xfId="0" applyNumberFormat="1" applyFont="1" applyFill="1"/>
    <xf numFmtId="0" fontId="17" fillId="2" borderId="1" xfId="0" applyFont="1" applyFill="1" applyBorder="1" applyAlignment="1">
      <alignment vertical="center" wrapText="1"/>
    </xf>
    <xf numFmtId="0" fontId="17" fillId="0" borderId="1" xfId="0" applyFont="1" applyBorder="1" applyAlignment="1">
      <alignment vertical="center" wrapText="1"/>
    </xf>
    <xf numFmtId="0" fontId="3" fillId="2" borderId="1" xfId="0" quotePrefix="1" applyFont="1" applyFill="1" applyBorder="1" applyAlignment="1">
      <alignment vertical="center" wrapText="1"/>
    </xf>
    <xf numFmtId="0" fontId="17" fillId="2" borderId="1" xfId="0" quotePrefix="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horizontal="left" wrapText="1"/>
    </xf>
    <xf numFmtId="0" fontId="9" fillId="2" borderId="0" xfId="0" applyFont="1" applyFill="1" applyAlignment="1">
      <alignment horizontal="center" vertical="center" wrapText="1"/>
    </xf>
    <xf numFmtId="165" fontId="2"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3" fillId="2" borderId="3" xfId="4" applyFont="1" applyFill="1" applyBorder="1" applyAlignment="1">
      <alignment horizontal="left" vertical="center" wrapText="1"/>
    </xf>
    <xf numFmtId="0" fontId="3" fillId="2" borderId="1" xfId="4" applyFont="1" applyFill="1" applyBorder="1" applyAlignment="1">
      <alignment horizontal="center" vertical="center" wrapText="1"/>
    </xf>
    <xf numFmtId="0" fontId="17" fillId="2" borderId="3" xfId="0" quotePrefix="1" applyFont="1" applyFill="1" applyBorder="1" applyAlignment="1">
      <alignment vertical="center" wrapText="1"/>
    </xf>
    <xf numFmtId="0" fontId="3" fillId="0" borderId="1" xfId="0" quotePrefix="1" applyFont="1" applyBorder="1" applyAlignment="1">
      <alignment vertical="center" wrapText="1"/>
    </xf>
    <xf numFmtId="0" fontId="19" fillId="2" borderId="3" xfId="0" quotePrefix="1" applyFont="1" applyFill="1" applyBorder="1" applyAlignment="1">
      <alignment vertical="center" wrapText="1"/>
    </xf>
    <xf numFmtId="0" fontId="18" fillId="2" borderId="4" xfId="0" quotePrefix="1" applyFont="1" applyFill="1" applyBorder="1" applyAlignment="1">
      <alignment horizontal="left" vertical="center" wrapText="1"/>
    </xf>
    <xf numFmtId="0" fontId="3" fillId="2" borderId="4" xfId="4" applyFont="1" applyFill="1" applyBorder="1" applyAlignment="1">
      <alignment horizontal="left" vertical="center" wrapText="1"/>
    </xf>
    <xf numFmtId="0" fontId="17" fillId="2" borderId="1" xfId="8" quotePrefix="1" applyFont="1" applyFill="1" applyBorder="1" applyAlignment="1">
      <alignment vertical="center" wrapText="1"/>
    </xf>
    <xf numFmtId="49" fontId="17" fillId="2" borderId="1" xfId="0" quotePrefix="1" applyNumberFormat="1" applyFont="1" applyFill="1" applyBorder="1" applyAlignment="1">
      <alignment horizontal="center" vertical="center" wrapText="1"/>
    </xf>
    <xf numFmtId="3" fontId="7" fillId="2" borderId="0" xfId="0" applyNumberFormat="1" applyFont="1" applyFill="1"/>
    <xf numFmtId="3" fontId="3" fillId="2" borderId="0" xfId="0" applyNumberFormat="1" applyFont="1" applyFill="1"/>
    <xf numFmtId="0" fontId="20" fillId="2" borderId="1" xfId="8" quotePrefix="1" applyFont="1" applyFill="1" applyBorder="1" applyAlignment="1">
      <alignment vertical="center" wrapText="1"/>
    </xf>
    <xf numFmtId="0" fontId="17" fillId="2" borderId="4" xfId="8" quotePrefix="1" applyFont="1" applyFill="1" applyBorder="1" applyAlignment="1">
      <alignment vertical="center" wrapText="1"/>
    </xf>
    <xf numFmtId="0" fontId="17" fillId="2" borderId="1" xfId="10" quotePrefix="1" applyFont="1" applyFill="1" applyBorder="1" applyAlignment="1">
      <alignment vertical="center" wrapText="1"/>
    </xf>
    <xf numFmtId="49" fontId="19" fillId="2" borderId="1" xfId="0" quotePrefix="1" applyNumberFormat="1" applyFont="1" applyFill="1" applyBorder="1" applyAlignment="1">
      <alignment horizontal="center" vertical="center" wrapText="1"/>
    </xf>
    <xf numFmtId="0" fontId="18" fillId="2" borderId="1" xfId="0" quotePrefix="1" applyFont="1" applyFill="1" applyBorder="1" applyAlignment="1">
      <alignment horizontal="left" vertical="center" wrapText="1"/>
    </xf>
    <xf numFmtId="0" fontId="22" fillId="2" borderId="6"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0" xfId="0" applyFont="1" applyFill="1"/>
    <xf numFmtId="0" fontId="7" fillId="2" borderId="0" xfId="0" applyFont="1" applyFill="1" applyAlignment="1">
      <alignment horizontal="right" vertical="center"/>
    </xf>
    <xf numFmtId="4" fontId="7" fillId="2" borderId="0" xfId="0" applyNumberFormat="1" applyFont="1" applyFill="1"/>
    <xf numFmtId="3" fontId="2"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18"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18" fillId="2" borderId="1"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9" fontId="17" fillId="0" borderId="0" xfId="9" applyFont="1" applyAlignment="1">
      <alignment horizontal="left"/>
    </xf>
    <xf numFmtId="0" fontId="2" fillId="2" borderId="3" xfId="4" applyFont="1" applyFill="1" applyBorder="1" applyAlignment="1">
      <alignment horizontal="center" wrapText="1"/>
    </xf>
    <xf numFmtId="0" fontId="2" fillId="2" borderId="4" xfId="4" applyFont="1" applyFill="1" applyBorder="1" applyAlignment="1">
      <alignment horizontal="center" wrapText="1"/>
    </xf>
    <xf numFmtId="0" fontId="2" fillId="2" borderId="3" xfId="4" applyFont="1" applyFill="1" applyBorder="1" applyAlignment="1">
      <alignment horizontal="center" vertical="center" wrapText="1"/>
    </xf>
    <xf numFmtId="0" fontId="2" fillId="2" borderId="4" xfId="4" applyFont="1" applyFill="1" applyBorder="1" applyAlignment="1">
      <alignment horizontal="center" vertical="center" wrapText="1"/>
    </xf>
    <xf numFmtId="0" fontId="17" fillId="0" borderId="3" xfId="8" applyFont="1" applyBorder="1" applyAlignment="1">
      <alignment horizontal="left" vertical="center" wrapText="1"/>
    </xf>
    <xf numFmtId="0" fontId="17" fillId="0" borderId="4" xfId="8" applyFont="1" applyBorder="1" applyAlignment="1">
      <alignment horizontal="left" vertical="center" wrapText="1"/>
    </xf>
    <xf numFmtId="0" fontId="22" fillId="2" borderId="2" xfId="0" applyFont="1" applyFill="1" applyBorder="1" applyAlignment="1">
      <alignment horizontal="center" vertical="center" wrapText="1"/>
    </xf>
    <xf numFmtId="0" fontId="22" fillId="2" borderId="6" xfId="0" applyFont="1" applyFill="1" applyBorder="1" applyAlignment="1">
      <alignment horizontal="center" vertical="center" wrapText="1"/>
    </xf>
    <xf numFmtId="9" fontId="13" fillId="0" borderId="0" xfId="9" applyFont="1" applyAlignment="1">
      <alignment horizontal="left"/>
    </xf>
    <xf numFmtId="0" fontId="1" fillId="0" borderId="6" xfId="0" applyFont="1" applyBorder="1"/>
    <xf numFmtId="9" fontId="3" fillId="2" borderId="0" xfId="9" applyFont="1" applyFill="1" applyAlignment="1">
      <alignment horizontal="left"/>
    </xf>
    <xf numFmtId="0" fontId="2" fillId="2" borderId="0" xfId="0" applyFont="1" applyFill="1" applyAlignment="1">
      <alignment horizontal="center" vertical="center" wrapText="1"/>
    </xf>
    <xf numFmtId="0" fontId="11" fillId="0" borderId="0" xfId="5" applyFont="1" applyAlignment="1" applyProtection="1">
      <alignment horizontal="left"/>
    </xf>
  </cellXfs>
  <cellStyles count="11">
    <cellStyle name="Відсотковий" xfId="9" builtinId="5"/>
    <cellStyle name="Гіперпосилання" xfId="5" builtinId="8"/>
    <cellStyle name="Звичайний" xfId="0" builtinId="0"/>
    <cellStyle name="Звичайний 2" xfId="10" xr:uid="{00000000-0005-0000-0000-000003000000}"/>
    <cellStyle name="Обычный 10" xfId="7" xr:uid="{00000000-0005-0000-0000-000004000000}"/>
    <cellStyle name="Обычный 2" xfId="1" xr:uid="{00000000-0005-0000-0000-000005000000}"/>
    <cellStyle name="Обычный 2 2" xfId="6" xr:uid="{00000000-0005-0000-0000-000006000000}"/>
    <cellStyle name="Обычный 3" xfId="3" xr:uid="{00000000-0005-0000-0000-000007000000}"/>
    <cellStyle name="Обычный 9" xfId="8" xr:uid="{00000000-0005-0000-0000-000008000000}"/>
    <cellStyle name="Обычный_дод 3" xfId="4" xr:uid="{00000000-0005-0000-0000-000009000000}"/>
    <cellStyle name="Финансовый 2" xfId="2"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8"/>
  <sheetViews>
    <sheetView tabSelected="1" view="pageBreakPreview" topLeftCell="B1" zoomScale="90" zoomScaleNormal="90" zoomScaleSheetLayoutView="90" workbookViewId="0">
      <selection activeCell="F3" sqref="F3:H3"/>
    </sheetView>
  </sheetViews>
  <sheetFormatPr defaultColWidth="9.109375" defaultRowHeight="18"/>
  <cols>
    <col min="1" max="1" width="15.88671875" style="2" customWidth="1"/>
    <col min="2" max="2" width="14.88671875" style="1" customWidth="1"/>
    <col min="3" max="3" width="16" style="1" customWidth="1"/>
    <col min="4" max="4" width="50" style="1" customWidth="1"/>
    <col min="5" max="5" width="55.5546875" style="3" customWidth="1"/>
    <col min="6" max="6" width="18.33203125" style="1" customWidth="1"/>
    <col min="7" max="7" width="18" style="1" customWidth="1"/>
    <col min="8" max="8" width="12.6640625" style="2" customWidth="1"/>
    <col min="9" max="9" width="24" style="1" customWidth="1"/>
    <col min="10" max="10" width="18.44140625" style="1" bestFit="1" customWidth="1"/>
    <col min="11" max="11" width="16.88671875" style="1" bestFit="1" customWidth="1"/>
    <col min="12" max="12" width="15.5546875" style="1" bestFit="1" customWidth="1"/>
    <col min="13" max="16384" width="9.109375" style="1"/>
  </cols>
  <sheetData>
    <row r="1" spans="1:9" s="9" customFormat="1">
      <c r="A1" s="8"/>
      <c r="D1" s="10"/>
      <c r="E1" s="11"/>
      <c r="F1" s="78" t="s">
        <v>77</v>
      </c>
      <c r="G1" s="78"/>
      <c r="H1" s="78"/>
    </row>
    <row r="2" spans="1:9" s="9" customFormat="1">
      <c r="A2" s="8"/>
      <c r="D2" s="10"/>
      <c r="E2" s="11"/>
      <c r="F2" s="80" t="s">
        <v>63</v>
      </c>
      <c r="G2" s="80"/>
      <c r="H2" s="80"/>
    </row>
    <row r="3" spans="1:9" s="9" customFormat="1">
      <c r="A3" s="8"/>
      <c r="D3" s="10"/>
      <c r="E3" s="11"/>
      <c r="F3" s="69" t="s">
        <v>220</v>
      </c>
      <c r="G3" s="69"/>
      <c r="H3" s="69"/>
    </row>
    <row r="4" spans="1:9" s="4" customFormat="1" ht="21">
      <c r="A4" s="81" t="s">
        <v>169</v>
      </c>
      <c r="B4" s="81"/>
      <c r="C4" s="81"/>
      <c r="D4" s="81"/>
      <c r="E4" s="81"/>
      <c r="F4" s="81"/>
      <c r="G4" s="81"/>
      <c r="H4" s="81"/>
    </row>
    <row r="5" spans="1:9" s="4" customFormat="1" ht="21">
      <c r="A5" s="82">
        <v>1558900000</v>
      </c>
      <c r="B5" s="82"/>
      <c r="C5" s="5"/>
      <c r="D5" s="5"/>
      <c r="E5" s="5"/>
      <c r="F5" s="5"/>
      <c r="G5" s="5"/>
      <c r="H5" s="36"/>
    </row>
    <row r="6" spans="1:9" s="4" customFormat="1" ht="21">
      <c r="A6" s="6" t="s">
        <v>11</v>
      </c>
      <c r="B6" s="7"/>
      <c r="C6" s="5"/>
      <c r="D6" s="5"/>
      <c r="E6" s="5"/>
      <c r="F6" s="5"/>
      <c r="G6" s="5"/>
      <c r="H6" s="36"/>
    </row>
    <row r="7" spans="1:9">
      <c r="A7" s="76" t="s">
        <v>1</v>
      </c>
      <c r="B7" s="76" t="s">
        <v>2</v>
      </c>
      <c r="C7" s="76" t="s">
        <v>3</v>
      </c>
      <c r="D7" s="76" t="s">
        <v>4</v>
      </c>
      <c r="E7" s="76" t="s">
        <v>71</v>
      </c>
      <c r="F7" s="76" t="s">
        <v>170</v>
      </c>
      <c r="G7" s="76" t="s">
        <v>134</v>
      </c>
      <c r="H7" s="76" t="s">
        <v>0</v>
      </c>
    </row>
    <row r="8" spans="1:9" ht="36.6" customHeight="1">
      <c r="A8" s="79"/>
      <c r="B8" s="79"/>
      <c r="C8" s="79"/>
      <c r="D8" s="77"/>
      <c r="E8" s="77"/>
      <c r="F8" s="77"/>
      <c r="G8" s="77"/>
      <c r="H8" s="77"/>
    </row>
    <row r="9" spans="1:9" s="58" customFormat="1" ht="13.2">
      <c r="A9" s="56">
        <v>1</v>
      </c>
      <c r="B9" s="56">
        <v>2</v>
      </c>
      <c r="C9" s="56">
        <v>3</v>
      </c>
      <c r="D9" s="57">
        <v>4</v>
      </c>
      <c r="E9" s="57">
        <v>5</v>
      </c>
      <c r="F9" s="57">
        <v>6</v>
      </c>
      <c r="G9" s="57">
        <v>7</v>
      </c>
      <c r="H9" s="57">
        <v>8</v>
      </c>
    </row>
    <row r="10" spans="1:9" s="13" customFormat="1" ht="15.6">
      <c r="A10" s="12" t="s">
        <v>12</v>
      </c>
      <c r="B10" s="12"/>
      <c r="C10" s="12"/>
      <c r="D10" s="70" t="s">
        <v>39</v>
      </c>
      <c r="E10" s="71"/>
      <c r="F10" s="61">
        <f t="shared" ref="F10:G10" si="0">F11</f>
        <v>5857489</v>
      </c>
      <c r="G10" s="61">
        <f t="shared" si="0"/>
        <v>4206035.32</v>
      </c>
      <c r="H10" s="37">
        <f>G10/F10</f>
        <v>0.71806115555658756</v>
      </c>
      <c r="I10" s="50"/>
    </row>
    <row r="11" spans="1:9" s="13" customFormat="1" ht="15.6">
      <c r="A11" s="12" t="s">
        <v>13</v>
      </c>
      <c r="B11" s="14"/>
      <c r="C11" s="14"/>
      <c r="D11" s="70" t="s">
        <v>39</v>
      </c>
      <c r="E11" s="71"/>
      <c r="F11" s="61">
        <f>F12+F19+F20+F21+F22+F23+F24</f>
        <v>5857489</v>
      </c>
      <c r="G11" s="61">
        <f>G12+G19+G20+G21+G22+G23+G24</f>
        <v>4206035.32</v>
      </c>
      <c r="H11" s="37">
        <f t="shared" ref="H11:H76" si="1">G11/F11</f>
        <v>0.71806115555658756</v>
      </c>
    </row>
    <row r="12" spans="1:9" s="13" customFormat="1" ht="31.2">
      <c r="A12" s="15" t="s">
        <v>47</v>
      </c>
      <c r="B12" s="15" t="s">
        <v>48</v>
      </c>
      <c r="C12" s="15" t="s">
        <v>15</v>
      </c>
      <c r="D12" s="40" t="s">
        <v>16</v>
      </c>
      <c r="E12" s="18" t="s">
        <v>24</v>
      </c>
      <c r="F12" s="62">
        <f>SUM(F13:F18)</f>
        <v>2670690</v>
      </c>
      <c r="G12" s="62">
        <f>SUM(G13:G18)</f>
        <v>2491196.3199999998</v>
      </c>
      <c r="H12" s="38">
        <f t="shared" si="1"/>
        <v>0.93279127116962279</v>
      </c>
    </row>
    <row r="13" spans="1:9" s="13" customFormat="1" ht="93.6">
      <c r="A13" s="15"/>
      <c r="B13" s="15"/>
      <c r="C13" s="15"/>
      <c r="D13" s="41"/>
      <c r="E13" s="25" t="s">
        <v>78</v>
      </c>
      <c r="F13" s="62">
        <v>334805</v>
      </c>
      <c r="G13" s="62">
        <v>334804.25</v>
      </c>
      <c r="H13" s="38">
        <f t="shared" si="1"/>
        <v>0.99999775989008532</v>
      </c>
    </row>
    <row r="14" spans="1:9" s="13" customFormat="1" ht="78">
      <c r="A14" s="15"/>
      <c r="B14" s="15"/>
      <c r="C14" s="15"/>
      <c r="D14" s="41"/>
      <c r="E14" s="25" t="s">
        <v>79</v>
      </c>
      <c r="F14" s="62">
        <f>1400000+700000</f>
        <v>2100000</v>
      </c>
      <c r="G14" s="62">
        <v>2099833</v>
      </c>
      <c r="H14" s="38">
        <f t="shared" si="1"/>
        <v>0.99992047619047619</v>
      </c>
    </row>
    <row r="15" spans="1:9" s="13" customFormat="1" ht="109.2">
      <c r="A15" s="15"/>
      <c r="B15" s="15"/>
      <c r="C15" s="15"/>
      <c r="D15" s="41"/>
      <c r="E15" s="46" t="s">
        <v>135</v>
      </c>
      <c r="F15" s="62">
        <v>66000</v>
      </c>
      <c r="G15" s="62">
        <v>56559.07</v>
      </c>
      <c r="H15" s="38">
        <f t="shared" si="1"/>
        <v>0.85695560606060606</v>
      </c>
    </row>
    <row r="16" spans="1:9" s="13" customFormat="1" ht="156">
      <c r="A16" s="15"/>
      <c r="B16" s="15"/>
      <c r="C16" s="15"/>
      <c r="D16" s="41"/>
      <c r="E16" s="51" t="s">
        <v>171</v>
      </c>
      <c r="F16" s="62">
        <v>47706</v>
      </c>
      <c r="G16" s="62">
        <v>0</v>
      </c>
      <c r="H16" s="38">
        <f t="shared" si="1"/>
        <v>0</v>
      </c>
    </row>
    <row r="17" spans="1:8" s="13" customFormat="1" ht="156">
      <c r="A17" s="15"/>
      <c r="B17" s="15"/>
      <c r="C17" s="15"/>
      <c r="D17" s="41"/>
      <c r="E17" s="47" t="s">
        <v>212</v>
      </c>
      <c r="F17" s="62">
        <v>47706</v>
      </c>
      <c r="G17" s="62">
        <v>0</v>
      </c>
      <c r="H17" s="38">
        <f t="shared" si="1"/>
        <v>0</v>
      </c>
    </row>
    <row r="18" spans="1:8" s="13" customFormat="1" ht="62.4">
      <c r="A18" s="15"/>
      <c r="B18" s="15"/>
      <c r="C18" s="15"/>
      <c r="D18" s="41"/>
      <c r="E18" s="52" t="s">
        <v>172</v>
      </c>
      <c r="F18" s="62">
        <v>74473</v>
      </c>
      <c r="G18" s="62">
        <v>0</v>
      </c>
      <c r="H18" s="38">
        <f t="shared" si="1"/>
        <v>0</v>
      </c>
    </row>
    <row r="19" spans="1:8" s="13" customFormat="1" ht="46.8">
      <c r="A19" s="15" t="s">
        <v>136</v>
      </c>
      <c r="B19" s="15" t="s">
        <v>137</v>
      </c>
      <c r="C19" s="15" t="s">
        <v>138</v>
      </c>
      <c r="D19" s="25" t="s">
        <v>139</v>
      </c>
      <c r="E19" s="46" t="s">
        <v>14</v>
      </c>
      <c r="F19" s="62">
        <f>1000000-36000</f>
        <v>964000</v>
      </c>
      <c r="G19" s="62">
        <v>142390</v>
      </c>
      <c r="H19" s="38">
        <f t="shared" si="1"/>
        <v>0.14770746887966804</v>
      </c>
    </row>
    <row r="20" spans="1:8" s="13" customFormat="1" ht="62.4">
      <c r="A20" s="15" t="s">
        <v>140</v>
      </c>
      <c r="B20" s="15" t="s">
        <v>141</v>
      </c>
      <c r="C20" s="22" t="s">
        <v>142</v>
      </c>
      <c r="D20" s="17" t="s">
        <v>143</v>
      </c>
      <c r="E20" s="46" t="s">
        <v>144</v>
      </c>
      <c r="F20" s="62">
        <f>260000+400000</f>
        <v>660000</v>
      </c>
      <c r="G20" s="62">
        <v>259999</v>
      </c>
      <c r="H20" s="38">
        <f t="shared" si="1"/>
        <v>0.39393787878787878</v>
      </c>
    </row>
    <row r="21" spans="1:8" s="13" customFormat="1" ht="31.2">
      <c r="A21" s="15" t="s">
        <v>173</v>
      </c>
      <c r="B21" s="15" t="s">
        <v>174</v>
      </c>
      <c r="C21" s="22" t="s">
        <v>175</v>
      </c>
      <c r="D21" s="17" t="s">
        <v>176</v>
      </c>
      <c r="E21" s="23" t="s">
        <v>14</v>
      </c>
      <c r="F21" s="63">
        <v>58200</v>
      </c>
      <c r="G21" s="63"/>
      <c r="H21" s="38">
        <f t="shared" si="1"/>
        <v>0</v>
      </c>
    </row>
    <row r="22" spans="1:8" s="13" customFormat="1" ht="31.2">
      <c r="A22" s="15" t="s">
        <v>145</v>
      </c>
      <c r="B22" s="15" t="s">
        <v>146</v>
      </c>
      <c r="C22" s="16" t="s">
        <v>64</v>
      </c>
      <c r="D22" s="17" t="s">
        <v>147</v>
      </c>
      <c r="E22" s="46" t="s">
        <v>14</v>
      </c>
      <c r="F22" s="62">
        <v>37299</v>
      </c>
      <c r="G22" s="62">
        <v>35950</v>
      </c>
      <c r="H22" s="38">
        <f t="shared" si="1"/>
        <v>0.96383281053111347</v>
      </c>
    </row>
    <row r="23" spans="1:8" s="13" customFormat="1" ht="15.6">
      <c r="A23" s="15" t="s">
        <v>177</v>
      </c>
      <c r="B23" s="15" t="s">
        <v>178</v>
      </c>
      <c r="C23" s="22" t="s">
        <v>64</v>
      </c>
      <c r="D23" s="17" t="s">
        <v>179</v>
      </c>
      <c r="E23" s="46" t="s">
        <v>14</v>
      </c>
      <c r="F23" s="62">
        <v>190800</v>
      </c>
      <c r="G23" s="62">
        <v>0</v>
      </c>
      <c r="H23" s="38">
        <f t="shared" si="1"/>
        <v>0</v>
      </c>
    </row>
    <row r="24" spans="1:8" s="13" customFormat="1" ht="109.2">
      <c r="A24" s="15" t="s">
        <v>72</v>
      </c>
      <c r="B24" s="15" t="s">
        <v>73</v>
      </c>
      <c r="C24" s="22" t="s">
        <v>64</v>
      </c>
      <c r="D24" s="17" t="s">
        <v>74</v>
      </c>
      <c r="E24" s="27" t="s">
        <v>110</v>
      </c>
      <c r="F24" s="62">
        <v>1276500</v>
      </c>
      <c r="G24" s="62">
        <v>1276500</v>
      </c>
      <c r="H24" s="38">
        <f t="shared" si="1"/>
        <v>1</v>
      </c>
    </row>
    <row r="25" spans="1:8" s="13" customFormat="1" ht="15.6">
      <c r="A25" s="12" t="s">
        <v>5</v>
      </c>
      <c r="B25" s="12"/>
      <c r="C25" s="12"/>
      <c r="D25" s="70" t="s">
        <v>80</v>
      </c>
      <c r="E25" s="71"/>
      <c r="F25" s="61">
        <f t="shared" ref="F25:G25" si="2">F26</f>
        <v>23755000.359999999</v>
      </c>
      <c r="G25" s="61">
        <f t="shared" si="2"/>
        <v>2777105.09</v>
      </c>
      <c r="H25" s="37">
        <f t="shared" si="1"/>
        <v>0.11690612704330854</v>
      </c>
    </row>
    <row r="26" spans="1:8" s="13" customFormat="1" ht="15.6">
      <c r="A26" s="12" t="s">
        <v>6</v>
      </c>
      <c r="B26" s="14"/>
      <c r="C26" s="14"/>
      <c r="D26" s="70" t="s">
        <v>80</v>
      </c>
      <c r="E26" s="71"/>
      <c r="F26" s="61">
        <f>F27+F33+F38+F39+F40+F41</f>
        <v>23755000.359999999</v>
      </c>
      <c r="G26" s="61">
        <f>G27+G33+G38+G39+G40+G41</f>
        <v>2777105.09</v>
      </c>
      <c r="H26" s="37">
        <f t="shared" si="1"/>
        <v>0.11690612704330854</v>
      </c>
    </row>
    <row r="27" spans="1:8" s="13" customFormat="1" ht="15.6">
      <c r="A27" s="15" t="s">
        <v>66</v>
      </c>
      <c r="B27" s="15" t="s">
        <v>67</v>
      </c>
      <c r="C27" s="15" t="s">
        <v>68</v>
      </c>
      <c r="D27" s="40" t="s">
        <v>69</v>
      </c>
      <c r="E27" s="18" t="s">
        <v>24</v>
      </c>
      <c r="F27" s="62">
        <f>SUM(F28:F32)</f>
        <v>3908713</v>
      </c>
      <c r="G27" s="62">
        <f>SUM(G28:G32)</f>
        <v>287282.61</v>
      </c>
      <c r="H27" s="38">
        <f t="shared" si="1"/>
        <v>7.3498005609519038E-2</v>
      </c>
    </row>
    <row r="28" spans="1:8" s="13" customFormat="1" ht="62.4">
      <c r="A28" s="15"/>
      <c r="B28" s="15"/>
      <c r="C28" s="22"/>
      <c r="D28" s="42"/>
      <c r="E28" s="43" t="s">
        <v>81</v>
      </c>
      <c r="F28" s="63">
        <v>1071430</v>
      </c>
      <c r="G28" s="63"/>
      <c r="H28" s="38">
        <f t="shared" si="1"/>
        <v>0</v>
      </c>
    </row>
    <row r="29" spans="1:8" s="13" customFormat="1" ht="62.4">
      <c r="A29" s="15"/>
      <c r="B29" s="15"/>
      <c r="C29" s="22"/>
      <c r="D29" s="42"/>
      <c r="E29" s="43" t="s">
        <v>82</v>
      </c>
      <c r="F29" s="63">
        <v>1100000</v>
      </c>
      <c r="G29" s="63"/>
      <c r="H29" s="38">
        <f t="shared" si="1"/>
        <v>0</v>
      </c>
    </row>
    <row r="30" spans="1:8" s="13" customFormat="1" ht="78">
      <c r="A30" s="15"/>
      <c r="B30" s="15"/>
      <c r="C30" s="22"/>
      <c r="D30" s="42"/>
      <c r="E30" s="31" t="s">
        <v>83</v>
      </c>
      <c r="F30" s="63">
        <v>200000</v>
      </c>
      <c r="G30" s="63"/>
      <c r="H30" s="38">
        <f t="shared" si="1"/>
        <v>0</v>
      </c>
    </row>
    <row r="31" spans="1:8" s="13" customFormat="1" ht="62.4">
      <c r="A31" s="15"/>
      <c r="B31" s="15"/>
      <c r="C31" s="22"/>
      <c r="D31" s="42"/>
      <c r="E31" s="43" t="s">
        <v>84</v>
      </c>
      <c r="F31" s="63">
        <v>1250000</v>
      </c>
      <c r="G31" s="63"/>
      <c r="H31" s="38">
        <f t="shared" si="1"/>
        <v>0</v>
      </c>
    </row>
    <row r="32" spans="1:8" s="13" customFormat="1" ht="78">
      <c r="A32" s="15"/>
      <c r="B32" s="15"/>
      <c r="C32" s="22"/>
      <c r="D32" s="42"/>
      <c r="E32" s="43" t="s">
        <v>148</v>
      </c>
      <c r="F32" s="63">
        <v>287283</v>
      </c>
      <c r="G32" s="63">
        <v>287282.61</v>
      </c>
      <c r="H32" s="38">
        <f t="shared" si="1"/>
        <v>0.99999864245360837</v>
      </c>
    </row>
    <row r="33" spans="1:8" s="13" customFormat="1" ht="46.8">
      <c r="A33" s="15" t="s">
        <v>21</v>
      </c>
      <c r="B33" s="15" t="s">
        <v>22</v>
      </c>
      <c r="C33" s="15" t="s">
        <v>23</v>
      </c>
      <c r="D33" s="40" t="s">
        <v>50</v>
      </c>
      <c r="E33" s="18" t="s">
        <v>24</v>
      </c>
      <c r="F33" s="62">
        <f>SUM(F34:F37)</f>
        <v>3974770</v>
      </c>
      <c r="G33" s="62">
        <f>SUM(G34:G37)</f>
        <v>1800000</v>
      </c>
      <c r="H33" s="38">
        <f t="shared" si="1"/>
        <v>0.45285639169058839</v>
      </c>
    </row>
    <row r="34" spans="1:8" s="13" customFormat="1" ht="46.8">
      <c r="A34" s="15"/>
      <c r="B34" s="15"/>
      <c r="C34" s="22"/>
      <c r="D34" s="42"/>
      <c r="E34" s="23" t="s">
        <v>85</v>
      </c>
      <c r="F34" s="63">
        <v>1173330</v>
      </c>
      <c r="G34" s="63">
        <v>1020000</v>
      </c>
      <c r="H34" s="38">
        <f t="shared" si="1"/>
        <v>0.86932065147912352</v>
      </c>
    </row>
    <row r="35" spans="1:8" s="13" customFormat="1" ht="46.8">
      <c r="A35" s="15"/>
      <c r="B35" s="15"/>
      <c r="C35" s="22"/>
      <c r="D35" s="42"/>
      <c r="E35" s="23" t="s">
        <v>86</v>
      </c>
      <c r="F35" s="63">
        <v>888180</v>
      </c>
      <c r="G35" s="63">
        <v>780000</v>
      </c>
      <c r="H35" s="38">
        <f t="shared" si="1"/>
        <v>0.87820036479092078</v>
      </c>
    </row>
    <row r="36" spans="1:8" s="13" customFormat="1" ht="62.4">
      <c r="A36" s="15"/>
      <c r="B36" s="15"/>
      <c r="C36" s="22"/>
      <c r="D36" s="42"/>
      <c r="E36" s="23" t="s">
        <v>87</v>
      </c>
      <c r="F36" s="63">
        <v>193260</v>
      </c>
      <c r="G36" s="63"/>
      <c r="H36" s="38">
        <f t="shared" si="1"/>
        <v>0</v>
      </c>
    </row>
    <row r="37" spans="1:8" s="13" customFormat="1" ht="124.8">
      <c r="A37" s="15"/>
      <c r="B37" s="15"/>
      <c r="C37" s="22"/>
      <c r="D37" s="42"/>
      <c r="E37" s="23" t="s">
        <v>180</v>
      </c>
      <c r="F37" s="63">
        <v>1720000</v>
      </c>
      <c r="G37" s="63"/>
      <c r="H37" s="38">
        <f t="shared" si="1"/>
        <v>0</v>
      </c>
    </row>
    <row r="38" spans="1:8" s="13" customFormat="1" ht="78">
      <c r="A38" s="15" t="s">
        <v>217</v>
      </c>
      <c r="B38" s="15" t="s">
        <v>218</v>
      </c>
      <c r="C38" s="22" t="s">
        <v>151</v>
      </c>
      <c r="D38" s="42" t="s">
        <v>219</v>
      </c>
      <c r="E38" s="23" t="s">
        <v>14</v>
      </c>
      <c r="F38" s="63">
        <v>2361528</v>
      </c>
      <c r="G38" s="63"/>
      <c r="H38" s="38">
        <f t="shared" si="1"/>
        <v>0</v>
      </c>
    </row>
    <row r="39" spans="1:8" s="13" customFormat="1" ht="109.2">
      <c r="A39" s="15" t="s">
        <v>149</v>
      </c>
      <c r="B39" s="15" t="s">
        <v>150</v>
      </c>
      <c r="C39" s="15" t="s">
        <v>151</v>
      </c>
      <c r="D39" s="17" t="s">
        <v>152</v>
      </c>
      <c r="E39" s="23" t="s">
        <v>14</v>
      </c>
      <c r="F39" s="63">
        <v>656964</v>
      </c>
      <c r="G39" s="63"/>
      <c r="H39" s="38">
        <f t="shared" si="1"/>
        <v>0</v>
      </c>
    </row>
    <row r="40" spans="1:8" s="13" customFormat="1" ht="31.2">
      <c r="A40" s="15" t="s">
        <v>173</v>
      </c>
      <c r="B40" s="15" t="s">
        <v>174</v>
      </c>
      <c r="C40" s="22" t="s">
        <v>175</v>
      </c>
      <c r="D40" s="17" t="s">
        <v>176</v>
      </c>
      <c r="E40" s="23" t="s">
        <v>14</v>
      </c>
      <c r="F40" s="63">
        <v>205000</v>
      </c>
      <c r="G40" s="63"/>
      <c r="H40" s="38">
        <f t="shared" si="1"/>
        <v>0</v>
      </c>
    </row>
    <row r="41" spans="1:8" s="13" customFormat="1" ht="31.2">
      <c r="A41" s="15" t="s">
        <v>70</v>
      </c>
      <c r="B41" s="15" t="s">
        <v>41</v>
      </c>
      <c r="C41" s="22" t="s">
        <v>46</v>
      </c>
      <c r="D41" s="42" t="s">
        <v>42</v>
      </c>
      <c r="E41" s="18" t="s">
        <v>24</v>
      </c>
      <c r="F41" s="62">
        <f>SUM(F42:F45)</f>
        <v>12648025.359999999</v>
      </c>
      <c r="G41" s="62">
        <f>SUM(G42:G45)</f>
        <v>689822.48</v>
      </c>
      <c r="H41" s="38">
        <f t="shared" si="1"/>
        <v>5.453993491992809E-2</v>
      </c>
    </row>
    <row r="42" spans="1:8" s="13" customFormat="1" ht="93.6">
      <c r="A42" s="15"/>
      <c r="B42" s="15"/>
      <c r="C42" s="22"/>
      <c r="D42" s="42"/>
      <c r="E42" s="23" t="s">
        <v>181</v>
      </c>
      <c r="F42" s="63">
        <f>1400000+383680+1822017</f>
        <v>3605697</v>
      </c>
      <c r="G42" s="63">
        <v>383678.33</v>
      </c>
      <c r="H42" s="38">
        <f t="shared" si="1"/>
        <v>0.10640892177018757</v>
      </c>
    </row>
    <row r="43" spans="1:8" s="13" customFormat="1" ht="78">
      <c r="A43" s="15"/>
      <c r="B43" s="15"/>
      <c r="C43" s="22"/>
      <c r="D43" s="42"/>
      <c r="E43" s="23" t="s">
        <v>182</v>
      </c>
      <c r="F43" s="63">
        <f>900000+306196+667364</f>
        <v>1873560</v>
      </c>
      <c r="G43" s="63">
        <v>306144.15000000002</v>
      </c>
      <c r="H43" s="38">
        <f t="shared" si="1"/>
        <v>0.16340237302248128</v>
      </c>
    </row>
    <row r="44" spans="1:8" s="13" customFormat="1" ht="78">
      <c r="A44" s="15"/>
      <c r="B44" s="15"/>
      <c r="C44" s="22"/>
      <c r="D44" s="42"/>
      <c r="E44" s="23" t="s">
        <v>183</v>
      </c>
      <c r="F44" s="63">
        <f>168768.36+5000000</f>
        <v>5168768.3600000003</v>
      </c>
      <c r="G44" s="63"/>
      <c r="H44" s="38">
        <f t="shared" si="1"/>
        <v>0</v>
      </c>
    </row>
    <row r="45" spans="1:8" s="13" customFormat="1" ht="93.6">
      <c r="A45" s="15"/>
      <c r="B45" s="15"/>
      <c r="C45" s="22"/>
      <c r="D45" s="17"/>
      <c r="E45" s="23" t="s">
        <v>184</v>
      </c>
      <c r="F45" s="63">
        <v>2000000</v>
      </c>
      <c r="G45" s="63"/>
      <c r="H45" s="38">
        <f t="shared" si="1"/>
        <v>0</v>
      </c>
    </row>
    <row r="46" spans="1:8" s="13" customFormat="1" ht="15.6">
      <c r="A46" s="12" t="s">
        <v>185</v>
      </c>
      <c r="B46" s="12"/>
      <c r="C46" s="12"/>
      <c r="D46" s="70" t="s">
        <v>186</v>
      </c>
      <c r="E46" s="71"/>
      <c r="F46" s="61">
        <f t="shared" ref="F46:G46" si="3">F47</f>
        <v>6603847</v>
      </c>
      <c r="G46" s="61">
        <f t="shared" si="3"/>
        <v>6600229.0200000005</v>
      </c>
      <c r="H46" s="37">
        <f t="shared" si="1"/>
        <v>0.99945214054777476</v>
      </c>
    </row>
    <row r="47" spans="1:8" s="13" customFormat="1" ht="15.6">
      <c r="A47" s="12" t="s">
        <v>187</v>
      </c>
      <c r="B47" s="14"/>
      <c r="C47" s="14"/>
      <c r="D47" s="70" t="s">
        <v>186</v>
      </c>
      <c r="E47" s="71"/>
      <c r="F47" s="61">
        <f>F48+F49</f>
        <v>6603847</v>
      </c>
      <c r="G47" s="61">
        <f>G48+G49</f>
        <v>6600229.0200000005</v>
      </c>
      <c r="H47" s="37">
        <f t="shared" si="1"/>
        <v>0.99945214054777476</v>
      </c>
    </row>
    <row r="48" spans="1:8" s="13" customFormat="1" ht="147.6" customHeight="1">
      <c r="A48" s="15" t="s">
        <v>188</v>
      </c>
      <c r="B48" s="15" t="s">
        <v>189</v>
      </c>
      <c r="C48" s="16">
        <v>1060</v>
      </c>
      <c r="D48" s="74" t="s">
        <v>190</v>
      </c>
      <c r="E48" s="75"/>
      <c r="F48" s="63">
        <v>1859158</v>
      </c>
      <c r="G48" s="63">
        <v>1859157.58</v>
      </c>
      <c r="H48" s="38">
        <f t="shared" si="1"/>
        <v>0.99999977409128227</v>
      </c>
    </row>
    <row r="49" spans="1:10" s="13" customFormat="1" ht="111.6" customHeight="1">
      <c r="A49" s="15" t="s">
        <v>191</v>
      </c>
      <c r="B49" s="15" t="s">
        <v>192</v>
      </c>
      <c r="C49" s="16">
        <v>1060</v>
      </c>
      <c r="D49" s="74" t="s">
        <v>193</v>
      </c>
      <c r="E49" s="75"/>
      <c r="F49" s="63">
        <v>4744689</v>
      </c>
      <c r="G49" s="63">
        <v>4741071.4400000004</v>
      </c>
      <c r="H49" s="38">
        <f t="shared" si="1"/>
        <v>0.99923755592832331</v>
      </c>
    </row>
    <row r="50" spans="1:10" s="13" customFormat="1" ht="15.6">
      <c r="A50" s="12" t="s">
        <v>26</v>
      </c>
      <c r="B50" s="12"/>
      <c r="C50" s="12"/>
      <c r="D50" s="70" t="s">
        <v>88</v>
      </c>
      <c r="E50" s="71"/>
      <c r="F50" s="61">
        <f t="shared" ref="F50:G50" si="4">F51</f>
        <v>11869937</v>
      </c>
      <c r="G50" s="61">
        <f t="shared" si="4"/>
        <v>3291798.64</v>
      </c>
      <c r="H50" s="37">
        <f t="shared" si="1"/>
        <v>0.27732233456672939</v>
      </c>
      <c r="J50" s="28"/>
    </row>
    <row r="51" spans="1:10" s="13" customFormat="1" ht="15.6">
      <c r="A51" s="12" t="s">
        <v>27</v>
      </c>
      <c r="B51" s="14"/>
      <c r="C51" s="14"/>
      <c r="D51" s="70" t="s">
        <v>88</v>
      </c>
      <c r="E51" s="71"/>
      <c r="F51" s="61">
        <f>F52+F53+F66+F67+F70+F71+F73+F77+F78</f>
        <v>11869937</v>
      </c>
      <c r="G51" s="61">
        <f>G52+G53+G66+G67+G70+G71+G73+G77+G78</f>
        <v>3291798.64</v>
      </c>
      <c r="H51" s="37">
        <f t="shared" si="1"/>
        <v>0.27732233456672939</v>
      </c>
    </row>
    <row r="52" spans="1:10" s="13" customFormat="1" ht="46.8">
      <c r="A52" s="15" t="s">
        <v>153</v>
      </c>
      <c r="B52" s="15" t="s">
        <v>154</v>
      </c>
      <c r="C52" s="22" t="s">
        <v>155</v>
      </c>
      <c r="D52" s="42" t="s">
        <v>156</v>
      </c>
      <c r="E52" s="18" t="s">
        <v>14</v>
      </c>
      <c r="F52" s="63">
        <v>36000</v>
      </c>
      <c r="G52" s="63"/>
      <c r="H52" s="38">
        <f t="shared" si="1"/>
        <v>0</v>
      </c>
    </row>
    <row r="53" spans="1:10" s="13" customFormat="1" ht="31.2">
      <c r="A53" s="15" t="s">
        <v>89</v>
      </c>
      <c r="B53" s="15" t="s">
        <v>51</v>
      </c>
      <c r="C53" s="22" t="s">
        <v>25</v>
      </c>
      <c r="D53" s="42" t="s">
        <v>28</v>
      </c>
      <c r="E53" s="18" t="s">
        <v>24</v>
      </c>
      <c r="F53" s="63">
        <f>F54+F58+F59+F60+F61+F62+F63+F64+F65</f>
        <v>4231826</v>
      </c>
      <c r="G53" s="63">
        <f>G54+G58+G59+G60+G61+G62+G63+G64+G65</f>
        <v>1890251.1700000002</v>
      </c>
      <c r="H53" s="38">
        <f t="shared" si="1"/>
        <v>0.44667506887097913</v>
      </c>
      <c r="J53" s="28"/>
    </row>
    <row r="54" spans="1:10" s="13" customFormat="1" ht="78">
      <c r="A54" s="15"/>
      <c r="B54" s="15"/>
      <c r="C54" s="22"/>
      <c r="D54" s="42"/>
      <c r="E54" s="17" t="s">
        <v>90</v>
      </c>
      <c r="F54" s="62">
        <f t="shared" ref="F54:G54" si="5">F55+F56+F57</f>
        <v>3246524</v>
      </c>
      <c r="G54" s="62">
        <f t="shared" si="5"/>
        <v>1075977.1000000001</v>
      </c>
      <c r="H54" s="38">
        <f t="shared" si="1"/>
        <v>0.33142434801036436</v>
      </c>
    </row>
    <row r="55" spans="1:10" s="13" customFormat="1" ht="62.4">
      <c r="A55" s="15"/>
      <c r="B55" s="15"/>
      <c r="C55" s="22"/>
      <c r="D55" s="42"/>
      <c r="E55" s="21" t="s">
        <v>194</v>
      </c>
      <c r="F55" s="64">
        <f>973214-32514.68</f>
        <v>940699.32</v>
      </c>
      <c r="G55" s="64">
        <f>940547.46-23257.83</f>
        <v>917289.63</v>
      </c>
      <c r="H55" s="39">
        <f t="shared" si="1"/>
        <v>0.97511458815554375</v>
      </c>
    </row>
    <row r="56" spans="1:10" s="13" customFormat="1" ht="62.4">
      <c r="A56" s="15"/>
      <c r="B56" s="15"/>
      <c r="C56" s="22"/>
      <c r="D56" s="42"/>
      <c r="E56" s="21" t="s">
        <v>91</v>
      </c>
      <c r="F56" s="64">
        <f>1878462+277921.81</f>
        <v>2156383.81</v>
      </c>
      <c r="G56" s="64">
        <v>9246.6</v>
      </c>
      <c r="H56" s="39">
        <f t="shared" si="1"/>
        <v>4.2880121605068074E-3</v>
      </c>
    </row>
    <row r="57" spans="1:10" s="13" customFormat="1" ht="62.4">
      <c r="A57" s="15"/>
      <c r="B57" s="15"/>
      <c r="C57" s="22"/>
      <c r="D57" s="42"/>
      <c r="E57" s="21" t="s">
        <v>92</v>
      </c>
      <c r="F57" s="64">
        <f>192509-43068.13</f>
        <v>149440.87</v>
      </c>
      <c r="G57" s="64">
        <v>149440.87</v>
      </c>
      <c r="H57" s="39">
        <f t="shared" si="1"/>
        <v>1</v>
      </c>
    </row>
    <row r="58" spans="1:10" s="13" customFormat="1" ht="156">
      <c r="A58" s="15"/>
      <c r="B58" s="15"/>
      <c r="C58" s="22"/>
      <c r="D58" s="42"/>
      <c r="E58" s="17" t="s">
        <v>111</v>
      </c>
      <c r="F58" s="65">
        <f>158368.14+0.86</f>
        <v>158369</v>
      </c>
      <c r="G58" s="65"/>
      <c r="H58" s="38">
        <f t="shared" si="1"/>
        <v>0</v>
      </c>
    </row>
    <row r="59" spans="1:10" s="13" customFormat="1" ht="156">
      <c r="A59" s="15"/>
      <c r="B59" s="15"/>
      <c r="C59" s="22"/>
      <c r="D59" s="42"/>
      <c r="E59" s="17" t="s">
        <v>112</v>
      </c>
      <c r="F59" s="65">
        <f>166805.43+0.57</f>
        <v>166806</v>
      </c>
      <c r="G59" s="65">
        <v>166805.43</v>
      </c>
      <c r="H59" s="38">
        <f t="shared" si="1"/>
        <v>0.99999658285673176</v>
      </c>
    </row>
    <row r="60" spans="1:10" s="13" customFormat="1" ht="62.4">
      <c r="A60" s="15"/>
      <c r="B60" s="15"/>
      <c r="C60" s="22"/>
      <c r="D60" s="42"/>
      <c r="E60" s="30" t="s">
        <v>113</v>
      </c>
      <c r="F60" s="65">
        <v>182708</v>
      </c>
      <c r="G60" s="65">
        <v>182707.09</v>
      </c>
      <c r="H60" s="38">
        <f t="shared" si="1"/>
        <v>0.99999501937517787</v>
      </c>
    </row>
    <row r="61" spans="1:10" s="13" customFormat="1" ht="62.4">
      <c r="A61" s="15"/>
      <c r="B61" s="15"/>
      <c r="C61" s="22"/>
      <c r="D61" s="42"/>
      <c r="E61" s="17" t="s">
        <v>114</v>
      </c>
      <c r="F61" s="65">
        <v>13964</v>
      </c>
      <c r="G61" s="65">
        <v>7600.27</v>
      </c>
      <c r="H61" s="38">
        <f t="shared" si="1"/>
        <v>0.54427599541678606</v>
      </c>
    </row>
    <row r="62" spans="1:10" s="13" customFormat="1" ht="78">
      <c r="A62" s="15"/>
      <c r="B62" s="15"/>
      <c r="C62" s="22"/>
      <c r="D62" s="42"/>
      <c r="E62" s="30" t="s">
        <v>115</v>
      </c>
      <c r="F62" s="65">
        <v>151219</v>
      </c>
      <c r="G62" s="65">
        <v>151218.07</v>
      </c>
      <c r="H62" s="38">
        <f t="shared" si="1"/>
        <v>0.99999384997916929</v>
      </c>
    </row>
    <row r="63" spans="1:10" s="13" customFormat="1" ht="78">
      <c r="A63" s="15"/>
      <c r="B63" s="15"/>
      <c r="C63" s="22"/>
      <c r="D63" s="42"/>
      <c r="E63" s="30" t="s">
        <v>116</v>
      </c>
      <c r="F63" s="65">
        <v>151219</v>
      </c>
      <c r="G63" s="65">
        <v>151218.07</v>
      </c>
      <c r="H63" s="38">
        <f t="shared" si="1"/>
        <v>0.99999384997916929</v>
      </c>
    </row>
    <row r="64" spans="1:10" s="13" customFormat="1" ht="62.4">
      <c r="A64" s="15"/>
      <c r="B64" s="15"/>
      <c r="C64" s="22"/>
      <c r="D64" s="42"/>
      <c r="E64" s="17" t="s">
        <v>117</v>
      </c>
      <c r="F64" s="65">
        <v>13964</v>
      </c>
      <c r="G64" s="65">
        <v>7672.2</v>
      </c>
      <c r="H64" s="38">
        <f t="shared" si="1"/>
        <v>0.54942709825264968</v>
      </c>
      <c r="I64" s="50"/>
    </row>
    <row r="65" spans="1:10" s="13" customFormat="1" ht="62.4">
      <c r="A65" s="15"/>
      <c r="B65" s="15"/>
      <c r="C65" s="22"/>
      <c r="D65" s="42"/>
      <c r="E65" s="30" t="s">
        <v>118</v>
      </c>
      <c r="F65" s="65">
        <v>147053</v>
      </c>
      <c r="G65" s="65">
        <v>147052.94</v>
      </c>
      <c r="H65" s="38">
        <f t="shared" si="1"/>
        <v>0.99999959198384258</v>
      </c>
    </row>
    <row r="66" spans="1:10" s="13" customFormat="1" ht="31.2">
      <c r="A66" s="15" t="s">
        <v>157</v>
      </c>
      <c r="B66" s="15" t="s">
        <v>53</v>
      </c>
      <c r="C66" s="22" t="s">
        <v>18</v>
      </c>
      <c r="D66" s="42" t="s">
        <v>29</v>
      </c>
      <c r="E66" s="30" t="s">
        <v>158</v>
      </c>
      <c r="F66" s="65">
        <v>1244281</v>
      </c>
      <c r="G66" s="65">
        <v>1244281</v>
      </c>
      <c r="H66" s="38">
        <f t="shared" si="1"/>
        <v>1</v>
      </c>
    </row>
    <row r="67" spans="1:10" s="13" customFormat="1" ht="31.2">
      <c r="A67" s="15" t="s">
        <v>30</v>
      </c>
      <c r="B67" s="15" t="s">
        <v>31</v>
      </c>
      <c r="C67" s="22" t="s">
        <v>18</v>
      </c>
      <c r="D67" s="42" t="s">
        <v>32</v>
      </c>
      <c r="E67" s="18" t="s">
        <v>24</v>
      </c>
      <c r="F67" s="63">
        <f>F68</f>
        <v>1980702</v>
      </c>
      <c r="G67" s="63">
        <f>G68</f>
        <v>35060.639999999999</v>
      </c>
      <c r="H67" s="38">
        <f t="shared" si="1"/>
        <v>1.7701118088435313E-2</v>
      </c>
    </row>
    <row r="68" spans="1:10" s="13" customFormat="1" ht="78">
      <c r="A68" s="15"/>
      <c r="B68" s="15"/>
      <c r="C68" s="22"/>
      <c r="D68" s="42"/>
      <c r="E68" s="17" t="s">
        <v>195</v>
      </c>
      <c r="F68" s="63">
        <f>F69</f>
        <v>1980702</v>
      </c>
      <c r="G68" s="63">
        <f>G69</f>
        <v>35060.639999999999</v>
      </c>
      <c r="H68" s="38">
        <f t="shared" si="1"/>
        <v>1.7701118088435313E-2</v>
      </c>
    </row>
    <row r="69" spans="1:10" s="13" customFormat="1" ht="62.4">
      <c r="A69" s="19"/>
      <c r="B69" s="19"/>
      <c r="C69" s="26"/>
      <c r="D69" s="44"/>
      <c r="E69" s="21" t="s">
        <v>93</v>
      </c>
      <c r="F69" s="66">
        <f>495000+1485702</f>
        <v>1980702</v>
      </c>
      <c r="G69" s="66">
        <v>35060.639999999999</v>
      </c>
      <c r="H69" s="39">
        <f t="shared" si="1"/>
        <v>1.7701118088435313E-2</v>
      </c>
    </row>
    <row r="70" spans="1:10" s="13" customFormat="1" ht="124.8">
      <c r="A70" s="15" t="s">
        <v>196</v>
      </c>
      <c r="B70" s="15" t="s">
        <v>197</v>
      </c>
      <c r="C70" s="16" t="s">
        <v>18</v>
      </c>
      <c r="D70" s="17" t="s">
        <v>198</v>
      </c>
      <c r="E70" s="23" t="s">
        <v>213</v>
      </c>
      <c r="F70" s="63">
        <v>1200000</v>
      </c>
      <c r="G70" s="63"/>
      <c r="H70" s="38">
        <f t="shared" si="1"/>
        <v>0</v>
      </c>
    </row>
    <row r="71" spans="1:10" s="13" customFormat="1" ht="15.6">
      <c r="A71" s="15" t="s">
        <v>33</v>
      </c>
      <c r="B71" s="15" t="s">
        <v>17</v>
      </c>
      <c r="C71" s="22" t="s">
        <v>18</v>
      </c>
      <c r="D71" s="42" t="s">
        <v>19</v>
      </c>
      <c r="E71" s="18" t="s">
        <v>24</v>
      </c>
      <c r="F71" s="63">
        <f>F72</f>
        <v>839500</v>
      </c>
      <c r="G71" s="63">
        <f>G72</f>
        <v>0</v>
      </c>
      <c r="H71" s="38">
        <f t="shared" si="1"/>
        <v>0</v>
      </c>
    </row>
    <row r="72" spans="1:10" s="13" customFormat="1" ht="31.2">
      <c r="A72" s="15"/>
      <c r="B72" s="15"/>
      <c r="C72" s="22"/>
      <c r="D72" s="17"/>
      <c r="E72" s="23" t="s">
        <v>94</v>
      </c>
      <c r="F72" s="63">
        <v>839500</v>
      </c>
      <c r="G72" s="63"/>
      <c r="H72" s="38">
        <f t="shared" si="1"/>
        <v>0</v>
      </c>
    </row>
    <row r="73" spans="1:10" s="13" customFormat="1" ht="31.2">
      <c r="A73" s="15" t="s">
        <v>159</v>
      </c>
      <c r="B73" s="15" t="s">
        <v>41</v>
      </c>
      <c r="C73" s="22" t="s">
        <v>46</v>
      </c>
      <c r="D73" s="17" t="s">
        <v>42</v>
      </c>
      <c r="E73" s="18" t="s">
        <v>24</v>
      </c>
      <c r="F73" s="63">
        <f>SUM(F74:F76)</f>
        <v>1163000</v>
      </c>
      <c r="G73" s="63">
        <f>SUM(G74:G76)</f>
        <v>122205.83</v>
      </c>
      <c r="H73" s="38">
        <f t="shared" si="1"/>
        <v>0.10507809974204643</v>
      </c>
    </row>
    <row r="74" spans="1:10" s="13" customFormat="1" ht="62.4">
      <c r="A74" s="15"/>
      <c r="B74" s="15"/>
      <c r="C74" s="22"/>
      <c r="D74" s="17"/>
      <c r="E74" s="23" t="s">
        <v>160</v>
      </c>
      <c r="F74" s="63">
        <v>150000</v>
      </c>
      <c r="G74" s="63">
        <v>122205.83</v>
      </c>
      <c r="H74" s="38">
        <f t="shared" si="1"/>
        <v>0.8147055333333334</v>
      </c>
    </row>
    <row r="75" spans="1:10" s="13" customFormat="1" ht="93.6">
      <c r="A75" s="15"/>
      <c r="B75" s="15"/>
      <c r="C75" s="22"/>
      <c r="D75" s="17"/>
      <c r="E75" s="23" t="s">
        <v>199</v>
      </c>
      <c r="F75" s="63">
        <v>419000</v>
      </c>
      <c r="G75" s="63"/>
      <c r="H75" s="38">
        <f t="shared" si="1"/>
        <v>0</v>
      </c>
    </row>
    <row r="76" spans="1:10" s="13" customFormat="1" ht="31.2">
      <c r="A76" s="15"/>
      <c r="B76" s="15"/>
      <c r="C76" s="22"/>
      <c r="D76" s="17"/>
      <c r="E76" s="23" t="s">
        <v>200</v>
      </c>
      <c r="F76" s="63">
        <v>594000</v>
      </c>
      <c r="G76" s="63"/>
      <c r="H76" s="38">
        <f t="shared" si="1"/>
        <v>0</v>
      </c>
    </row>
    <row r="77" spans="1:10" s="13" customFormat="1" ht="62.4">
      <c r="A77" s="15" t="s">
        <v>165</v>
      </c>
      <c r="B77" s="15" t="s">
        <v>166</v>
      </c>
      <c r="C77" s="22" t="s">
        <v>167</v>
      </c>
      <c r="D77" s="17" t="s">
        <v>168</v>
      </c>
      <c r="E77" s="17" t="s">
        <v>201</v>
      </c>
      <c r="F77" s="63">
        <v>674628</v>
      </c>
      <c r="G77" s="63"/>
      <c r="H77" s="38">
        <f t="shared" ref="H77:H129" si="6">G77/F77</f>
        <v>0</v>
      </c>
      <c r="J77" s="28"/>
    </row>
    <row r="78" spans="1:10" s="13" customFormat="1" ht="62.4">
      <c r="A78" s="15" t="s">
        <v>202</v>
      </c>
      <c r="B78" s="15" t="s">
        <v>203</v>
      </c>
      <c r="C78" s="22" t="s">
        <v>154</v>
      </c>
      <c r="D78" s="17" t="s">
        <v>204</v>
      </c>
      <c r="E78" s="17" t="s">
        <v>205</v>
      </c>
      <c r="F78" s="63">
        <v>500000</v>
      </c>
      <c r="G78" s="63"/>
      <c r="H78" s="38">
        <f t="shared" si="6"/>
        <v>0</v>
      </c>
    </row>
    <row r="79" spans="1:10" s="13" customFormat="1" ht="15.6">
      <c r="A79" s="12" t="s">
        <v>36</v>
      </c>
      <c r="B79" s="12"/>
      <c r="C79" s="12"/>
      <c r="D79" s="70" t="s">
        <v>95</v>
      </c>
      <c r="E79" s="71"/>
      <c r="F79" s="61">
        <f t="shared" ref="F79:G79" si="7">F80</f>
        <v>83890284</v>
      </c>
      <c r="G79" s="61">
        <f t="shared" si="7"/>
        <v>23673466.240000002</v>
      </c>
      <c r="H79" s="37">
        <f t="shared" si="6"/>
        <v>0.282195566771475</v>
      </c>
    </row>
    <row r="80" spans="1:10" s="13" customFormat="1" ht="15.6">
      <c r="A80" s="12" t="s">
        <v>37</v>
      </c>
      <c r="B80" s="14"/>
      <c r="C80" s="14"/>
      <c r="D80" s="70" t="s">
        <v>95</v>
      </c>
      <c r="E80" s="71"/>
      <c r="F80" s="61">
        <f>F81+F82+F83+F96+F98+F103+F107+F114</f>
        <v>83890284</v>
      </c>
      <c r="G80" s="61">
        <f>G81+G82+G83+G96+G98+G103+G107+G114</f>
        <v>23673466.240000002</v>
      </c>
      <c r="H80" s="37">
        <f t="shared" si="6"/>
        <v>0.282195566771475</v>
      </c>
    </row>
    <row r="81" spans="1:9" s="13" customFormat="1" ht="109.2">
      <c r="A81" s="15" t="s">
        <v>96</v>
      </c>
      <c r="B81" s="15" t="s">
        <v>48</v>
      </c>
      <c r="C81" s="22" t="s">
        <v>15</v>
      </c>
      <c r="D81" s="17" t="s">
        <v>16</v>
      </c>
      <c r="E81" s="23" t="s">
        <v>97</v>
      </c>
      <c r="F81" s="62">
        <f>1205627-30000-25000</f>
        <v>1150627</v>
      </c>
      <c r="G81" s="62">
        <v>1110730.92</v>
      </c>
      <c r="H81" s="38">
        <f t="shared" si="6"/>
        <v>0.96532666102916054</v>
      </c>
    </row>
    <row r="82" spans="1:9" s="13" customFormat="1" ht="31.2">
      <c r="A82" s="15" t="s">
        <v>52</v>
      </c>
      <c r="B82" s="15" t="s">
        <v>53</v>
      </c>
      <c r="C82" s="22" t="s">
        <v>18</v>
      </c>
      <c r="D82" s="17" t="s">
        <v>29</v>
      </c>
      <c r="E82" s="27" t="s">
        <v>75</v>
      </c>
      <c r="F82" s="62">
        <v>382750</v>
      </c>
      <c r="G82" s="62">
        <v>382749.55</v>
      </c>
      <c r="H82" s="38">
        <f t="shared" si="6"/>
        <v>0.99999882429784448</v>
      </c>
    </row>
    <row r="83" spans="1:9" s="13" customFormat="1" ht="31.2">
      <c r="A83" s="15" t="s">
        <v>54</v>
      </c>
      <c r="B83" s="15" t="s">
        <v>31</v>
      </c>
      <c r="C83" s="22" t="s">
        <v>18</v>
      </c>
      <c r="D83" s="17" t="s">
        <v>32</v>
      </c>
      <c r="E83" s="18" t="s">
        <v>24</v>
      </c>
      <c r="F83" s="62">
        <f>SUM(F84:F95)</f>
        <v>23415217</v>
      </c>
      <c r="G83" s="62">
        <f>SUM(G84:G95)</f>
        <v>6038058.5899999999</v>
      </c>
      <c r="H83" s="38">
        <f t="shared" si="6"/>
        <v>0.25786899989011419</v>
      </c>
      <c r="I83" s="28"/>
    </row>
    <row r="84" spans="1:9" s="13" customFormat="1" ht="46.8">
      <c r="A84" s="15"/>
      <c r="B84" s="15"/>
      <c r="C84" s="22"/>
      <c r="D84" s="42"/>
      <c r="E84" s="29" t="s">
        <v>119</v>
      </c>
      <c r="F84" s="62">
        <f>2056596.21+7494.74+0.05</f>
        <v>2064091</v>
      </c>
      <c r="G84" s="62">
        <v>1822862.84</v>
      </c>
      <c r="H84" s="38">
        <f t="shared" si="6"/>
        <v>0.88313104412547705</v>
      </c>
    </row>
    <row r="85" spans="1:9" s="13" customFormat="1" ht="46.8">
      <c r="A85" s="15"/>
      <c r="B85" s="15"/>
      <c r="C85" s="22"/>
      <c r="D85" s="42"/>
      <c r="E85" s="29" t="s">
        <v>120</v>
      </c>
      <c r="F85" s="62">
        <f>1499167.78+4111.79+0.43</f>
        <v>1503280</v>
      </c>
      <c r="G85" s="62"/>
      <c r="H85" s="38">
        <f t="shared" si="6"/>
        <v>0</v>
      </c>
    </row>
    <row r="86" spans="1:9" s="13" customFormat="1" ht="31.2">
      <c r="A86" s="15"/>
      <c r="B86" s="15"/>
      <c r="C86" s="22"/>
      <c r="D86" s="42"/>
      <c r="E86" s="29" t="s">
        <v>121</v>
      </c>
      <c r="F86" s="65">
        <v>1100020</v>
      </c>
      <c r="G86" s="65"/>
      <c r="H86" s="38">
        <f t="shared" si="6"/>
        <v>0</v>
      </c>
    </row>
    <row r="87" spans="1:9" s="13" customFormat="1" ht="46.8">
      <c r="A87" s="15"/>
      <c r="B87" s="15"/>
      <c r="C87" s="22"/>
      <c r="D87" s="42"/>
      <c r="E87" s="29" t="s">
        <v>122</v>
      </c>
      <c r="F87" s="65">
        <f>38956.27+2126763.13+0.6</f>
        <v>2165720</v>
      </c>
      <c r="G87" s="65">
        <v>38956.269999999997</v>
      </c>
      <c r="H87" s="38">
        <f t="shared" si="6"/>
        <v>1.7987676153888774E-2</v>
      </c>
    </row>
    <row r="88" spans="1:9" s="13" customFormat="1" ht="46.8">
      <c r="A88" s="15"/>
      <c r="B88" s="15"/>
      <c r="C88" s="22"/>
      <c r="D88" s="42"/>
      <c r="E88" s="29" t="s">
        <v>123</v>
      </c>
      <c r="F88" s="65">
        <f>1971768.08+7494.74+0.18</f>
        <v>1979263</v>
      </c>
      <c r="G88" s="65">
        <v>1805004.91</v>
      </c>
      <c r="H88" s="38">
        <f t="shared" si="6"/>
        <v>0.91195809248189852</v>
      </c>
    </row>
    <row r="89" spans="1:9" s="13" customFormat="1" ht="46.8">
      <c r="A89" s="15"/>
      <c r="B89" s="15"/>
      <c r="C89" s="22"/>
      <c r="D89" s="42"/>
      <c r="E89" s="29" t="s">
        <v>124</v>
      </c>
      <c r="F89" s="65">
        <f>1496810.5+4111.98+0.52</f>
        <v>1500923</v>
      </c>
      <c r="G89" s="65">
        <v>1214453.3</v>
      </c>
      <c r="H89" s="38">
        <f t="shared" si="6"/>
        <v>0.80913764396974397</v>
      </c>
    </row>
    <row r="90" spans="1:9" s="13" customFormat="1" ht="46.8">
      <c r="A90" s="15"/>
      <c r="B90" s="15"/>
      <c r="C90" s="22"/>
      <c r="D90" s="42"/>
      <c r="E90" s="29" t="s">
        <v>125</v>
      </c>
      <c r="F90" s="65">
        <f>1496069.17+4111.98+0.85</f>
        <v>1500182</v>
      </c>
      <c r="G90" s="65"/>
      <c r="H90" s="38">
        <f t="shared" si="6"/>
        <v>0</v>
      </c>
    </row>
    <row r="91" spans="1:9" s="13" customFormat="1" ht="46.8">
      <c r="A91" s="15"/>
      <c r="B91" s="15"/>
      <c r="C91" s="22"/>
      <c r="D91" s="42"/>
      <c r="E91" s="29" t="s">
        <v>126</v>
      </c>
      <c r="F91" s="65">
        <f>1499053.98+4111.79+0.23</f>
        <v>1503166</v>
      </c>
      <c r="G91" s="65"/>
      <c r="H91" s="38">
        <f t="shared" si="6"/>
        <v>0</v>
      </c>
    </row>
    <row r="92" spans="1:9" s="13" customFormat="1" ht="46.8">
      <c r="A92" s="15"/>
      <c r="B92" s="15"/>
      <c r="C92" s="22"/>
      <c r="D92" s="42"/>
      <c r="E92" s="29" t="s">
        <v>127</v>
      </c>
      <c r="F92" s="65">
        <f>1444898.12+3747.36+0.52</f>
        <v>1448646.0000000002</v>
      </c>
      <c r="G92" s="65"/>
      <c r="H92" s="38">
        <f t="shared" si="6"/>
        <v>0</v>
      </c>
    </row>
    <row r="93" spans="1:9" s="13" customFormat="1" ht="31.2">
      <c r="A93" s="15"/>
      <c r="B93" s="15"/>
      <c r="C93" s="22"/>
      <c r="D93" s="42"/>
      <c r="E93" s="29" t="s">
        <v>128</v>
      </c>
      <c r="F93" s="65">
        <v>1100020</v>
      </c>
      <c r="G93" s="65"/>
      <c r="H93" s="38">
        <f t="shared" si="6"/>
        <v>0</v>
      </c>
    </row>
    <row r="94" spans="1:9" s="13" customFormat="1" ht="46.8">
      <c r="A94" s="15"/>
      <c r="B94" s="15"/>
      <c r="C94" s="22"/>
      <c r="D94" s="42"/>
      <c r="E94" s="29" t="s">
        <v>129</v>
      </c>
      <c r="F94" s="65">
        <f>1449158.58+3747.36+0.06</f>
        <v>1452906.0000000002</v>
      </c>
      <c r="G94" s="65">
        <v>1156781.27</v>
      </c>
      <c r="H94" s="38">
        <f t="shared" si="6"/>
        <v>0.79618452260504113</v>
      </c>
    </row>
    <row r="95" spans="1:9" s="13" customFormat="1" ht="62.4">
      <c r="A95" s="15"/>
      <c r="B95" s="15"/>
      <c r="C95" s="22"/>
      <c r="D95" s="42"/>
      <c r="E95" s="17" t="s">
        <v>98</v>
      </c>
      <c r="F95" s="65">
        <f>6097000</f>
        <v>6097000</v>
      </c>
      <c r="G95" s="65"/>
      <c r="H95" s="38">
        <f t="shared" si="6"/>
        <v>0</v>
      </c>
    </row>
    <row r="96" spans="1:9" s="13" customFormat="1" ht="62.4">
      <c r="A96" s="16">
        <v>1516050</v>
      </c>
      <c r="B96" s="22" t="s">
        <v>99</v>
      </c>
      <c r="C96" s="22" t="s">
        <v>18</v>
      </c>
      <c r="D96" s="17" t="s">
        <v>100</v>
      </c>
      <c r="E96" s="18" t="s">
        <v>24</v>
      </c>
      <c r="F96" s="65">
        <f>F97</f>
        <v>1194873</v>
      </c>
      <c r="G96" s="65">
        <f>G97</f>
        <v>1194872.49</v>
      </c>
      <c r="H96" s="38">
        <f t="shared" si="6"/>
        <v>0.99999957317639609</v>
      </c>
    </row>
    <row r="97" spans="1:8" s="13" customFormat="1" ht="62.4">
      <c r="A97" s="15"/>
      <c r="B97" s="15"/>
      <c r="C97" s="22"/>
      <c r="D97" s="42"/>
      <c r="E97" s="30" t="s">
        <v>65</v>
      </c>
      <c r="F97" s="65">
        <v>1194873</v>
      </c>
      <c r="G97" s="65">
        <v>1194872.49</v>
      </c>
      <c r="H97" s="38">
        <f t="shared" si="6"/>
        <v>0.99999957317639609</v>
      </c>
    </row>
    <row r="98" spans="1:8" s="13" customFormat="1" ht="31.2">
      <c r="A98" s="15" t="s">
        <v>206</v>
      </c>
      <c r="B98" s="15" t="s">
        <v>207</v>
      </c>
      <c r="C98" s="22" t="s">
        <v>142</v>
      </c>
      <c r="D98" s="23" t="s">
        <v>208</v>
      </c>
      <c r="E98" s="18" t="s">
        <v>24</v>
      </c>
      <c r="F98" s="65">
        <f>SUM(F99:F102)</f>
        <v>10001250</v>
      </c>
      <c r="G98" s="65">
        <f>SUM(G99:G102)</f>
        <v>0</v>
      </c>
      <c r="H98" s="38">
        <f t="shared" si="6"/>
        <v>0</v>
      </c>
    </row>
    <row r="99" spans="1:8" s="13" customFormat="1" ht="46.8">
      <c r="A99" s="15"/>
      <c r="B99" s="15"/>
      <c r="C99" s="22"/>
      <c r="D99" s="42"/>
      <c r="E99" s="17" t="s">
        <v>209</v>
      </c>
      <c r="F99" s="65">
        <v>600000</v>
      </c>
      <c r="G99" s="65"/>
      <c r="H99" s="38">
        <f t="shared" si="6"/>
        <v>0</v>
      </c>
    </row>
    <row r="100" spans="1:8" ht="62.4">
      <c r="A100" s="15"/>
      <c r="B100" s="15"/>
      <c r="C100" s="22"/>
      <c r="D100" s="42"/>
      <c r="E100" s="17" t="s">
        <v>214</v>
      </c>
      <c r="F100" s="62">
        <v>4634170</v>
      </c>
      <c r="G100" s="62"/>
      <c r="H100" s="38">
        <f t="shared" si="6"/>
        <v>0</v>
      </c>
    </row>
    <row r="101" spans="1:8" ht="46.8">
      <c r="A101" s="15"/>
      <c r="B101" s="15"/>
      <c r="C101" s="22"/>
      <c r="D101" s="42"/>
      <c r="E101" s="53" t="s">
        <v>215</v>
      </c>
      <c r="F101" s="62">
        <v>1392820</v>
      </c>
      <c r="G101" s="62"/>
      <c r="H101" s="38">
        <f t="shared" si="6"/>
        <v>0</v>
      </c>
    </row>
    <row r="102" spans="1:8" ht="46.8">
      <c r="A102" s="15"/>
      <c r="B102" s="15"/>
      <c r="C102" s="22"/>
      <c r="D102" s="42"/>
      <c r="E102" s="53" t="s">
        <v>216</v>
      </c>
      <c r="F102" s="62">
        <v>3374260</v>
      </c>
      <c r="G102" s="62"/>
      <c r="H102" s="38">
        <f t="shared" si="6"/>
        <v>0</v>
      </c>
    </row>
    <row r="103" spans="1:8" ht="31.2">
      <c r="A103" s="16">
        <v>1517370</v>
      </c>
      <c r="B103" s="22" t="s">
        <v>55</v>
      </c>
      <c r="C103" s="22" t="s">
        <v>20</v>
      </c>
      <c r="D103" s="17" t="s">
        <v>38</v>
      </c>
      <c r="E103" s="18" t="s">
        <v>24</v>
      </c>
      <c r="F103" s="65">
        <f>SUM(F104:F106)</f>
        <v>27740698</v>
      </c>
      <c r="G103" s="65">
        <f>SUM(G104:G106)</f>
        <v>0</v>
      </c>
      <c r="H103" s="38">
        <f t="shared" si="6"/>
        <v>0</v>
      </c>
    </row>
    <row r="104" spans="1:8" ht="31.2">
      <c r="A104" s="15"/>
      <c r="B104" s="15"/>
      <c r="C104" s="22"/>
      <c r="D104" s="42"/>
      <c r="E104" s="29" t="s">
        <v>210</v>
      </c>
      <c r="F104" s="65">
        <f>7664771+2000000+17920251</f>
        <v>27585022</v>
      </c>
      <c r="G104" s="65"/>
      <c r="H104" s="38">
        <f t="shared" si="6"/>
        <v>0</v>
      </c>
    </row>
    <row r="105" spans="1:8" ht="31.2">
      <c r="A105" s="15"/>
      <c r="B105" s="15"/>
      <c r="C105" s="22"/>
      <c r="D105" s="42"/>
      <c r="E105" s="29" t="s">
        <v>101</v>
      </c>
      <c r="F105" s="65">
        <v>37107</v>
      </c>
      <c r="G105" s="65"/>
      <c r="H105" s="38">
        <f t="shared" si="6"/>
        <v>0</v>
      </c>
    </row>
    <row r="106" spans="1:8" ht="62.4">
      <c r="A106" s="15"/>
      <c r="B106" s="15"/>
      <c r="C106" s="22"/>
      <c r="D106" s="42"/>
      <c r="E106" s="23" t="s">
        <v>102</v>
      </c>
      <c r="F106" s="65">
        <v>118569</v>
      </c>
      <c r="G106" s="65"/>
      <c r="H106" s="38">
        <f t="shared" si="6"/>
        <v>0</v>
      </c>
    </row>
    <row r="107" spans="1:8">
      <c r="A107" s="15" t="s">
        <v>56</v>
      </c>
      <c r="B107" s="15" t="s">
        <v>57</v>
      </c>
      <c r="C107" s="22" t="s">
        <v>34</v>
      </c>
      <c r="D107" s="17" t="s">
        <v>35</v>
      </c>
      <c r="E107" s="18" t="s">
        <v>24</v>
      </c>
      <c r="F107" s="65">
        <f>SUM(F108:F113)</f>
        <v>7720091</v>
      </c>
      <c r="G107" s="65">
        <f>SUM(G108:G113)</f>
        <v>5675313.7000000002</v>
      </c>
      <c r="H107" s="38">
        <f t="shared" si="6"/>
        <v>0.73513559619957847</v>
      </c>
    </row>
    <row r="108" spans="1:8" ht="46.8">
      <c r="A108" s="15"/>
      <c r="B108" s="15"/>
      <c r="C108" s="22"/>
      <c r="D108" s="42"/>
      <c r="E108" s="17" t="s">
        <v>130</v>
      </c>
      <c r="F108" s="65">
        <v>15339</v>
      </c>
      <c r="G108" s="65">
        <v>6015.5</v>
      </c>
      <c r="H108" s="38">
        <f t="shared" si="6"/>
        <v>0.39217028489471284</v>
      </c>
    </row>
    <row r="109" spans="1:8" ht="46.8">
      <c r="A109" s="15"/>
      <c r="B109" s="15"/>
      <c r="C109" s="22"/>
      <c r="D109" s="42"/>
      <c r="E109" s="17" t="s">
        <v>131</v>
      </c>
      <c r="F109" s="65">
        <v>73574</v>
      </c>
      <c r="G109" s="65">
        <v>54375.05</v>
      </c>
      <c r="H109" s="38">
        <f t="shared" si="6"/>
        <v>0.73905251855274967</v>
      </c>
    </row>
    <row r="110" spans="1:8" ht="46.8">
      <c r="A110" s="15"/>
      <c r="B110" s="15"/>
      <c r="C110" s="22"/>
      <c r="D110" s="42"/>
      <c r="E110" s="17" t="s">
        <v>132</v>
      </c>
      <c r="F110" s="65">
        <v>14952</v>
      </c>
      <c r="G110" s="65">
        <v>5774.85</v>
      </c>
      <c r="H110" s="38">
        <f t="shared" si="6"/>
        <v>0.3862259229534511</v>
      </c>
    </row>
    <row r="111" spans="1:8" ht="46.8">
      <c r="A111" s="15"/>
      <c r="B111" s="15"/>
      <c r="C111" s="22"/>
      <c r="D111" s="42"/>
      <c r="E111" s="17" t="s">
        <v>133</v>
      </c>
      <c r="F111" s="65">
        <v>17357</v>
      </c>
      <c r="G111" s="65">
        <v>7792.94</v>
      </c>
      <c r="H111" s="38">
        <f t="shared" si="6"/>
        <v>0.44897966238405251</v>
      </c>
    </row>
    <row r="112" spans="1:8" ht="78">
      <c r="A112" s="15"/>
      <c r="B112" s="15"/>
      <c r="C112" s="22"/>
      <c r="D112" s="42"/>
      <c r="E112" s="29" t="s">
        <v>58</v>
      </c>
      <c r="F112" s="65">
        <v>4787741</v>
      </c>
      <c r="G112" s="65">
        <v>3802795.99</v>
      </c>
      <c r="H112" s="38">
        <f t="shared" si="6"/>
        <v>0.79427771677707715</v>
      </c>
    </row>
    <row r="113" spans="1:8" ht="62.4">
      <c r="A113" s="15"/>
      <c r="B113" s="15"/>
      <c r="C113" s="22"/>
      <c r="D113" s="42"/>
      <c r="E113" s="29" t="s">
        <v>103</v>
      </c>
      <c r="F113" s="65">
        <v>2811128</v>
      </c>
      <c r="G113" s="65">
        <v>1798559.37</v>
      </c>
      <c r="H113" s="38">
        <f t="shared" si="6"/>
        <v>0.63979988460148385</v>
      </c>
    </row>
    <row r="114" spans="1:8" ht="31.2">
      <c r="A114" s="15" t="s">
        <v>40</v>
      </c>
      <c r="B114" s="15" t="s">
        <v>41</v>
      </c>
      <c r="C114" s="22" t="s">
        <v>46</v>
      </c>
      <c r="D114" s="17" t="s">
        <v>42</v>
      </c>
      <c r="E114" s="18" t="s">
        <v>24</v>
      </c>
      <c r="F114" s="65">
        <f>SUM(F115:F117)</f>
        <v>12284778</v>
      </c>
      <c r="G114" s="65">
        <f>SUM(G115:G117)</f>
        <v>9271740.9900000002</v>
      </c>
      <c r="H114" s="38">
        <f t="shared" si="6"/>
        <v>0.75473410996926438</v>
      </c>
    </row>
    <row r="115" spans="1:8" ht="93.6">
      <c r="A115" s="15"/>
      <c r="B115" s="15"/>
      <c r="C115" s="22"/>
      <c r="D115" s="42"/>
      <c r="E115" s="29" t="s">
        <v>104</v>
      </c>
      <c r="F115" s="62">
        <f>3707457-49000</f>
        <v>3658457</v>
      </c>
      <c r="G115" s="62">
        <v>3575938.72</v>
      </c>
      <c r="H115" s="38">
        <f t="shared" si="6"/>
        <v>0.9774445128096354</v>
      </c>
    </row>
    <row r="116" spans="1:8" ht="78">
      <c r="A116" s="15"/>
      <c r="B116" s="15"/>
      <c r="C116" s="22"/>
      <c r="D116" s="17"/>
      <c r="E116" s="29" t="s">
        <v>59</v>
      </c>
      <c r="F116" s="65">
        <v>1520477</v>
      </c>
      <c r="G116" s="65">
        <v>1238271.78</v>
      </c>
      <c r="H116" s="38">
        <f t="shared" si="6"/>
        <v>0.81439691623089339</v>
      </c>
    </row>
    <row r="117" spans="1:8" ht="93.6">
      <c r="A117" s="15"/>
      <c r="B117" s="15"/>
      <c r="C117" s="22"/>
      <c r="D117" s="17"/>
      <c r="E117" s="17" t="s">
        <v>76</v>
      </c>
      <c r="F117" s="65">
        <v>7105844</v>
      </c>
      <c r="G117" s="65">
        <v>4457530.49</v>
      </c>
      <c r="H117" s="38">
        <f t="shared" si="6"/>
        <v>0.62730486202624214</v>
      </c>
    </row>
    <row r="118" spans="1:8">
      <c r="A118" s="24" t="s">
        <v>7</v>
      </c>
      <c r="B118" s="15" t="s">
        <v>49</v>
      </c>
      <c r="C118" s="15" t="s">
        <v>49</v>
      </c>
      <c r="D118" s="72" t="s">
        <v>60</v>
      </c>
      <c r="E118" s="73"/>
      <c r="F118" s="61">
        <f>F119</f>
        <v>50202767</v>
      </c>
      <c r="G118" s="61">
        <f>G119</f>
        <v>46368391</v>
      </c>
      <c r="H118" s="37">
        <f t="shared" si="6"/>
        <v>0.9236222178749629</v>
      </c>
    </row>
    <row r="119" spans="1:8">
      <c r="A119" s="24" t="s">
        <v>8</v>
      </c>
      <c r="B119" s="15" t="s">
        <v>49</v>
      </c>
      <c r="C119" s="15" t="s">
        <v>49</v>
      </c>
      <c r="D119" s="72" t="s">
        <v>60</v>
      </c>
      <c r="E119" s="73"/>
      <c r="F119" s="61">
        <f>F120+F123</f>
        <v>50202767</v>
      </c>
      <c r="G119" s="61">
        <f>G120+G123</f>
        <v>46368391</v>
      </c>
      <c r="H119" s="37">
        <f t="shared" si="6"/>
        <v>0.9236222178749629</v>
      </c>
    </row>
    <row r="120" spans="1:8">
      <c r="A120" s="15" t="s">
        <v>161</v>
      </c>
      <c r="B120" s="16" t="s">
        <v>162</v>
      </c>
      <c r="C120" s="48" t="s">
        <v>9</v>
      </c>
      <c r="D120" s="23" t="s">
        <v>163</v>
      </c>
      <c r="E120" s="23" t="s">
        <v>105</v>
      </c>
      <c r="F120" s="62">
        <f>F121+F122</f>
        <v>3300000</v>
      </c>
      <c r="G120" s="62">
        <f>G121+G122</f>
        <v>1800000</v>
      </c>
      <c r="H120" s="37">
        <f t="shared" si="6"/>
        <v>0.54545454545454541</v>
      </c>
    </row>
    <row r="121" spans="1:8" ht="62.4">
      <c r="A121" s="19"/>
      <c r="B121" s="20"/>
      <c r="C121" s="54"/>
      <c r="D121" s="55"/>
      <c r="E121" s="45" t="s">
        <v>108</v>
      </c>
      <c r="F121" s="67">
        <v>1800000</v>
      </c>
      <c r="G121" s="67">
        <v>1800000</v>
      </c>
      <c r="H121" s="39">
        <f t="shared" si="6"/>
        <v>1</v>
      </c>
    </row>
    <row r="122" spans="1:8" ht="109.2">
      <c r="A122" s="19"/>
      <c r="B122" s="20"/>
      <c r="C122" s="54"/>
      <c r="D122" s="55"/>
      <c r="E122" s="45" t="s">
        <v>211</v>
      </c>
      <c r="F122" s="67">
        <v>1500000</v>
      </c>
      <c r="G122" s="67"/>
      <c r="H122" s="39">
        <f t="shared" si="6"/>
        <v>0</v>
      </c>
    </row>
    <row r="123" spans="1:8" ht="46.8">
      <c r="A123" s="15" t="s">
        <v>61</v>
      </c>
      <c r="B123" s="16" t="s">
        <v>62</v>
      </c>
      <c r="C123" s="32" t="s">
        <v>9</v>
      </c>
      <c r="D123" s="23" t="s">
        <v>43</v>
      </c>
      <c r="E123" s="23" t="s">
        <v>105</v>
      </c>
      <c r="F123" s="62">
        <f>F125+F126+F127+F128</f>
        <v>46902767</v>
      </c>
      <c r="G123" s="62">
        <f>G125+G126+G127+G128</f>
        <v>44568391</v>
      </c>
      <c r="H123" s="38">
        <f t="shared" si="6"/>
        <v>0.95022946087594362</v>
      </c>
    </row>
    <row r="124" spans="1:8">
      <c r="A124" s="15"/>
      <c r="B124" s="16"/>
      <c r="C124" s="32"/>
      <c r="D124" s="23"/>
      <c r="E124" s="23" t="s">
        <v>106</v>
      </c>
      <c r="F124" s="67"/>
      <c r="G124" s="67"/>
      <c r="H124" s="37"/>
    </row>
    <row r="125" spans="1:8" ht="93.6">
      <c r="A125" s="19"/>
      <c r="B125" s="19"/>
      <c r="C125" s="20"/>
      <c r="D125" s="21"/>
      <c r="E125" s="45" t="s">
        <v>107</v>
      </c>
      <c r="F125" s="67">
        <f>1300000+6800000+1902000+4750000+1943963+2204400+5202404+4100000</f>
        <v>28202767</v>
      </c>
      <c r="G125" s="67">
        <v>25940767</v>
      </c>
      <c r="H125" s="39">
        <f t="shared" si="6"/>
        <v>0.91979510379247542</v>
      </c>
    </row>
    <row r="126" spans="1:8" ht="62.4">
      <c r="A126" s="19"/>
      <c r="B126" s="19"/>
      <c r="C126" s="20"/>
      <c r="D126" s="21"/>
      <c r="E126" s="45" t="s">
        <v>108</v>
      </c>
      <c r="F126" s="67">
        <f>5000000+3200000+8000000</f>
        <v>16200000</v>
      </c>
      <c r="G126" s="67">
        <v>16200000</v>
      </c>
      <c r="H126" s="39">
        <f t="shared" si="6"/>
        <v>1</v>
      </c>
    </row>
    <row r="127" spans="1:8" ht="46.8">
      <c r="A127" s="19"/>
      <c r="B127" s="19"/>
      <c r="C127" s="20"/>
      <c r="D127" s="21"/>
      <c r="E127" s="45" t="s">
        <v>109</v>
      </c>
      <c r="F127" s="67">
        <v>1550000</v>
      </c>
      <c r="G127" s="67">
        <v>1477624</v>
      </c>
      <c r="H127" s="39">
        <f t="shared" si="6"/>
        <v>0.95330580645161289</v>
      </c>
    </row>
    <row r="128" spans="1:8" ht="46.8">
      <c r="A128" s="19"/>
      <c r="B128" s="19"/>
      <c r="C128" s="20"/>
      <c r="D128" s="21"/>
      <c r="E128" s="45" t="s">
        <v>164</v>
      </c>
      <c r="F128" s="67">
        <v>950000</v>
      </c>
      <c r="G128" s="67">
        <v>950000</v>
      </c>
      <c r="H128" s="39">
        <f t="shared" si="6"/>
        <v>1</v>
      </c>
    </row>
    <row r="129" spans="1:8">
      <c r="A129" s="33"/>
      <c r="B129" s="14"/>
      <c r="C129" s="14"/>
      <c r="D129" s="34"/>
      <c r="E129" s="35" t="s">
        <v>10</v>
      </c>
      <c r="F129" s="68">
        <f>F10+F25+F46+F50+F79+F118</f>
        <v>182179324.36000001</v>
      </c>
      <c r="G129" s="68">
        <f>G10+G25+G46+G50+G79+G118</f>
        <v>86917025.310000002</v>
      </c>
      <c r="H129" s="37">
        <f t="shared" si="6"/>
        <v>0.4770959910809936</v>
      </c>
    </row>
    <row r="131" spans="1:8">
      <c r="D131" s="1" t="s">
        <v>44</v>
      </c>
      <c r="F131" s="1" t="s">
        <v>45</v>
      </c>
    </row>
    <row r="134" spans="1:8">
      <c r="E134" s="59"/>
      <c r="F134" s="49"/>
      <c r="G134" s="49"/>
    </row>
    <row r="135" spans="1:8">
      <c r="E135" s="59"/>
      <c r="F135" s="60"/>
      <c r="G135" s="60"/>
      <c r="H135" s="60"/>
    </row>
    <row r="137" spans="1:8">
      <c r="E137" s="59"/>
      <c r="F137" s="49"/>
      <c r="G137" s="49"/>
    </row>
    <row r="138" spans="1:8">
      <c r="E138" s="59"/>
      <c r="F138" s="60"/>
      <c r="G138" s="60"/>
    </row>
  </sheetData>
  <customSheetViews>
    <customSheetView guid="{6174BFC3-8EFC-491A-B8A3-28DB8186A904}" scale="80" showPageBreaks="1" fitToPage="1" printArea="1" view="pageBreakPreview">
      <selection activeCell="G142" sqref="G142"/>
      <rowBreaks count="1" manualBreakCount="1">
        <brk id="101" max="7" man="1"/>
      </rowBreaks>
      <pageMargins left="0.19685039370078741" right="0.19685039370078741" top="0.19685039370078741" bottom="0.19685039370078741" header="0.19685039370078741" footer="0.19685039370078741"/>
      <pageSetup paperSize="9" scale="47" fitToHeight="36" orientation="portrait" r:id="rId1"/>
    </customSheetView>
    <customSheetView guid="{71B4C162-96A9-4CA7-B3F0-0C57B820C4BA}" scale="80" showPageBreaks="1" printArea="1" view="pageBreakPreview" topLeftCell="A48">
      <selection activeCell="G35" sqref="G35"/>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2"/>
    </customSheetView>
    <customSheetView guid="{9D5EF3DD-3431-45D7-BCA1-2268CCD9FD10}" scale="80" showPageBreaks="1" printArea="1" view="pageBreakPreview">
      <selection activeCell="G407" sqref="G407"/>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3"/>
    </customSheetView>
    <customSheetView guid="{02AC496F-F7D9-465B-9A66-D319977CD4A2}" scale="80" showPageBreaks="1" printArea="1" view="pageBreakPreview" topLeftCell="A88">
      <selection activeCell="K94" sqref="K94"/>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4"/>
    </customSheetView>
  </customSheetViews>
  <mergeCells count="26">
    <mergeCell ref="F1:H1"/>
    <mergeCell ref="A7:A8"/>
    <mergeCell ref="B7:B8"/>
    <mergeCell ref="C7:C8"/>
    <mergeCell ref="D7:D8"/>
    <mergeCell ref="E7:E8"/>
    <mergeCell ref="F2:H2"/>
    <mergeCell ref="A4:H4"/>
    <mergeCell ref="A5:B5"/>
    <mergeCell ref="D25:E25"/>
    <mergeCell ref="D26:E26"/>
    <mergeCell ref="F7:F8"/>
    <mergeCell ref="G7:G8"/>
    <mergeCell ref="H7:H8"/>
    <mergeCell ref="D10:E10"/>
    <mergeCell ref="D11:E11"/>
    <mergeCell ref="D46:E46"/>
    <mergeCell ref="D47:E47"/>
    <mergeCell ref="D48:E48"/>
    <mergeCell ref="D49:E49"/>
    <mergeCell ref="D50:E50"/>
    <mergeCell ref="D51:E51"/>
    <mergeCell ref="D79:E79"/>
    <mergeCell ref="D80:E80"/>
    <mergeCell ref="D118:E118"/>
    <mergeCell ref="D119:E119"/>
  </mergeCells>
  <pageMargins left="0.39370078740157483" right="0.39370078740157483" top="0.59055118110236227" bottom="0.59055118110236227" header="0.19685039370078741" footer="0.19685039370078741"/>
  <pageSetup paperSize="9" scale="47" fitToHeight="36" orientation="portrait" r:id="rId5"/>
  <headerFooter differentFirst="1"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БР</vt:lpstr>
      <vt:lpstr>БР!Заголовки_для_друку</vt:lpstr>
      <vt:lpstr>БР!Область_друку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Admin</cp:lastModifiedBy>
  <cp:lastPrinted>2024-10-16T13:02:55Z</cp:lastPrinted>
  <dcterms:created xsi:type="dcterms:W3CDTF">2019-04-10T18:00:09Z</dcterms:created>
  <dcterms:modified xsi:type="dcterms:W3CDTF">2024-10-31T07:53:14Z</dcterms:modified>
</cp:coreProperties>
</file>