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2 сесія 30.10.2024\№698 Зміни бюджет\"/>
    </mc:Choice>
  </mc:AlternateContent>
  <xr:revisionPtr revIDLastSave="0" documentId="13_ncr:1_{DD6EDE76-D7E5-448C-807B-23BEF05A63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ркуш1" sheetId="1" r:id="rId1"/>
  </sheets>
  <definedNames>
    <definedName name="_xlnm.Print_Titles" localSheetId="0">Аркуш1!$14:$18</definedName>
    <definedName name="_xlnm.Print_Area" localSheetId="0">Аркуш1!$A$1:$R$223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7" i="1" l="1"/>
  <c r="M217" i="1"/>
  <c r="N217" i="1"/>
  <c r="H217" i="1"/>
  <c r="G217" i="1"/>
  <c r="K202" i="1"/>
  <c r="O202" i="1"/>
  <c r="J175" i="1"/>
  <c r="P175" i="1" s="1"/>
  <c r="F27" i="1"/>
  <c r="O151" i="1" l="1"/>
  <c r="K151" i="1" l="1"/>
  <c r="O143" i="1"/>
  <c r="J143" i="1" s="1"/>
  <c r="K143" i="1"/>
  <c r="I153" i="1" l="1"/>
  <c r="O83" i="1" l="1"/>
  <c r="K82" i="1"/>
  <c r="L91" i="1" l="1"/>
  <c r="M91" i="1"/>
  <c r="N91" i="1"/>
  <c r="O91" i="1"/>
  <c r="K91" i="1"/>
  <c r="F28" i="1"/>
  <c r="O28" i="1"/>
  <c r="K28" i="1"/>
  <c r="E192" i="1"/>
  <c r="L180" i="1"/>
  <c r="M180" i="1"/>
  <c r="M179" i="1" s="1"/>
  <c r="N180" i="1"/>
  <c r="N179" i="1" s="1"/>
  <c r="O180" i="1"/>
  <c r="O179" i="1" s="1"/>
  <c r="K180" i="1"/>
  <c r="K179" i="1" s="1"/>
  <c r="E207" i="1"/>
  <c r="J207" i="1"/>
  <c r="F202" i="1"/>
  <c r="I186" i="1"/>
  <c r="O172" i="1"/>
  <c r="K172" i="1"/>
  <c r="O171" i="1"/>
  <c r="K171" i="1"/>
  <c r="O168" i="1"/>
  <c r="K168" i="1"/>
  <c r="F164" i="1"/>
  <c r="I218" i="1"/>
  <c r="M218" i="1"/>
  <c r="N218" i="1"/>
  <c r="J159" i="1"/>
  <c r="E159" i="1"/>
  <c r="P159" i="1" s="1"/>
  <c r="O152" i="1"/>
  <c r="I147" i="1"/>
  <c r="F147" i="1"/>
  <c r="O146" i="1"/>
  <c r="K146" i="1"/>
  <c r="O144" i="1"/>
  <c r="K144" i="1"/>
  <c r="P207" i="1" l="1"/>
  <c r="J180" i="1"/>
  <c r="L179" i="1"/>
  <c r="G131" i="1"/>
  <c r="G119" i="1"/>
  <c r="F119" i="1"/>
  <c r="G117" i="1"/>
  <c r="F117" i="1"/>
  <c r="F100" i="1"/>
  <c r="L111" i="1"/>
  <c r="M111" i="1"/>
  <c r="N111" i="1"/>
  <c r="O111" i="1"/>
  <c r="K111" i="1"/>
  <c r="H111" i="1"/>
  <c r="I111" i="1"/>
  <c r="J114" i="1"/>
  <c r="E114" i="1"/>
  <c r="P114" i="1" s="1"/>
  <c r="F108" i="1"/>
  <c r="F107" i="1"/>
  <c r="F103" i="1"/>
  <c r="F99" i="1"/>
  <c r="F97" i="1"/>
  <c r="F96" i="1"/>
  <c r="N211" i="1"/>
  <c r="O89" i="1"/>
  <c r="K89" i="1"/>
  <c r="F89" i="1"/>
  <c r="G87" i="1"/>
  <c r="F87" i="1"/>
  <c r="F85" i="1"/>
  <c r="J84" i="1"/>
  <c r="E84" i="1"/>
  <c r="O82" i="1"/>
  <c r="G71" i="1"/>
  <c r="F71" i="1"/>
  <c r="O67" i="1"/>
  <c r="K67" i="1"/>
  <c r="G67" i="1"/>
  <c r="F67" i="1"/>
  <c r="G65" i="1"/>
  <c r="F65" i="1"/>
  <c r="G62" i="1"/>
  <c r="F62" i="1"/>
  <c r="O61" i="1"/>
  <c r="K61" i="1"/>
  <c r="G61" i="1"/>
  <c r="F61" i="1"/>
  <c r="G60" i="1"/>
  <c r="F60" i="1"/>
  <c r="O60" i="1"/>
  <c r="K60" i="1"/>
  <c r="K211" i="1" s="1"/>
  <c r="G58" i="1"/>
  <c r="F58" i="1"/>
  <c r="J54" i="1"/>
  <c r="E54" i="1"/>
  <c r="F52" i="1"/>
  <c r="F51" i="1"/>
  <c r="F49" i="1"/>
  <c r="F39" i="1"/>
  <c r="I39" i="1"/>
  <c r="O30" i="1"/>
  <c r="K30" i="1"/>
  <c r="F30" i="1"/>
  <c r="F29" i="1"/>
  <c r="F22" i="1"/>
  <c r="P84" i="1" l="1"/>
  <c r="O211" i="1"/>
  <c r="P54" i="1"/>
  <c r="F50" i="1"/>
  <c r="F118" i="1" l="1"/>
  <c r="H49" i="1" l="1"/>
  <c r="H218" i="1" s="1"/>
  <c r="G23" i="1" l="1"/>
  <c r="F23" i="1" l="1"/>
  <c r="F98" i="1"/>
  <c r="J146" i="1"/>
  <c r="G138" i="1"/>
  <c r="F138" i="1"/>
  <c r="L193" i="1"/>
  <c r="M193" i="1"/>
  <c r="N193" i="1"/>
  <c r="O193" i="1"/>
  <c r="K193" i="1"/>
  <c r="G193" i="1"/>
  <c r="H193" i="1"/>
  <c r="I193" i="1"/>
  <c r="G190" i="1"/>
  <c r="F190" i="1"/>
  <c r="F182" i="1"/>
  <c r="G181" i="1"/>
  <c r="F181" i="1"/>
  <c r="L163" i="1"/>
  <c r="M163" i="1"/>
  <c r="N163" i="1"/>
  <c r="H163" i="1"/>
  <c r="I163" i="1"/>
  <c r="J178" i="1"/>
  <c r="E178" i="1"/>
  <c r="O177" i="1"/>
  <c r="K177" i="1"/>
  <c r="J169" i="1"/>
  <c r="E169" i="1"/>
  <c r="F165" i="1"/>
  <c r="F163" i="1" s="1"/>
  <c r="G164" i="1"/>
  <c r="G163" i="1" s="1"/>
  <c r="J160" i="1"/>
  <c r="E160" i="1"/>
  <c r="E158" i="1"/>
  <c r="O158" i="1"/>
  <c r="K158" i="1"/>
  <c r="P169" i="1" l="1"/>
  <c r="P160" i="1"/>
  <c r="P178" i="1"/>
  <c r="O155" i="1"/>
  <c r="O218" i="1" s="1"/>
  <c r="K155" i="1"/>
  <c r="K218" i="1" s="1"/>
  <c r="F155" i="1"/>
  <c r="J151" i="1"/>
  <c r="E151" i="1"/>
  <c r="J150" i="1"/>
  <c r="E150" i="1"/>
  <c r="E146" i="1"/>
  <c r="P146" i="1" s="1"/>
  <c r="O142" i="1"/>
  <c r="K142" i="1"/>
  <c r="F140" i="1"/>
  <c r="F137" i="1" s="1"/>
  <c r="O138" i="1"/>
  <c r="K138" i="1"/>
  <c r="P151" i="1" l="1"/>
  <c r="P150" i="1"/>
  <c r="F131" i="1"/>
  <c r="F130" i="1"/>
  <c r="G129" i="1"/>
  <c r="F129" i="1"/>
  <c r="N116" i="1"/>
  <c r="O116" i="1"/>
  <c r="K116" i="1"/>
  <c r="H116" i="1"/>
  <c r="I116" i="1"/>
  <c r="J126" i="1"/>
  <c r="E126" i="1"/>
  <c r="F124" i="1"/>
  <c r="G123" i="1"/>
  <c r="F123" i="1"/>
  <c r="F122" i="1"/>
  <c r="G112" i="1"/>
  <c r="G111" i="1" s="1"/>
  <c r="F112" i="1"/>
  <c r="F111" i="1" s="1"/>
  <c r="H91" i="1"/>
  <c r="I91" i="1"/>
  <c r="J109" i="1"/>
  <c r="E109" i="1"/>
  <c r="P109" i="1" s="1"/>
  <c r="G98" i="1"/>
  <c r="F93" i="1"/>
  <c r="G92" i="1"/>
  <c r="F92" i="1"/>
  <c r="J72" i="1"/>
  <c r="J73" i="1"/>
  <c r="E72" i="1"/>
  <c r="E73" i="1"/>
  <c r="F68" i="1"/>
  <c r="H67" i="1"/>
  <c r="H65" i="1"/>
  <c r="H61" i="1"/>
  <c r="H60" i="1"/>
  <c r="G91" i="1" l="1"/>
  <c r="P126" i="1"/>
  <c r="P73" i="1"/>
  <c r="P72" i="1"/>
  <c r="F59" i="1" l="1"/>
  <c r="L53" i="1"/>
  <c r="L218" i="1" s="1"/>
  <c r="O39" i="1"/>
  <c r="K39" i="1"/>
  <c r="J40" i="1"/>
  <c r="J41" i="1"/>
  <c r="J42" i="1"/>
  <c r="J43" i="1"/>
  <c r="J44" i="1"/>
  <c r="J45" i="1"/>
  <c r="E43" i="1"/>
  <c r="E44" i="1"/>
  <c r="E45" i="1"/>
  <c r="E40" i="1"/>
  <c r="E41" i="1"/>
  <c r="E42" i="1"/>
  <c r="F35" i="1"/>
  <c r="F36" i="1"/>
  <c r="F34" i="1"/>
  <c r="G25" i="1"/>
  <c r="F25" i="1"/>
  <c r="G24" i="1"/>
  <c r="F24" i="1"/>
  <c r="G22" i="1"/>
  <c r="G137" i="1"/>
  <c r="H137" i="1"/>
  <c r="J158" i="1"/>
  <c r="P158" i="1" s="1"/>
  <c r="P40" i="1" l="1"/>
  <c r="E39" i="1"/>
  <c r="P42" i="1"/>
  <c r="P43" i="1"/>
  <c r="P41" i="1"/>
  <c r="P45" i="1"/>
  <c r="P44" i="1"/>
  <c r="F135" i="1" l="1"/>
  <c r="F132" i="1"/>
  <c r="F48" i="1" l="1"/>
  <c r="F218" i="1" s="1"/>
  <c r="G213" i="1" l="1"/>
  <c r="G212" i="1"/>
  <c r="G215" i="1"/>
  <c r="O203" i="1" l="1"/>
  <c r="O200" i="1" s="1"/>
  <c r="K203" i="1"/>
  <c r="K200" i="1" s="1"/>
  <c r="F184" i="1" l="1"/>
  <c r="O166" i="1"/>
  <c r="K166" i="1"/>
  <c r="F91" i="1"/>
  <c r="J88" i="1"/>
  <c r="E88" i="1"/>
  <c r="F47" i="1"/>
  <c r="F217" i="1" s="1"/>
  <c r="J39" i="1"/>
  <c r="O38" i="1"/>
  <c r="K38" i="1"/>
  <c r="P88" i="1" l="1"/>
  <c r="I137" i="1"/>
  <c r="P39" i="1"/>
  <c r="O174" i="1"/>
  <c r="O217" i="1" s="1"/>
  <c r="K174" i="1"/>
  <c r="K217" i="1" s="1"/>
  <c r="L137" i="1" l="1"/>
  <c r="M137" i="1"/>
  <c r="N137" i="1"/>
  <c r="H213" i="1" l="1"/>
  <c r="I213" i="1"/>
  <c r="K213" i="1"/>
  <c r="L213" i="1"/>
  <c r="M213" i="1"/>
  <c r="N213" i="1"/>
  <c r="O213" i="1"/>
  <c r="J161" i="1" l="1"/>
  <c r="E161" i="1"/>
  <c r="O147" i="1"/>
  <c r="O137" i="1" s="1"/>
  <c r="K147" i="1"/>
  <c r="K137" i="1" s="1"/>
  <c r="J105" i="1"/>
  <c r="J106" i="1"/>
  <c r="E105" i="1"/>
  <c r="E106" i="1"/>
  <c r="L57" i="1"/>
  <c r="M57" i="1"/>
  <c r="N57" i="1"/>
  <c r="G74" i="1"/>
  <c r="F74" i="1"/>
  <c r="E77" i="1"/>
  <c r="P77" i="1" s="1"/>
  <c r="E76" i="1"/>
  <c r="P76" i="1" s="1"/>
  <c r="E74" i="1" l="1"/>
  <c r="P74" i="1" s="1"/>
  <c r="P161" i="1"/>
  <c r="P106" i="1"/>
  <c r="P105" i="1"/>
  <c r="I67" i="1" l="1"/>
  <c r="I211" i="1" s="1"/>
  <c r="I57" i="1" l="1"/>
  <c r="O170" i="1"/>
  <c r="O163" i="1" s="1"/>
  <c r="K170" i="1"/>
  <c r="K163" i="1" s="1"/>
  <c r="J148" i="1"/>
  <c r="E148" i="1"/>
  <c r="E143" i="1"/>
  <c r="G122" i="1"/>
  <c r="G121" i="1"/>
  <c r="F121" i="1"/>
  <c r="F116" i="1" s="1"/>
  <c r="G214" i="1" l="1"/>
  <c r="G116" i="1"/>
  <c r="P143" i="1"/>
  <c r="P148" i="1"/>
  <c r="G49" i="1"/>
  <c r="G218" i="1" s="1"/>
  <c r="I215" i="1" l="1"/>
  <c r="K215" i="1"/>
  <c r="L215" i="1"/>
  <c r="M215" i="1"/>
  <c r="N215" i="1"/>
  <c r="O215" i="1"/>
  <c r="J199" i="1"/>
  <c r="E199" i="1"/>
  <c r="E134" i="1"/>
  <c r="P134" i="1" s="1"/>
  <c r="E81" i="1"/>
  <c r="P81" i="1" s="1"/>
  <c r="E80" i="1"/>
  <c r="P80" i="1" s="1"/>
  <c r="F78" i="1"/>
  <c r="E78" i="1" l="1"/>
  <c r="P78" i="1" s="1"/>
  <c r="F57" i="1"/>
  <c r="F211" i="1"/>
  <c r="P199" i="1"/>
  <c r="J55" i="1"/>
  <c r="E55" i="1"/>
  <c r="H22" i="1"/>
  <c r="P55" i="1" l="1"/>
  <c r="L200" i="1"/>
  <c r="M200" i="1"/>
  <c r="N200" i="1"/>
  <c r="G200" i="1"/>
  <c r="G219" i="1" s="1"/>
  <c r="H200" i="1"/>
  <c r="I200" i="1"/>
  <c r="G68" i="1" l="1"/>
  <c r="G211" i="1" s="1"/>
  <c r="F204" i="1" l="1"/>
  <c r="F200" i="1" s="1"/>
  <c r="E206" i="1"/>
  <c r="J206" i="1"/>
  <c r="E198" i="1"/>
  <c r="P198" i="1" s="1"/>
  <c r="F195" i="1"/>
  <c r="F193" i="1" s="1"/>
  <c r="F183" i="1"/>
  <c r="J154" i="1"/>
  <c r="E154" i="1"/>
  <c r="H87" i="1"/>
  <c r="H215" i="1" s="1"/>
  <c r="F215" i="1"/>
  <c r="J82" i="1"/>
  <c r="E82" i="1"/>
  <c r="H71" i="1"/>
  <c r="J70" i="1"/>
  <c r="E70" i="1"/>
  <c r="H68" i="1"/>
  <c r="H62" i="1"/>
  <c r="H58" i="1"/>
  <c r="J48" i="1"/>
  <c r="E48" i="1"/>
  <c r="I38" i="1"/>
  <c r="I217" i="1" s="1"/>
  <c r="E37" i="1"/>
  <c r="F33" i="1"/>
  <c r="F216" i="1" s="1"/>
  <c r="F32" i="1"/>
  <c r="F213" i="1" s="1"/>
  <c r="H211" i="1" l="1"/>
  <c r="E38" i="1"/>
  <c r="O57" i="1"/>
  <c r="K57" i="1"/>
  <c r="H57" i="1"/>
  <c r="P206" i="1"/>
  <c r="P154" i="1"/>
  <c r="P70" i="1"/>
  <c r="P82" i="1"/>
  <c r="P48" i="1"/>
  <c r="J173" i="1" l="1"/>
  <c r="E173" i="1"/>
  <c r="J83" i="1"/>
  <c r="E83" i="1"/>
  <c r="P83" i="1" l="1"/>
  <c r="P173" i="1"/>
  <c r="E147" i="1" l="1"/>
  <c r="J197" i="1"/>
  <c r="E197" i="1"/>
  <c r="P197" i="1" s="1"/>
  <c r="J196" i="1"/>
  <c r="E196" i="1"/>
  <c r="J195" i="1"/>
  <c r="E195" i="1"/>
  <c r="P195" i="1" l="1"/>
  <c r="P196" i="1"/>
  <c r="F128" i="1" l="1"/>
  <c r="L189" i="1" l="1"/>
  <c r="M189" i="1"/>
  <c r="N189" i="1"/>
  <c r="G189" i="1"/>
  <c r="H189" i="1"/>
  <c r="I189" i="1"/>
  <c r="J205" i="1"/>
  <c r="E205" i="1"/>
  <c r="P205" i="1" l="1"/>
  <c r="J204" i="1"/>
  <c r="E204" i="1"/>
  <c r="E203" i="1"/>
  <c r="J203" i="1"/>
  <c r="O189" i="1"/>
  <c r="K189" i="1"/>
  <c r="F189" i="1"/>
  <c r="J142" i="1"/>
  <c r="F212" i="1"/>
  <c r="H212" i="1"/>
  <c r="I212" i="1"/>
  <c r="K212" i="1"/>
  <c r="L212" i="1"/>
  <c r="M212" i="1"/>
  <c r="N212" i="1"/>
  <c r="O212" i="1"/>
  <c r="L162" i="1"/>
  <c r="M162" i="1"/>
  <c r="N162" i="1"/>
  <c r="O162" i="1"/>
  <c r="K162" i="1"/>
  <c r="E177" i="1"/>
  <c r="J177" i="1"/>
  <c r="E166" i="1"/>
  <c r="E167" i="1"/>
  <c r="E168" i="1"/>
  <c r="E170" i="1"/>
  <c r="E171" i="1"/>
  <c r="E172" i="1"/>
  <c r="E174" i="1"/>
  <c r="E176" i="1"/>
  <c r="J166" i="1"/>
  <c r="J167" i="1"/>
  <c r="J168" i="1"/>
  <c r="J170" i="1"/>
  <c r="J171" i="1"/>
  <c r="J172" i="1"/>
  <c r="J174" i="1"/>
  <c r="J176" i="1"/>
  <c r="J152" i="1"/>
  <c r="E152" i="1"/>
  <c r="E142" i="1"/>
  <c r="E89" i="1"/>
  <c r="J89" i="1"/>
  <c r="P171" i="1" l="1"/>
  <c r="P203" i="1"/>
  <c r="P172" i="1"/>
  <c r="P176" i="1"/>
  <c r="P168" i="1"/>
  <c r="P204" i="1"/>
  <c r="P177" i="1"/>
  <c r="P152" i="1"/>
  <c r="P174" i="1"/>
  <c r="P167" i="1"/>
  <c r="P166" i="1"/>
  <c r="P142" i="1"/>
  <c r="P170" i="1"/>
  <c r="P89" i="1"/>
  <c r="E46" i="1"/>
  <c r="J38" i="1"/>
  <c r="J46" i="1"/>
  <c r="G57" i="1" l="1"/>
  <c r="P46" i="1"/>
  <c r="P38" i="1"/>
  <c r="J202" i="1"/>
  <c r="E202" i="1"/>
  <c r="P202" i="1" l="1"/>
  <c r="E156" i="1"/>
  <c r="P156" i="1" s="1"/>
  <c r="F219" i="1" l="1"/>
  <c r="H219" i="1"/>
  <c r="I219" i="1"/>
  <c r="K219" i="1"/>
  <c r="L219" i="1"/>
  <c r="M219" i="1"/>
  <c r="N219" i="1"/>
  <c r="O219" i="1"/>
  <c r="E200" i="1"/>
  <c r="E193" i="1"/>
  <c r="E191" i="1"/>
  <c r="E190" i="1"/>
  <c r="J200" i="1"/>
  <c r="O188" i="1"/>
  <c r="K188" i="1"/>
  <c r="F180" i="1"/>
  <c r="F136" i="1"/>
  <c r="L128" i="1"/>
  <c r="M128" i="1"/>
  <c r="N128" i="1"/>
  <c r="O128" i="1"/>
  <c r="K128" i="1"/>
  <c r="G128" i="1"/>
  <c r="H128" i="1"/>
  <c r="I128" i="1"/>
  <c r="F127" i="1"/>
  <c r="F115" i="1"/>
  <c r="F110" i="1"/>
  <c r="G110" i="1"/>
  <c r="E57" i="1"/>
  <c r="J52" i="1"/>
  <c r="E52" i="1"/>
  <c r="H214" i="1"/>
  <c r="I214" i="1"/>
  <c r="K214" i="1"/>
  <c r="N214" i="1"/>
  <c r="O214" i="1"/>
  <c r="E189" i="1" l="1"/>
  <c r="E188" i="1" s="1"/>
  <c r="P200" i="1"/>
  <c r="E219" i="1"/>
  <c r="P52" i="1"/>
  <c r="F214" i="1" l="1"/>
  <c r="M119" i="1" l="1"/>
  <c r="M211" i="1" s="1"/>
  <c r="L119" i="1"/>
  <c r="L211" i="1" s="1"/>
  <c r="L33" i="1" l="1"/>
  <c r="L216" i="1" s="1"/>
  <c r="M33" i="1"/>
  <c r="M216" i="1" s="1"/>
  <c r="N33" i="1"/>
  <c r="N216" i="1" s="1"/>
  <c r="O33" i="1"/>
  <c r="O216" i="1" s="1"/>
  <c r="K33" i="1"/>
  <c r="K216" i="1" s="1"/>
  <c r="G33" i="1"/>
  <c r="G216" i="1" s="1"/>
  <c r="H33" i="1"/>
  <c r="H216" i="1" s="1"/>
  <c r="I33" i="1"/>
  <c r="I216" i="1" s="1"/>
  <c r="J34" i="1"/>
  <c r="J35" i="1"/>
  <c r="J36" i="1"/>
  <c r="E35" i="1"/>
  <c r="E36" i="1"/>
  <c r="E34" i="1"/>
  <c r="E33" i="1" l="1"/>
  <c r="P34" i="1"/>
  <c r="P35" i="1"/>
  <c r="P36" i="1"/>
  <c r="L21" i="1"/>
  <c r="L20" i="1" s="1"/>
  <c r="M21" i="1"/>
  <c r="M20" i="1" s="1"/>
  <c r="N21" i="1"/>
  <c r="N20" i="1" s="1"/>
  <c r="O21" i="1"/>
  <c r="O20" i="1" s="1"/>
  <c r="K21" i="1"/>
  <c r="K20" i="1" s="1"/>
  <c r="J23" i="1"/>
  <c r="J24" i="1"/>
  <c r="J25" i="1"/>
  <c r="J22" i="1"/>
  <c r="E23" i="1"/>
  <c r="E24" i="1"/>
  <c r="E25" i="1"/>
  <c r="E22" i="1"/>
  <c r="F21" i="1"/>
  <c r="F20" i="1" s="1"/>
  <c r="H21" i="1"/>
  <c r="H20" i="1" s="1"/>
  <c r="I21" i="1"/>
  <c r="I20" i="1" s="1"/>
  <c r="G21" i="1"/>
  <c r="G20" i="1" s="1"/>
  <c r="K210" i="1" l="1"/>
  <c r="O210" i="1"/>
  <c r="O220" i="1" s="1"/>
  <c r="L210" i="1"/>
  <c r="I210" i="1"/>
  <c r="I220" i="1" s="1"/>
  <c r="N210" i="1"/>
  <c r="N220" i="1" s="1"/>
  <c r="G210" i="1"/>
  <c r="G220" i="1" s="1"/>
  <c r="H210" i="1"/>
  <c r="H220" i="1" s="1"/>
  <c r="F210" i="1"/>
  <c r="M210" i="1"/>
  <c r="K220" i="1"/>
  <c r="P22" i="1"/>
  <c r="P25" i="1"/>
  <c r="P24" i="1"/>
  <c r="P23" i="1"/>
  <c r="O110" i="1"/>
  <c r="K110" i="1"/>
  <c r="L110" i="1"/>
  <c r="M110" i="1"/>
  <c r="N110" i="1"/>
  <c r="M90" i="1"/>
  <c r="N90" i="1"/>
  <c r="O90" i="1"/>
  <c r="K90" i="1"/>
  <c r="L90" i="1"/>
  <c r="M56" i="1"/>
  <c r="N56" i="1"/>
  <c r="L56" i="1"/>
  <c r="O56" i="1"/>
  <c r="K56" i="1"/>
  <c r="G188" i="1"/>
  <c r="H188" i="1"/>
  <c r="I188" i="1"/>
  <c r="F188" i="1"/>
  <c r="G180" i="1"/>
  <c r="G179" i="1" s="1"/>
  <c r="H180" i="1"/>
  <c r="H179" i="1" s="1"/>
  <c r="I180" i="1"/>
  <c r="I179" i="1" s="1"/>
  <c r="F179" i="1"/>
  <c r="G162" i="1"/>
  <c r="H162" i="1"/>
  <c r="I162" i="1"/>
  <c r="F162" i="1"/>
  <c r="G136" i="1"/>
  <c r="H136" i="1"/>
  <c r="I136" i="1"/>
  <c r="G127" i="1"/>
  <c r="H127" i="1"/>
  <c r="I127" i="1"/>
  <c r="G115" i="1"/>
  <c r="H115" i="1"/>
  <c r="I115" i="1"/>
  <c r="F220" i="1" l="1"/>
  <c r="M123" i="1" l="1"/>
  <c r="M116" i="1" s="1"/>
  <c r="L121" i="1"/>
  <c r="L116" i="1" s="1"/>
  <c r="K115" i="1"/>
  <c r="N115" i="1"/>
  <c r="O115" i="1"/>
  <c r="L136" i="1"/>
  <c r="M136" i="1"/>
  <c r="N136" i="1"/>
  <c r="O136" i="1"/>
  <c r="K136" i="1"/>
  <c r="J157" i="1"/>
  <c r="E157" i="1"/>
  <c r="J53" i="1"/>
  <c r="E53" i="1"/>
  <c r="L214" i="1" l="1"/>
  <c r="L220" i="1" s="1"/>
  <c r="L115" i="1"/>
  <c r="M214" i="1"/>
  <c r="M220" i="1" s="1"/>
  <c r="M115" i="1"/>
  <c r="P157" i="1"/>
  <c r="P53" i="1"/>
  <c r="J111" i="1" l="1"/>
  <c r="J112" i="1"/>
  <c r="J113" i="1"/>
  <c r="J115" i="1"/>
  <c r="J116" i="1"/>
  <c r="J117" i="1"/>
  <c r="J118" i="1"/>
  <c r="J119" i="1"/>
  <c r="J120" i="1"/>
  <c r="J121" i="1"/>
  <c r="J122" i="1"/>
  <c r="J123" i="1"/>
  <c r="J124" i="1"/>
  <c r="J125" i="1"/>
  <c r="J127" i="1"/>
  <c r="J128" i="1"/>
  <c r="J129" i="1"/>
  <c r="J130" i="1"/>
  <c r="J131" i="1"/>
  <c r="J132" i="1"/>
  <c r="J133" i="1"/>
  <c r="J135" i="1"/>
  <c r="J136" i="1"/>
  <c r="J138" i="1"/>
  <c r="J139" i="1"/>
  <c r="J140" i="1"/>
  <c r="J141" i="1"/>
  <c r="J144" i="1"/>
  <c r="J145" i="1"/>
  <c r="J147" i="1"/>
  <c r="J149" i="1"/>
  <c r="J153" i="1"/>
  <c r="J155" i="1"/>
  <c r="J162" i="1"/>
  <c r="J163" i="1"/>
  <c r="J164" i="1"/>
  <c r="J165" i="1"/>
  <c r="J179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93" i="1"/>
  <c r="J94" i="1"/>
  <c r="J95" i="1"/>
  <c r="J96" i="1"/>
  <c r="J97" i="1"/>
  <c r="J98" i="1"/>
  <c r="J99" i="1"/>
  <c r="J100" i="1"/>
  <c r="J101" i="1"/>
  <c r="J102" i="1"/>
  <c r="J103" i="1"/>
  <c r="J104" i="1"/>
  <c r="J107" i="1"/>
  <c r="J108" i="1"/>
  <c r="J92" i="1"/>
  <c r="G90" i="1"/>
  <c r="I90" i="1"/>
  <c r="F90" i="1"/>
  <c r="H90" i="1"/>
  <c r="J59" i="1"/>
  <c r="J60" i="1"/>
  <c r="J61" i="1"/>
  <c r="J62" i="1"/>
  <c r="J63" i="1"/>
  <c r="J64" i="1"/>
  <c r="J65" i="1"/>
  <c r="J66" i="1"/>
  <c r="J67" i="1"/>
  <c r="J68" i="1"/>
  <c r="J69" i="1"/>
  <c r="J71" i="1"/>
  <c r="J85" i="1"/>
  <c r="J86" i="1"/>
  <c r="J87" i="1"/>
  <c r="J58" i="1"/>
  <c r="G56" i="1"/>
  <c r="H56" i="1"/>
  <c r="I56" i="1"/>
  <c r="J26" i="1"/>
  <c r="J27" i="1"/>
  <c r="J28" i="1"/>
  <c r="J29" i="1"/>
  <c r="J30" i="1"/>
  <c r="J31" i="1"/>
  <c r="J32" i="1"/>
  <c r="J33" i="1"/>
  <c r="J47" i="1"/>
  <c r="J49" i="1"/>
  <c r="J50" i="1"/>
  <c r="J51" i="1"/>
  <c r="J21" i="1"/>
  <c r="J20" i="1"/>
  <c r="L19" i="1"/>
  <c r="M19" i="1"/>
  <c r="M208" i="1" s="1"/>
  <c r="N19" i="1"/>
  <c r="N208" i="1" s="1"/>
  <c r="O19" i="1"/>
  <c r="K19" i="1"/>
  <c r="K208" i="1" s="1"/>
  <c r="G19" i="1"/>
  <c r="H19" i="1"/>
  <c r="I19" i="1"/>
  <c r="F19" i="1"/>
  <c r="E182" i="1"/>
  <c r="E183" i="1"/>
  <c r="E184" i="1"/>
  <c r="E185" i="1"/>
  <c r="E186" i="1"/>
  <c r="E187" i="1"/>
  <c r="E165" i="1"/>
  <c r="E139" i="1"/>
  <c r="E140" i="1"/>
  <c r="E141" i="1"/>
  <c r="E144" i="1"/>
  <c r="E145" i="1"/>
  <c r="E149" i="1"/>
  <c r="E153" i="1"/>
  <c r="E155" i="1"/>
  <c r="E130" i="1"/>
  <c r="E131" i="1"/>
  <c r="E132" i="1"/>
  <c r="E133" i="1"/>
  <c r="E135" i="1"/>
  <c r="E118" i="1"/>
  <c r="E119" i="1"/>
  <c r="E120" i="1"/>
  <c r="E121" i="1"/>
  <c r="E122" i="1"/>
  <c r="E123" i="1"/>
  <c r="E124" i="1"/>
  <c r="E125" i="1"/>
  <c r="E113" i="1"/>
  <c r="E93" i="1"/>
  <c r="E94" i="1"/>
  <c r="E95" i="1"/>
  <c r="E96" i="1"/>
  <c r="E97" i="1"/>
  <c r="E98" i="1"/>
  <c r="E99" i="1"/>
  <c r="E100" i="1"/>
  <c r="E101" i="1"/>
  <c r="E102" i="1"/>
  <c r="E103" i="1"/>
  <c r="E104" i="1"/>
  <c r="E107" i="1"/>
  <c r="E108" i="1"/>
  <c r="E59" i="1"/>
  <c r="E60" i="1"/>
  <c r="E61" i="1"/>
  <c r="E62" i="1"/>
  <c r="E63" i="1"/>
  <c r="E64" i="1"/>
  <c r="E65" i="1"/>
  <c r="E66" i="1"/>
  <c r="E67" i="1"/>
  <c r="E68" i="1"/>
  <c r="E69" i="1"/>
  <c r="E71" i="1"/>
  <c r="E85" i="1"/>
  <c r="E86" i="1"/>
  <c r="E87" i="1"/>
  <c r="E181" i="1"/>
  <c r="E180" i="1"/>
  <c r="E179" i="1"/>
  <c r="E164" i="1"/>
  <c r="E163" i="1"/>
  <c r="E162" i="1"/>
  <c r="E138" i="1"/>
  <c r="E137" i="1"/>
  <c r="E136" i="1"/>
  <c r="E129" i="1"/>
  <c r="E128" i="1"/>
  <c r="E127" i="1"/>
  <c r="E117" i="1"/>
  <c r="E116" i="1"/>
  <c r="E115" i="1"/>
  <c r="E112" i="1"/>
  <c r="E111" i="1"/>
  <c r="E110" i="1"/>
  <c r="E92" i="1"/>
  <c r="E91" i="1"/>
  <c r="E58" i="1"/>
  <c r="E26" i="1"/>
  <c r="E27" i="1"/>
  <c r="E28" i="1"/>
  <c r="E29" i="1"/>
  <c r="E30" i="1"/>
  <c r="E31" i="1"/>
  <c r="E32" i="1"/>
  <c r="E47" i="1"/>
  <c r="E49" i="1"/>
  <c r="E218" i="1" s="1"/>
  <c r="E50" i="1"/>
  <c r="E51" i="1"/>
  <c r="E21" i="1"/>
  <c r="E20" i="1"/>
  <c r="E217" i="1" l="1"/>
  <c r="J217" i="1"/>
  <c r="J218" i="1"/>
  <c r="J211" i="1"/>
  <c r="E213" i="1"/>
  <c r="E216" i="1"/>
  <c r="J216" i="1"/>
  <c r="P144" i="1"/>
  <c r="E211" i="1"/>
  <c r="E210" i="1"/>
  <c r="J210" i="1"/>
  <c r="J137" i="1"/>
  <c r="P137" i="1" s="1"/>
  <c r="J213" i="1"/>
  <c r="P33" i="1"/>
  <c r="J215" i="1"/>
  <c r="E90" i="1"/>
  <c r="E215" i="1"/>
  <c r="E212" i="1"/>
  <c r="J212" i="1"/>
  <c r="J219" i="1"/>
  <c r="P219" i="1" s="1"/>
  <c r="G208" i="1"/>
  <c r="E214" i="1"/>
  <c r="J214" i="1"/>
  <c r="I208" i="1"/>
  <c r="F56" i="1"/>
  <c r="E56" i="1" s="1"/>
  <c r="H208" i="1"/>
  <c r="J110" i="1"/>
  <c r="P110" i="1" s="1"/>
  <c r="J56" i="1"/>
  <c r="O208" i="1"/>
  <c r="P20" i="1"/>
  <c r="J90" i="1"/>
  <c r="J91" i="1"/>
  <c r="P91" i="1" s="1"/>
  <c r="J57" i="1"/>
  <c r="P57" i="1" s="1"/>
  <c r="J19" i="1"/>
  <c r="L208" i="1"/>
  <c r="E19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65" i="1"/>
  <c r="P164" i="1"/>
  <c r="P163" i="1"/>
  <c r="P162" i="1"/>
  <c r="P155" i="1"/>
  <c r="P153" i="1"/>
  <c r="P149" i="1"/>
  <c r="P147" i="1"/>
  <c r="P145" i="1"/>
  <c r="P141" i="1"/>
  <c r="P140" i="1"/>
  <c r="P139" i="1"/>
  <c r="P138" i="1"/>
  <c r="P136" i="1"/>
  <c r="P135" i="1"/>
  <c r="P133" i="1"/>
  <c r="P132" i="1"/>
  <c r="P131" i="1"/>
  <c r="P130" i="1"/>
  <c r="P129" i="1"/>
  <c r="P128" i="1"/>
  <c r="P127" i="1"/>
  <c r="P125" i="1"/>
  <c r="P124" i="1"/>
  <c r="P123" i="1"/>
  <c r="P122" i="1"/>
  <c r="P121" i="1"/>
  <c r="P120" i="1"/>
  <c r="P119" i="1"/>
  <c r="P118" i="1"/>
  <c r="P117" i="1"/>
  <c r="P116" i="1"/>
  <c r="P115" i="1"/>
  <c r="P113" i="1"/>
  <c r="P112" i="1"/>
  <c r="P111" i="1"/>
  <c r="P108" i="1"/>
  <c r="P107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87" i="1"/>
  <c r="P86" i="1"/>
  <c r="P85" i="1"/>
  <c r="P71" i="1"/>
  <c r="P69" i="1"/>
  <c r="P68" i="1"/>
  <c r="P67" i="1"/>
  <c r="P66" i="1"/>
  <c r="P65" i="1"/>
  <c r="P64" i="1"/>
  <c r="P63" i="1"/>
  <c r="P62" i="1"/>
  <c r="P61" i="1"/>
  <c r="P60" i="1"/>
  <c r="P59" i="1"/>
  <c r="P58" i="1"/>
  <c r="P51" i="1"/>
  <c r="P50" i="1"/>
  <c r="P49" i="1"/>
  <c r="P47" i="1"/>
  <c r="P32" i="1"/>
  <c r="P31" i="1"/>
  <c r="P30" i="1"/>
  <c r="P29" i="1"/>
  <c r="P28" i="1"/>
  <c r="P27" i="1"/>
  <c r="P26" i="1"/>
  <c r="P21" i="1"/>
  <c r="P90" i="1" l="1"/>
  <c r="P215" i="1"/>
  <c r="P56" i="1"/>
  <c r="P216" i="1"/>
  <c r="P211" i="1"/>
  <c r="P218" i="1"/>
  <c r="P210" i="1"/>
  <c r="P217" i="1"/>
  <c r="J220" i="1"/>
  <c r="P214" i="1"/>
  <c r="P213" i="1"/>
  <c r="E220" i="1"/>
  <c r="P212" i="1"/>
  <c r="F208" i="1"/>
  <c r="P19" i="1"/>
  <c r="J208" i="1"/>
  <c r="E208" i="1" l="1"/>
  <c r="P220" i="1"/>
  <c r="P208" i="1" l="1"/>
</calcChain>
</file>

<file path=xl/sharedStrings.xml><?xml version="1.0" encoding="utf-8"?>
<sst xmlns="http://schemas.openxmlformats.org/spreadsheetml/2006/main" count="661" uniqueCount="423">
  <si>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</si>
  <si>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</si>
  <si>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</si>
  <si>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</si>
  <si>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</si>
  <si>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</si>
  <si>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</si>
  <si>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</si>
  <si>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</si>
  <si>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</si>
  <si>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</si>
  <si>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</si>
  <si>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</si>
  <si>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</si>
  <si>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</si>
  <si>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</si>
  <si>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</si>
  <si>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</si>
  <si>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</si>
  <si>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</si>
  <si>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</si>
  <si>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</si>
  <si>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</si>
  <si>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</si>
  <si>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</si>
  <si>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</si>
  <si>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</si>
  <si>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</si>
  <si>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</si>
  <si>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</si>
  <si>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</si>
  <si>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</si>
  <si>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</si>
  <si>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</si>
  <si>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</si>
  <si>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</si>
  <si>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</si>
  <si>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</si>
  <si>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</si>
  <si>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</si>
  <si>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</si>
  <si>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</si>
  <si>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</si>
  <si>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</si>
  <si>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</si>
  <si>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</si>
  <si>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</si>
  <si>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</si>
  <si>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</si>
  <si>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</si>
  <si>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</si>
  <si>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</si>
  <si>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</si>
  <si>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</si>
  <si>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</si>
  <si>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</si>
  <si>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</si>
  <si>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</si>
  <si>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</si>
  <si>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</si>
  <si>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</si>
  <si>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</si>
  <si>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</si>
  <si>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</si>
  <si>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</si>
  <si>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</si>
  <si>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</si>
  <si>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</si>
  <si>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</si>
  <si>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</si>
  <si>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</si>
  <si>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</si>
  <si>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</si>
  <si>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</si>
  <si>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</si>
  <si>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</si>
  <si>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</si>
  <si>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0610180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</si>
  <si>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</si>
  <si>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</si>
  <si>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</si>
  <si>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</si>
  <si>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</si>
  <si>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</si>
  <si>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</si>
  <si>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</si>
  <si>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</si>
  <si>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</si>
  <si>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</si>
  <si>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</si>
  <si>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</si>
  <si>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</si>
  <si>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</si>
  <si>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</si>
  <si>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</si>
  <si>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</si>
  <si>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</si>
  <si>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</si>
  <si>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</si>
  <si>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</si>
  <si>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</si>
  <si>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</si>
  <si>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</si>
  <si>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</si>
  <si>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</si>
  <si>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</si>
  <si>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</si>
  <si>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</si>
  <si>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</si>
  <si>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</si>
  <si>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</si>
  <si>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</si>
  <si>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</si>
  <si>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</si>
  <si>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</si>
  <si>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</si>
  <si>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</si>
  <si>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</si>
  <si>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</si>
  <si>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</si>
  <si>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</si>
  <si>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</si>
  <si>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</si>
  <si>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</si>
  <si>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</si>
  <si>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</si>
  <si>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</si>
  <si>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</si>
  <si>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</si>
  <si>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</si>
  <si>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</si>
  <si>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</si>
  <si>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</si>
  <si>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</si>
  <si>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</si>
  <si>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</si>
  <si>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</si>
  <si>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</si>
  <si>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</si>
  <si>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</si>
  <si>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</si>
  <si>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</si>
  <si>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</si>
  <si>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</si>
  <si>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</si>
  <si>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</si>
  <si>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</si>
  <si>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</si>
  <si>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</si>
  <si>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</si>
  <si>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Утримання та забезпечення діяльності центрів соціальних служб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</si>
  <si>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</si>
  <si>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</si>
  <si>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</si>
  <si>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</si>
  <si>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</si>
  <si>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</si>
  <si>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</si>
  <si>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</si>
  <si>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</si>
  <si>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</si>
  <si>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</si>
  <si>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</si>
  <si>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</si>
  <si>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</si>
  <si>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</si>
  <si>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</si>
  <si>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</si>
  <si>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</si>
  <si>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</si>
  <si>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</si>
  <si>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</si>
  <si>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</si>
  <si>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</si>
  <si>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</si>
  <si>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</si>
  <si>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</si>
  <si>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</si>
  <si>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</si>
  <si>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</si>
  <si>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</si>
  <si>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</si>
  <si>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1010180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</si>
  <si>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</si>
  <si>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</si>
  <si>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</si>
  <si>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</si>
  <si>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</si>
  <si>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</si>
  <si>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</si>
  <si>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</si>
  <si>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</si>
  <si>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</si>
  <si>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</si>
  <si>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</si>
  <si>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</si>
  <si>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</si>
  <si>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</si>
  <si>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</si>
  <si>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</si>
  <si>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</si>
  <si>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</si>
  <si>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</si>
  <si>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</si>
  <si>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</si>
  <si>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</si>
  <si>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</si>
  <si>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</si>
  <si>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</si>
  <si>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1110180</t>
  </si>
  <si>
    <t>1113133</t>
  </si>
  <si>
    <t>3133</t>
  </si>
  <si>
    <t>Інші заходи та заклади молодіжної політики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</si>
  <si>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</si>
  <si>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</si>
  <si>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</si>
  <si>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</si>
  <si>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</si>
  <si>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</si>
  <si>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</si>
  <si>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</si>
  <si>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</si>
  <si>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</si>
  <si>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</si>
  <si>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</si>
  <si>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</si>
  <si>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</si>
  <si>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1210180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</si>
  <si>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</si>
  <si>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</si>
  <si>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</si>
  <si>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</si>
  <si>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</si>
  <si>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</si>
  <si>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</si>
  <si>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</si>
  <si>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</si>
  <si>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</si>
  <si>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</si>
  <si>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</si>
  <si>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</si>
  <si>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</si>
  <si>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</si>
  <si>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</si>
  <si>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</si>
  <si>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</si>
  <si>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</si>
  <si>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</si>
  <si>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</si>
  <si>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</si>
  <si>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</si>
  <si>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</si>
  <si>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</si>
  <si>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</si>
  <si>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1510180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</si>
  <si>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</si>
  <si>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</si>
  <si>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</si>
  <si>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</si>
  <si>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</si>
  <si>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</si>
  <si>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</si>
  <si>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</si>
  <si>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</si>
  <si>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</si>
  <si>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3117350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</si>
  <si>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</si>
  <si>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</si>
  <si>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</si>
  <si>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</si>
  <si>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</si>
  <si>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</si>
  <si>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</si>
  <si>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</si>
  <si>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</si>
  <si>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</si>
  <si>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</si>
  <si>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3710180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</si>
  <si>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</si>
  <si>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</si>
  <si>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</si>
  <si>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</si>
  <si>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</si>
  <si>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</si>
  <si>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</si>
  <si>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</si>
  <si>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</si>
  <si>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</si>
  <si>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</si>
  <si>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Експлуатація та технічне обслуговування житлового фонду</t>
  </si>
  <si>
    <t>0610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</si>
  <si>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</si>
  <si>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</si>
  <si>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</si>
  <si>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1218340</t>
  </si>
  <si>
    <t>Начальник фінансового управління</t>
  </si>
  <si>
    <t>Ольга ЯКОВЕНКО</t>
  </si>
  <si>
    <t>Чорноморської міської ради</t>
  </si>
  <si>
    <t>до рішення</t>
  </si>
  <si>
    <t>видатків бюджету Чорноморської міської територіальної громади  на 2024 рік</t>
  </si>
  <si>
    <t>від 22.12.2023  № 522 - VIII"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</si>
  <si>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</si>
  <si>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</si>
  <si>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</si>
  <si>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</si>
  <si>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</si>
  <si>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</si>
  <si>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</si>
  <si>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</si>
  <si>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</si>
  <si>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</si>
  <si>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</si>
  <si>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</si>
  <si>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</si>
  <si>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</si>
  <si>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</si>
  <si>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</si>
  <si>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</si>
  <si>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9000</t>
  </si>
  <si>
    <t>Міжбюджетні трансферти</t>
  </si>
  <si>
    <t>оплата праці і нарахування на заробітну плату</t>
  </si>
  <si>
    <t>0218240</t>
  </si>
  <si>
    <t>"Додаток 3</t>
  </si>
  <si>
    <t>1218240</t>
  </si>
  <si>
    <t>Субвенція з місцевого бюджету державному бюджету на виконання програм соціально-економічного розвитку регіонів, всього -</t>
  </si>
  <si>
    <t>Інша діяльність</t>
  </si>
  <si>
    <t>0217350</t>
  </si>
  <si>
    <t>0217640</t>
  </si>
  <si>
    <t>Заходи з енергозбереження</t>
  </si>
  <si>
    <t>0470</t>
  </si>
  <si>
    <t>0618110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</si>
  <si>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</si>
  <si>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6013</t>
  </si>
  <si>
    <t>Забезпечення діяльності водопровідно-каналізаційного господарства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</si>
  <si>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</si>
  <si>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</si>
  <si>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7310</t>
  </si>
  <si>
    <t>Будівництво об'єктів житлово-комунального господарства</t>
  </si>
  <si>
    <t>7321</t>
  </si>
  <si>
    <t>Будівництво освітніх установ та закладів</t>
  </si>
  <si>
    <t>7370</t>
  </si>
  <si>
    <t>Реалізація інших заходів щодо соціально-економічного розвитку територій</t>
  </si>
  <si>
    <t>7640</t>
  </si>
  <si>
    <t>Міська цільова програма зміцнення законності, безпеки та порядку на території Чорноморської міської територіальної громади "Безпечне місто Чорноморськ" на 2023-2024 роки</t>
  </si>
  <si>
    <t>Міська цільова програма протидії злочинності на території Чорноморської міської територіальної громади на 2024 рік</t>
  </si>
  <si>
    <t>Міська цільова програма підтримки Територіального управління Державного бюро розслідувань, розташованого у місті Миколаєві, на 2024 рік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</si>
  <si>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2024 рік</t>
  </si>
  <si>
    <t>в т.ч. за програмами:</t>
  </si>
  <si>
    <t>Міська цільова програма фінансової підтримки діяльності  Одеської районної ради Одеської області на 2024 рік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</si>
  <si>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</si>
  <si>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</si>
  <si>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</si>
  <si>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</si>
  <si>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7368</t>
  </si>
  <si>
    <t>Виконання інвестиційних проектів за рахунок субвенцій з інших бюджетів</t>
  </si>
  <si>
    <t>0217130</t>
  </si>
  <si>
    <t>0218110</t>
  </si>
  <si>
    <t>0611154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</si>
  <si>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</si>
  <si>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</si>
  <si>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</si>
  <si>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</si>
  <si>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Міська цільова програма розвитку фізичної культури і спорту на території Чорноморської міської територіальної громади на 2022-2025 роки</t>
  </si>
  <si>
    <t>Міська цільова соціальна програма розвитку цивільного захисту Чорноморської міської територіальної громади на 2021-2025 роки</t>
  </si>
  <si>
    <t xml:space="preserve">Міська цільова програма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</si>
  <si>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>0218775</t>
  </si>
  <si>
    <t>Інші заходи за рахунок коштів резервного фонду місцевого бюджету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</si>
  <si>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</si>
  <si>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</si>
  <si>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</si>
  <si>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в тому числі:</t>
  </si>
  <si>
    <t>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</t>
  </si>
  <si>
    <t>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</t>
  </si>
  <si>
    <t>1115049</t>
  </si>
  <si>
    <t>5049</t>
  </si>
  <si>
    <t>Виконання окремих заходів з реалізації соціального проекту "Активні парки - локації здорової України"</t>
  </si>
  <si>
    <t>Додаток 3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</si>
  <si>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</si>
  <si>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</si>
  <si>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0813221</t>
  </si>
  <si>
    <t>0813223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</si>
  <si>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</si>
  <si>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</si>
  <si>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1218761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</si>
  <si>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</si>
  <si>
    <t>0217520</t>
  </si>
  <si>
    <t>Реалізація Національної програми інформатизації</t>
  </si>
  <si>
    <t>0460</t>
  </si>
  <si>
    <t>0617520</t>
  </si>
  <si>
    <t>1218733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</si>
  <si>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</si>
  <si>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 xml:space="preserve"> </t>
  </si>
  <si>
    <t>КНП "Чорноморська лікарня" Чорноморської міської ради Одеського району Одеської області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</si>
  <si>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</si>
  <si>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</si>
  <si>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</si>
  <si>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0611181</t>
  </si>
  <si>
    <t>0611182</t>
  </si>
  <si>
    <t>1181</t>
  </si>
  <si>
    <t>1182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</si>
  <si>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</si>
  <si>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</si>
  <si>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0817520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</si>
  <si>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</si>
  <si>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Внески до статутного капіталу суб'єктів господарювання</t>
  </si>
  <si>
    <t>1218746</t>
  </si>
  <si>
    <t>Заходи із запобігання та ліквідації наслідків надзвичайної ситуації в інших системах та об'єктах житлово-комунального господарства за рахунок коштів резервного фонду місцевого бюджету</t>
  </si>
  <si>
    <t>0640</t>
  </si>
  <si>
    <t>Інша діяльність, пов'язана з експлуатацією об'єктів житлово-комунального господарства</t>
  </si>
  <si>
    <t>8340</t>
  </si>
  <si>
    <t>Реалізація проектів (заходів) з відновлення медичних установ та закладів, пошкоджених / знищених внаслідок збройної агресії, за рахунок коштів місцевих бюджетів</t>
  </si>
  <si>
    <t>0218721</t>
  </si>
  <si>
    <t>Заходи із запобігання та ліквідації наслідків надзвичайної ситуації у будівлі закладу охорони здоров'я за рахунок коштів резервного фонду місцевого бюджету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</si>
  <si>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</si>
  <si>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</si>
  <si>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</si>
  <si>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</si>
  <si>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0916083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</si>
  <si>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</si>
  <si>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</si>
  <si>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Міська цільова програма фінансової підтримки Іллічівського міського суду Одеської області на 2024 рік</t>
  </si>
  <si>
    <t>1517373</t>
  </si>
  <si>
    <t>від   30.10.2024 № 698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</si>
</sst>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#,&quot;-&quot;"/>
    <numFmt numFmtId="165" formatCode="#,##0.00_ ;\-#,##0.00\ "/>
    <numFmt numFmtId="166" formatCode="#,##0.000"/>
  </numFmts>
  <fonts count="15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44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165" fontId="1" fillId="2" borderId="0" xfId="0" applyNumberFormat="1" applyFont="1" applyFill="1"/>
    <xf numFmtId="0" fontId="2" fillId="2" borderId="0" xfId="0" applyFont="1" applyFill="1"/>
    <xf numFmtId="49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4" fontId="9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4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8" fillId="2" borderId="1" xfId="1" applyNumberFormat="1" applyFont="1" applyFill="1" applyBorder="1" applyAlignment="1">
      <alignment horizontal="right" vertical="center" wrapText="1"/>
    </xf>
    <xf numFmtId="4" fontId="11" fillId="2" borderId="1" xfId="1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center"/>
    </xf>
    <xf numFmtId="0" fontId="1" fillId="2" borderId="0" xfId="0" applyFont="1" applyFill="1" applyAlignment="1">
      <alignment horizontal="right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center" wrapText="1"/>
    </xf>
    <xf numFmtId="4" fontId="1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9" xfId="2" xr:uid="{00000000-0005-0000-0000-000001000000}"/>
    <cellStyle name="Обычный_дод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28"/>
  <sheetViews>
    <sheetView tabSelected="1" view="pageBreakPreview" topLeftCell="E1" zoomScale="70" zoomScaleNormal="70" zoomScaleSheetLayoutView="70" workbookViewId="0">
      <selection activeCell="M4" sqref="M4:N4"/>
    </sheetView>
  </sheetViews>
  <sheetFormatPr defaultColWidth="8.88671875" defaultRowHeight="15.6"/>
  <cols>
    <col min="1" max="3" width="12.109375" style="17" customWidth="1"/>
    <col min="4" max="4" width="40.6640625" style="17" customWidth="1"/>
    <col min="5" max="5" width="18.6640625" style="17" customWidth="1"/>
    <col min="6" max="6" width="19.109375" style="17" customWidth="1"/>
    <col min="7" max="7" width="22.88671875" style="17" customWidth="1"/>
    <col min="8" max="8" width="15.6640625" style="17" customWidth="1"/>
    <col min="9" max="9" width="18.44140625" style="17" customWidth="1"/>
    <col min="10" max="10" width="17.44140625" style="17" bestFit="1" customWidth="1"/>
    <col min="11" max="11" width="17.6640625" style="17" customWidth="1"/>
    <col min="12" max="14" width="15.6640625" style="17" customWidth="1"/>
    <col min="15" max="15" width="17" style="17" customWidth="1"/>
    <col min="16" max="16" width="19.5546875" style="17" customWidth="1"/>
    <col min="17" max="16384" width="8.88671875" style="17"/>
  </cols>
  <sheetData>
    <row r="1" spans="1:16">
      <c r="M1" s="17" t="s">
        <v>376</v>
      </c>
    </row>
    <row r="2" spans="1:16">
      <c r="M2" s="17" t="s">
        <v>298</v>
      </c>
    </row>
    <row r="3" spans="1:16">
      <c r="M3" s="17" t="s">
        <v>297</v>
      </c>
    </row>
    <row r="4" spans="1:16">
      <c r="M4" s="17" t="s">
        <v>422</v>
      </c>
    </row>
    <row r="6" spans="1:16" ht="20.399999999999999" customHeight="1">
      <c r="M6" s="17" t="s">
        <v>322</v>
      </c>
    </row>
    <row r="7" spans="1:16" ht="20.399999999999999" customHeight="1">
      <c r="M7" s="17" t="s">
        <v>298</v>
      </c>
    </row>
    <row r="8" spans="1:16" ht="20.399999999999999" customHeight="1">
      <c r="M8" s="17" t="s">
        <v>297</v>
      </c>
    </row>
    <row r="9" spans="1:16" ht="20.399999999999999" customHeight="1">
      <c r="M9" s="17" t="s">
        <v>300</v>
      </c>
    </row>
    <row r="10" spans="1:16">
      <c r="A10" s="40" t="s">
        <v>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>
      <c r="A11" s="40" t="s">
        <v>299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6">
      <c r="A12" s="34" t="s">
        <v>1</v>
      </c>
    </row>
    <row r="13" spans="1:16">
      <c r="A13" s="17" t="s">
        <v>2</v>
      </c>
      <c r="P13" s="35" t="s">
        <v>3</v>
      </c>
    </row>
    <row r="14" spans="1:16" ht="26.4" customHeight="1">
      <c r="A14" s="42" t="s">
        <v>4</v>
      </c>
      <c r="B14" s="42" t="s">
        <v>5</v>
      </c>
      <c r="C14" s="42" t="s">
        <v>6</v>
      </c>
      <c r="D14" s="43" t="s">
        <v>7</v>
      </c>
      <c r="E14" s="43" t="s">
        <v>8</v>
      </c>
      <c r="F14" s="43"/>
      <c r="G14" s="43"/>
      <c r="H14" s="43"/>
      <c r="I14" s="43"/>
      <c r="J14" s="43" t="s">
        <v>14</v>
      </c>
      <c r="K14" s="43"/>
      <c r="L14" s="43"/>
      <c r="M14" s="43"/>
      <c r="N14" s="43"/>
      <c r="O14" s="43"/>
      <c r="P14" s="43" t="s">
        <v>16</v>
      </c>
    </row>
    <row r="15" spans="1:16" ht="26.4" customHeight="1">
      <c r="A15" s="42"/>
      <c r="B15" s="42"/>
      <c r="C15" s="42"/>
      <c r="D15" s="43"/>
      <c r="E15" s="43" t="s">
        <v>9</v>
      </c>
      <c r="F15" s="43" t="s">
        <v>10</v>
      </c>
      <c r="G15" s="43" t="s">
        <v>11</v>
      </c>
      <c r="H15" s="43"/>
      <c r="I15" s="43" t="s">
        <v>13</v>
      </c>
      <c r="J15" s="43" t="s">
        <v>9</v>
      </c>
      <c r="K15" s="43" t="s">
        <v>15</v>
      </c>
      <c r="L15" s="43" t="s">
        <v>10</v>
      </c>
      <c r="M15" s="43" t="s">
        <v>11</v>
      </c>
      <c r="N15" s="43"/>
      <c r="O15" s="43" t="s">
        <v>13</v>
      </c>
      <c r="P15" s="43"/>
    </row>
    <row r="16" spans="1:16" ht="30.6" customHeight="1">
      <c r="A16" s="42"/>
      <c r="B16" s="42"/>
      <c r="C16" s="42"/>
      <c r="D16" s="43"/>
      <c r="E16" s="43"/>
      <c r="F16" s="43"/>
      <c r="G16" s="43" t="s">
        <v>320</v>
      </c>
      <c r="H16" s="43" t="s">
        <v>12</v>
      </c>
      <c r="I16" s="43"/>
      <c r="J16" s="43"/>
      <c r="K16" s="43"/>
      <c r="L16" s="43"/>
      <c r="M16" s="43" t="s">
        <v>320</v>
      </c>
      <c r="N16" s="43" t="s">
        <v>12</v>
      </c>
      <c r="O16" s="43"/>
      <c r="P16" s="43"/>
    </row>
    <row r="17" spans="1:16" ht="31.2" customHeight="1">
      <c r="A17" s="42"/>
      <c r="B17" s="42"/>
      <c r="C17" s="42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8" spans="1:16">
      <c r="A18" s="33">
        <v>1</v>
      </c>
      <c r="B18" s="33">
        <v>2</v>
      </c>
      <c r="C18" s="33">
        <v>3</v>
      </c>
      <c r="D18" s="33">
        <v>4</v>
      </c>
      <c r="E18" s="33">
        <v>5</v>
      </c>
      <c r="F18" s="33">
        <v>6</v>
      </c>
      <c r="G18" s="33">
        <v>7</v>
      </c>
      <c r="H18" s="33">
        <v>8</v>
      </c>
      <c r="I18" s="33">
        <v>9</v>
      </c>
      <c r="J18" s="33">
        <v>10</v>
      </c>
      <c r="K18" s="33">
        <v>11</v>
      </c>
      <c r="L18" s="33">
        <v>12</v>
      </c>
      <c r="M18" s="33">
        <v>13</v>
      </c>
      <c r="N18" s="33">
        <v>14</v>
      </c>
      <c r="O18" s="33">
        <v>15</v>
      </c>
      <c r="P18" s="33">
        <v>16</v>
      </c>
    </row>
    <row r="19" spans="1:16" ht="46.8">
      <c r="A19" s="2" t="s">
        <v>17</v>
      </c>
      <c r="B19" s="2" t="s">
        <v>18</v>
      </c>
      <c r="C19" s="2" t="s">
        <v>18</v>
      </c>
      <c r="D19" s="3" t="s">
        <v>19</v>
      </c>
      <c r="E19" s="4">
        <f>F19+I19</f>
        <v>178401401</v>
      </c>
      <c r="F19" s="4">
        <f>F20</f>
        <v>177293401</v>
      </c>
      <c r="G19" s="4">
        <f>G20</f>
        <v>87048300</v>
      </c>
      <c r="H19" s="4">
        <f>H20</f>
        <v>5066803</v>
      </c>
      <c r="I19" s="4">
        <f>I20</f>
        <v>1108000</v>
      </c>
      <c r="J19" s="4">
        <f>L19+O19</f>
        <v>14373045</v>
      </c>
      <c r="K19" s="4">
        <f>K20</f>
        <v>14124545</v>
      </c>
      <c r="L19" s="4">
        <f>L20</f>
        <v>248500</v>
      </c>
      <c r="M19" s="4">
        <f>M20</f>
        <v>0</v>
      </c>
      <c r="N19" s="4">
        <f>N20</f>
        <v>0</v>
      </c>
      <c r="O19" s="4">
        <f>O20</f>
        <v>14124545</v>
      </c>
      <c r="P19" s="4">
        <f t="shared" ref="P19:P86" si="0">E19 + J19</f>
        <v>192774446</v>
      </c>
    </row>
    <row r="20" spans="1:16" ht="46.8">
      <c r="A20" s="2" t="s">
        <v>20</v>
      </c>
      <c r="B20" s="2" t="s">
        <v>18</v>
      </c>
      <c r="C20" s="2" t="s">
        <v>18</v>
      </c>
      <c r="D20" s="3" t="s">
        <v>19</v>
      </c>
      <c r="E20" s="4">
        <f>F20+I20</f>
        <v>178401401</v>
      </c>
      <c r="F20" s="4">
        <f>F21++F26+F27+F28+F29+F30+F31+F32+F33+F37+F38+F39+F46+F47+F48+F49+F50+F51+F52+F53+F54+F55</f>
        <v>177293401</v>
      </c>
      <c r="G20" s="4">
        <f>G21++G26+G27+G28+G29+G30+G31+G32+G33+G37+G38+G39+G46+G47+G48+G49+G50+G51+G52+G53+G54+G55</f>
        <v>87048300</v>
      </c>
      <c r="H20" s="4">
        <f>H21++H26+H27+H28+H29+H30+H31+H32+H33+H37+H38+H39+H46+H47+H48+H49+H50+H51+H52+H53+H54+H55</f>
        <v>5066803</v>
      </c>
      <c r="I20" s="4">
        <f>I21++I26+I27+I28+I29+I30+I31+I32+I33+I37+I38+I39+I46+I47+I48+I49+I50+I51+I52+I53+I54+I55</f>
        <v>1108000</v>
      </c>
      <c r="J20" s="4">
        <f>L20+O20</f>
        <v>14373045</v>
      </c>
      <c r="K20" s="4">
        <f>K21++K26+K27+K28+K29+K30+K31+K32+K33+K37+K38+K39+K46+K47+K48+K49+K50+K51+K52+K53+K54+K55</f>
        <v>14124545</v>
      </c>
      <c r="L20" s="4">
        <f>L21++L26+L27+L28+L29+L30+L31+L32+L33+L37+L38+L39+L46+L47+L48+L49+L50+L51+L52+L53+L54+L55</f>
        <v>248500</v>
      </c>
      <c r="M20" s="4">
        <f>M21++M26+M27+M28+M29+M30+M31+M32+M33+M37+M38+M39+M46+M47+M48+M49+M50+M51+M52+M53+M54+M55</f>
        <v>0</v>
      </c>
      <c r="N20" s="4">
        <f>N21++N26+N27+N28+N29+N30+N31+N32+N33+N37+N38+N39+N46+N47+N48+N49+N50+N51+N52+N53+N54+N55</f>
        <v>0</v>
      </c>
      <c r="O20" s="4">
        <f>O21++O26+O27+O28+O29+O30+O31+O32+O33+O37+O38+O39+O46+O47+O48+O49+O50+O51+O52+O53+O54+O55</f>
        <v>14124545</v>
      </c>
      <c r="P20" s="4">
        <f>E20 + J20</f>
        <v>192774446</v>
      </c>
    </row>
    <row r="21" spans="1:16" ht="93.6">
      <c r="A21" s="33" t="s">
        <v>21</v>
      </c>
      <c r="B21" s="33" t="s">
        <v>22</v>
      </c>
      <c r="C21" s="33" t="s">
        <v>23</v>
      </c>
      <c r="D21" s="5" t="s">
        <v>24</v>
      </c>
      <c r="E21" s="6">
        <f>F21+I21</f>
        <v>78250683</v>
      </c>
      <c r="F21" s="6">
        <f>F22+F23+F24+F25</f>
        <v>78250683</v>
      </c>
      <c r="G21" s="6">
        <f>G22+G23+G24+G25</f>
        <v>68075200</v>
      </c>
      <c r="H21" s="6">
        <f t="shared" ref="H21:I21" si="1">H22+H23+H24+H25</f>
        <v>4886300</v>
      </c>
      <c r="I21" s="6">
        <f t="shared" si="1"/>
        <v>0</v>
      </c>
      <c r="J21" s="6">
        <f>L21+O21</f>
        <v>1238600</v>
      </c>
      <c r="K21" s="6">
        <f>K22+K23+K24+K25</f>
        <v>1100000</v>
      </c>
      <c r="L21" s="6">
        <f t="shared" ref="L21:O21" si="2">L22+L23+L24+L25</f>
        <v>138600</v>
      </c>
      <c r="M21" s="6">
        <f t="shared" si="2"/>
        <v>0</v>
      </c>
      <c r="N21" s="6">
        <f t="shared" si="2"/>
        <v>0</v>
      </c>
      <c r="O21" s="6">
        <f t="shared" si="2"/>
        <v>1100000</v>
      </c>
      <c r="P21" s="6">
        <f t="shared" si="0"/>
        <v>79489283</v>
      </c>
    </row>
    <row r="22" spans="1:16" s="21" customFormat="1" ht="46.8">
      <c r="A22" s="7"/>
      <c r="B22" s="7"/>
      <c r="C22" s="7"/>
      <c r="D22" s="1" t="s">
        <v>19</v>
      </c>
      <c r="E22" s="8">
        <f>F22+I22</f>
        <v>69972273</v>
      </c>
      <c r="F22" s="8">
        <f>66352700-109000-99200-100000+490000-12000+34773+3370000+45000</f>
        <v>69972273</v>
      </c>
      <c r="G22" s="8">
        <f>57122400+490000+3370000</f>
        <v>60982400</v>
      </c>
      <c r="H22" s="8">
        <f>4610900-100000</f>
        <v>4510900</v>
      </c>
      <c r="I22" s="8"/>
      <c r="J22" s="8">
        <f>L22+O22</f>
        <v>138598</v>
      </c>
      <c r="K22" s="8"/>
      <c r="L22" s="8">
        <v>138598</v>
      </c>
      <c r="M22" s="8"/>
      <c r="N22" s="8"/>
      <c r="O22" s="8"/>
      <c r="P22" s="8">
        <f t="shared" si="0"/>
        <v>70110871</v>
      </c>
    </row>
    <row r="23" spans="1:16" s="21" customFormat="1" ht="62.4">
      <c r="A23" s="7"/>
      <c r="B23" s="7"/>
      <c r="C23" s="7"/>
      <c r="D23" s="1" t="s">
        <v>291</v>
      </c>
      <c r="E23" s="8">
        <f t="shared" ref="E23:E25" si="3">F23+I23</f>
        <v>3413500</v>
      </c>
      <c r="F23" s="8">
        <f>3206600+44000+20000+142900</f>
        <v>3413500</v>
      </c>
      <c r="G23" s="8">
        <f>2744700+100000</f>
        <v>2844700</v>
      </c>
      <c r="H23" s="8">
        <v>171700</v>
      </c>
      <c r="I23" s="8"/>
      <c r="J23" s="8">
        <f t="shared" ref="J23:J25" si="4">L23+O23</f>
        <v>1100001</v>
      </c>
      <c r="K23" s="8">
        <v>1100000</v>
      </c>
      <c r="L23" s="8">
        <v>1</v>
      </c>
      <c r="M23" s="8"/>
      <c r="N23" s="8"/>
      <c r="O23" s="8">
        <v>1100000</v>
      </c>
      <c r="P23" s="8">
        <f t="shared" si="0"/>
        <v>4513501</v>
      </c>
    </row>
    <row r="24" spans="1:16" s="21" customFormat="1" ht="62.4">
      <c r="A24" s="7"/>
      <c r="B24" s="7"/>
      <c r="C24" s="7"/>
      <c r="D24" s="1" t="s">
        <v>292</v>
      </c>
      <c r="E24" s="8">
        <f t="shared" si="3"/>
        <v>2183210</v>
      </c>
      <c r="F24" s="8">
        <f>2157300+25910</f>
        <v>2183210</v>
      </c>
      <c r="G24" s="8">
        <f>1819000+80000</f>
        <v>1899000</v>
      </c>
      <c r="H24" s="8">
        <v>91600</v>
      </c>
      <c r="I24" s="8"/>
      <c r="J24" s="8">
        <f t="shared" si="4"/>
        <v>0</v>
      </c>
      <c r="K24" s="8"/>
      <c r="L24" s="8"/>
      <c r="M24" s="8"/>
      <c r="N24" s="8"/>
      <c r="O24" s="8"/>
      <c r="P24" s="8">
        <f t="shared" si="0"/>
        <v>2183210</v>
      </c>
    </row>
    <row r="25" spans="1:16" s="21" customFormat="1" ht="46.8">
      <c r="A25" s="7"/>
      <c r="B25" s="7"/>
      <c r="C25" s="7"/>
      <c r="D25" s="1" t="s">
        <v>293</v>
      </c>
      <c r="E25" s="8">
        <f t="shared" si="3"/>
        <v>2681700</v>
      </c>
      <c r="F25" s="8">
        <f>2515800+65000+100900</f>
        <v>2681700</v>
      </c>
      <c r="G25" s="8">
        <f>2134100+65000+150000</f>
        <v>2349100</v>
      </c>
      <c r="H25" s="8">
        <v>112100</v>
      </c>
      <c r="I25" s="8"/>
      <c r="J25" s="8">
        <f t="shared" si="4"/>
        <v>1</v>
      </c>
      <c r="K25" s="8"/>
      <c r="L25" s="8">
        <v>1</v>
      </c>
      <c r="M25" s="8"/>
      <c r="N25" s="8"/>
      <c r="O25" s="8"/>
      <c r="P25" s="8">
        <f t="shared" si="0"/>
        <v>2681701</v>
      </c>
    </row>
    <row r="26" spans="1:16" ht="46.8">
      <c r="A26" s="33" t="s">
        <v>25</v>
      </c>
      <c r="B26" s="33" t="s">
        <v>26</v>
      </c>
      <c r="C26" s="33" t="s">
        <v>27</v>
      </c>
      <c r="D26" s="5" t="s">
        <v>28</v>
      </c>
      <c r="E26" s="6">
        <f t="shared" ref="E26:E55" si="5">F26+I26</f>
        <v>50000</v>
      </c>
      <c r="F26" s="6">
        <v>50000</v>
      </c>
      <c r="G26" s="6">
        <v>0</v>
      </c>
      <c r="H26" s="6">
        <v>0</v>
      </c>
      <c r="I26" s="6">
        <v>0</v>
      </c>
      <c r="J26" s="6">
        <f t="shared" ref="J26:J55" si="6">L26+O26</f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f t="shared" si="0"/>
        <v>50000</v>
      </c>
    </row>
    <row r="27" spans="1:16" ht="31.2">
      <c r="A27" s="33" t="s">
        <v>29</v>
      </c>
      <c r="B27" s="33" t="s">
        <v>30</v>
      </c>
      <c r="C27" s="33" t="s">
        <v>31</v>
      </c>
      <c r="D27" s="5" t="s">
        <v>32</v>
      </c>
      <c r="E27" s="6">
        <f t="shared" si="5"/>
        <v>9033607</v>
      </c>
      <c r="F27" s="6">
        <f>3265000-33000-557830+100000-99000-99000-271740-645500+7374677</f>
        <v>9033607</v>
      </c>
      <c r="G27" s="6">
        <v>0</v>
      </c>
      <c r="H27" s="6">
        <v>0</v>
      </c>
      <c r="I27" s="6">
        <v>0</v>
      </c>
      <c r="J27" s="6">
        <f t="shared" si="6"/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f t="shared" si="0"/>
        <v>9033607</v>
      </c>
    </row>
    <row r="28" spans="1:16" ht="31.2">
      <c r="A28" s="33" t="s">
        <v>33</v>
      </c>
      <c r="B28" s="33" t="s">
        <v>34</v>
      </c>
      <c r="C28" s="33" t="s">
        <v>35</v>
      </c>
      <c r="D28" s="5" t="s">
        <v>36</v>
      </c>
      <c r="E28" s="6">
        <f t="shared" si="5"/>
        <v>25423124</v>
      </c>
      <c r="F28" s="6">
        <f>18586800+794600-1000000+868684-66000+582720+2168480+600000-49100+753217-47000+2230723</f>
        <v>25423124</v>
      </c>
      <c r="G28" s="6">
        <v>0</v>
      </c>
      <c r="H28" s="6">
        <v>0</v>
      </c>
      <c r="I28" s="6">
        <v>0</v>
      </c>
      <c r="J28" s="6">
        <f t="shared" si="6"/>
        <v>4863749</v>
      </c>
      <c r="K28" s="6">
        <f>2134405+66000+700000-229715+2193059</f>
        <v>4863749</v>
      </c>
      <c r="L28" s="6">
        <v>0</v>
      </c>
      <c r="M28" s="6">
        <v>0</v>
      </c>
      <c r="N28" s="6">
        <v>0</v>
      </c>
      <c r="O28" s="6">
        <f>2134405+66000+700000-229715+2193059</f>
        <v>4863749</v>
      </c>
      <c r="P28" s="6">
        <f t="shared" si="0"/>
        <v>30286873</v>
      </c>
    </row>
    <row r="29" spans="1:16">
      <c r="A29" s="33" t="s">
        <v>37</v>
      </c>
      <c r="B29" s="33" t="s">
        <v>38</v>
      </c>
      <c r="C29" s="33" t="s">
        <v>39</v>
      </c>
      <c r="D29" s="5" t="s">
        <v>40</v>
      </c>
      <c r="E29" s="6">
        <f t="shared" si="5"/>
        <v>9165245</v>
      </c>
      <c r="F29" s="6">
        <f>8941500+198635-54090+79200</f>
        <v>9165245</v>
      </c>
      <c r="G29" s="6">
        <v>0</v>
      </c>
      <c r="H29" s="6">
        <v>0</v>
      </c>
      <c r="I29" s="6">
        <v>0</v>
      </c>
      <c r="J29" s="6">
        <f t="shared" si="6"/>
        <v>870000</v>
      </c>
      <c r="K29" s="6">
        <v>870000</v>
      </c>
      <c r="L29" s="6">
        <v>0</v>
      </c>
      <c r="M29" s="6">
        <v>0</v>
      </c>
      <c r="N29" s="6">
        <v>0</v>
      </c>
      <c r="O29" s="6">
        <v>870000</v>
      </c>
      <c r="P29" s="6">
        <f t="shared" si="0"/>
        <v>10035245</v>
      </c>
    </row>
    <row r="30" spans="1:16" ht="62.4">
      <c r="A30" s="33" t="s">
        <v>41</v>
      </c>
      <c r="B30" s="33" t="s">
        <v>42</v>
      </c>
      <c r="C30" s="33" t="s">
        <v>43</v>
      </c>
      <c r="D30" s="5" t="s">
        <v>44</v>
      </c>
      <c r="E30" s="6">
        <f t="shared" si="5"/>
        <v>11275810</v>
      </c>
      <c r="F30" s="6">
        <f>8225200+99000+603000+36000+2802000-2099490+1000000+284500+325600</f>
        <v>11275810</v>
      </c>
      <c r="G30" s="6">
        <v>0</v>
      </c>
      <c r="H30" s="6">
        <v>0</v>
      </c>
      <c r="I30" s="6">
        <v>0</v>
      </c>
      <c r="J30" s="6">
        <f t="shared" si="6"/>
        <v>2562400</v>
      </c>
      <c r="K30" s="6">
        <f>1000000-36000+1468400+130000</f>
        <v>2562400</v>
      </c>
      <c r="L30" s="6">
        <v>0</v>
      </c>
      <c r="M30" s="6">
        <v>0</v>
      </c>
      <c r="N30" s="6">
        <v>0</v>
      </c>
      <c r="O30" s="6">
        <f>1000000-36000+1468400+130000</f>
        <v>2562400</v>
      </c>
      <c r="P30" s="6">
        <f t="shared" si="0"/>
        <v>13838210</v>
      </c>
    </row>
    <row r="31" spans="1:16" ht="31.2">
      <c r="A31" s="33" t="s">
        <v>45</v>
      </c>
      <c r="B31" s="33" t="s">
        <v>46</v>
      </c>
      <c r="C31" s="33" t="s">
        <v>47</v>
      </c>
      <c r="D31" s="5" t="s">
        <v>48</v>
      </c>
      <c r="E31" s="6">
        <f t="shared" si="5"/>
        <v>1629600</v>
      </c>
      <c r="F31" s="6">
        <v>1629600</v>
      </c>
      <c r="G31" s="6">
        <v>0</v>
      </c>
      <c r="H31" s="6">
        <v>0</v>
      </c>
      <c r="I31" s="6">
        <v>0</v>
      </c>
      <c r="J31" s="6">
        <f t="shared" si="6"/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f t="shared" si="0"/>
        <v>1629600</v>
      </c>
    </row>
    <row r="32" spans="1:16" ht="31.2">
      <c r="A32" s="33" t="s">
        <v>49</v>
      </c>
      <c r="B32" s="33" t="s">
        <v>50</v>
      </c>
      <c r="C32" s="33" t="s">
        <v>51</v>
      </c>
      <c r="D32" s="5" t="s">
        <v>52</v>
      </c>
      <c r="E32" s="6">
        <f t="shared" si="5"/>
        <v>4999900</v>
      </c>
      <c r="F32" s="6">
        <f>4000000+900000+99900</f>
        <v>4999900</v>
      </c>
      <c r="G32" s="6">
        <v>0</v>
      </c>
      <c r="H32" s="6">
        <v>0</v>
      </c>
      <c r="I32" s="6">
        <v>0</v>
      </c>
      <c r="J32" s="6">
        <f t="shared" si="6"/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f t="shared" si="0"/>
        <v>4999900</v>
      </c>
    </row>
    <row r="33" spans="1:16" ht="31.2">
      <c r="A33" s="33" t="s">
        <v>53</v>
      </c>
      <c r="B33" s="33" t="s">
        <v>54</v>
      </c>
      <c r="C33" s="33" t="s">
        <v>55</v>
      </c>
      <c r="D33" s="5" t="s">
        <v>56</v>
      </c>
      <c r="E33" s="6">
        <f>F33+I33</f>
        <v>10860200</v>
      </c>
      <c r="F33" s="6">
        <f>F34+F35+F36</f>
        <v>10860200</v>
      </c>
      <c r="G33" s="6">
        <f t="shared" ref="G33:I33" si="7">SUM(G34:G36)</f>
        <v>0</v>
      </c>
      <c r="H33" s="6">
        <f t="shared" si="7"/>
        <v>0</v>
      </c>
      <c r="I33" s="6">
        <f t="shared" si="7"/>
        <v>0</v>
      </c>
      <c r="J33" s="6">
        <f t="shared" si="6"/>
        <v>0</v>
      </c>
      <c r="K33" s="6">
        <f>SUM(K34:K36)</f>
        <v>0</v>
      </c>
      <c r="L33" s="6">
        <f t="shared" ref="L33:O33" si="8">SUM(L34:L36)</f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>E33 + J33</f>
        <v>10860200</v>
      </c>
    </row>
    <row r="34" spans="1:16" s="21" customFormat="1" ht="62.4">
      <c r="A34" s="7"/>
      <c r="B34" s="7"/>
      <c r="C34" s="7"/>
      <c r="D34" s="1" t="s">
        <v>291</v>
      </c>
      <c r="E34" s="8">
        <f>F34+I34</f>
        <v>7362300</v>
      </c>
      <c r="F34" s="8">
        <f>4176500-44000-78200+3000000+308000</f>
        <v>7362300</v>
      </c>
      <c r="G34" s="8"/>
      <c r="H34" s="8"/>
      <c r="I34" s="8"/>
      <c r="J34" s="8">
        <f t="shared" si="6"/>
        <v>0</v>
      </c>
      <c r="K34" s="8"/>
      <c r="L34" s="8"/>
      <c r="M34" s="8"/>
      <c r="N34" s="8"/>
      <c r="O34" s="8"/>
      <c r="P34" s="8">
        <f t="shared" si="0"/>
        <v>7362300</v>
      </c>
    </row>
    <row r="35" spans="1:16" s="21" customFormat="1" ht="62.4">
      <c r="A35" s="7"/>
      <c r="B35" s="7"/>
      <c r="C35" s="7"/>
      <c r="D35" s="1" t="s">
        <v>292</v>
      </c>
      <c r="E35" s="8">
        <f t="shared" ref="E35:E46" si="9">F35+I35</f>
        <v>817700</v>
      </c>
      <c r="F35" s="8">
        <f>2210900-249200-1144000</f>
        <v>817700</v>
      </c>
      <c r="G35" s="8"/>
      <c r="H35" s="8"/>
      <c r="I35" s="8"/>
      <c r="J35" s="8">
        <f t="shared" si="6"/>
        <v>0</v>
      </c>
      <c r="K35" s="8"/>
      <c r="L35" s="8"/>
      <c r="M35" s="8"/>
      <c r="N35" s="8"/>
      <c r="O35" s="8"/>
      <c r="P35" s="8">
        <f t="shared" si="0"/>
        <v>817700</v>
      </c>
    </row>
    <row r="36" spans="1:16" s="21" customFormat="1" ht="46.8">
      <c r="A36" s="7"/>
      <c r="B36" s="7"/>
      <c r="C36" s="7"/>
      <c r="D36" s="1" t="s">
        <v>293</v>
      </c>
      <c r="E36" s="8">
        <f t="shared" si="9"/>
        <v>2680200</v>
      </c>
      <c r="F36" s="8">
        <f>3025000-344800</f>
        <v>2680200</v>
      </c>
      <c r="G36" s="8"/>
      <c r="H36" s="8"/>
      <c r="I36" s="8"/>
      <c r="J36" s="8">
        <f t="shared" si="6"/>
        <v>0</v>
      </c>
      <c r="K36" s="8"/>
      <c r="L36" s="8"/>
      <c r="M36" s="8"/>
      <c r="N36" s="8"/>
      <c r="O36" s="8"/>
      <c r="P36" s="8">
        <f t="shared" si="0"/>
        <v>2680200</v>
      </c>
    </row>
    <row r="37" spans="1:16">
      <c r="A37" s="9" t="s">
        <v>355</v>
      </c>
      <c r="B37" s="33">
        <v>7130</v>
      </c>
      <c r="C37" s="9" t="s">
        <v>263</v>
      </c>
      <c r="D37" s="5" t="s">
        <v>264</v>
      </c>
      <c r="E37" s="6">
        <f t="shared" si="9"/>
        <v>3000</v>
      </c>
      <c r="F37" s="6">
        <v>3000</v>
      </c>
      <c r="G37" s="6"/>
      <c r="H37" s="6"/>
      <c r="I37" s="6"/>
      <c r="J37" s="8"/>
      <c r="K37" s="6"/>
      <c r="L37" s="6"/>
      <c r="M37" s="6"/>
      <c r="N37" s="6"/>
      <c r="O37" s="6"/>
      <c r="P37" s="6"/>
    </row>
    <row r="38" spans="1:16" ht="46.8">
      <c r="A38" s="9" t="s">
        <v>326</v>
      </c>
      <c r="B38" s="33">
        <v>7350</v>
      </c>
      <c r="C38" s="9" t="s">
        <v>267</v>
      </c>
      <c r="D38" s="5" t="s">
        <v>268</v>
      </c>
      <c r="E38" s="6">
        <f t="shared" si="9"/>
        <v>0</v>
      </c>
      <c r="F38" s="6"/>
      <c r="G38" s="6"/>
      <c r="H38" s="6"/>
      <c r="I38" s="6">
        <f>260000-260000</f>
        <v>0</v>
      </c>
      <c r="J38" s="6">
        <f t="shared" si="6"/>
        <v>660000</v>
      </c>
      <c r="K38" s="6">
        <f>260000+400000</f>
        <v>660000</v>
      </c>
      <c r="L38" s="6"/>
      <c r="M38" s="6"/>
      <c r="N38" s="6"/>
      <c r="O38" s="6">
        <f>260000+400000</f>
        <v>660000</v>
      </c>
      <c r="P38" s="6">
        <f t="shared" si="0"/>
        <v>660000</v>
      </c>
    </row>
    <row r="39" spans="1:16" ht="31.2">
      <c r="A39" s="9" t="s">
        <v>385</v>
      </c>
      <c r="B39" s="33">
        <v>7520</v>
      </c>
      <c r="C39" s="9" t="s">
        <v>387</v>
      </c>
      <c r="D39" s="5" t="s">
        <v>386</v>
      </c>
      <c r="E39" s="6">
        <f t="shared" si="9"/>
        <v>1148300</v>
      </c>
      <c r="F39" s="6">
        <f>598400+298000-875000+18900</f>
        <v>40300</v>
      </c>
      <c r="G39" s="6"/>
      <c r="H39" s="6"/>
      <c r="I39" s="6">
        <f>875000+47000+186000</f>
        <v>1108000</v>
      </c>
      <c r="J39" s="6">
        <f t="shared" si="6"/>
        <v>883797</v>
      </c>
      <c r="K39" s="6">
        <f>58200+135597+690000</f>
        <v>883797</v>
      </c>
      <c r="L39" s="6"/>
      <c r="M39" s="6"/>
      <c r="N39" s="6"/>
      <c r="O39" s="6">
        <f>58200+135597+690000</f>
        <v>883797</v>
      </c>
      <c r="P39" s="6">
        <f t="shared" si="0"/>
        <v>2032097</v>
      </c>
    </row>
    <row r="40" spans="1:16" s="21" customFormat="1" ht="62.4" hidden="1">
      <c r="A40" s="36"/>
      <c r="B40" s="7"/>
      <c r="C40" s="36"/>
      <c r="D40" s="1" t="s">
        <v>291</v>
      </c>
      <c r="E40" s="8">
        <f t="shared" si="9"/>
        <v>0</v>
      </c>
      <c r="F40" s="8"/>
      <c r="G40" s="8"/>
      <c r="H40" s="8"/>
      <c r="I40" s="8"/>
      <c r="J40" s="8">
        <f t="shared" si="6"/>
        <v>58200</v>
      </c>
      <c r="K40" s="8">
        <v>58200</v>
      </c>
      <c r="L40" s="8"/>
      <c r="M40" s="8"/>
      <c r="N40" s="8"/>
      <c r="O40" s="8">
        <v>58200</v>
      </c>
      <c r="P40" s="8">
        <f t="shared" si="0"/>
        <v>58200</v>
      </c>
    </row>
    <row r="41" spans="1:16" s="21" customFormat="1" ht="46.8" hidden="1">
      <c r="A41" s="36"/>
      <c r="B41" s="7"/>
      <c r="C41" s="36"/>
      <c r="D41" s="1" t="s">
        <v>293</v>
      </c>
      <c r="E41" s="8">
        <f t="shared" si="9"/>
        <v>0</v>
      </c>
      <c r="F41" s="8"/>
      <c r="G41" s="8"/>
      <c r="H41" s="8"/>
      <c r="I41" s="8"/>
      <c r="J41" s="8">
        <f t="shared" si="6"/>
        <v>60000</v>
      </c>
      <c r="K41" s="8">
        <v>60000</v>
      </c>
      <c r="L41" s="8"/>
      <c r="M41" s="8"/>
      <c r="N41" s="8"/>
      <c r="O41" s="8">
        <v>60000</v>
      </c>
      <c r="P41" s="8">
        <f t="shared" si="0"/>
        <v>60000</v>
      </c>
    </row>
    <row r="42" spans="1:16" s="21" customFormat="1" ht="46.8" hidden="1">
      <c r="A42" s="36"/>
      <c r="B42" s="7"/>
      <c r="C42" s="36"/>
      <c r="D42" s="1" t="s">
        <v>392</v>
      </c>
      <c r="E42" s="8">
        <f t="shared" si="9"/>
        <v>190000</v>
      </c>
      <c r="F42" s="8">
        <v>190000</v>
      </c>
      <c r="G42" s="8"/>
      <c r="H42" s="8"/>
      <c r="I42" s="8"/>
      <c r="J42" s="8">
        <f t="shared" si="6"/>
        <v>690000</v>
      </c>
      <c r="K42" s="8">
        <v>690000</v>
      </c>
      <c r="L42" s="8"/>
      <c r="M42" s="8"/>
      <c r="N42" s="8"/>
      <c r="O42" s="8">
        <v>690000</v>
      </c>
      <c r="P42" s="8">
        <f t="shared" si="0"/>
        <v>880000</v>
      </c>
    </row>
    <row r="43" spans="1:16" s="21" customFormat="1" ht="62.4" hidden="1">
      <c r="A43" s="36"/>
      <c r="B43" s="7"/>
      <c r="C43" s="36"/>
      <c r="D43" s="1" t="s">
        <v>393</v>
      </c>
      <c r="E43" s="8">
        <f t="shared" si="9"/>
        <v>577000</v>
      </c>
      <c r="F43" s="8">
        <v>577000</v>
      </c>
      <c r="G43" s="8"/>
      <c r="H43" s="8"/>
      <c r="I43" s="8"/>
      <c r="J43" s="8">
        <f t="shared" si="6"/>
        <v>0</v>
      </c>
      <c r="K43" s="8"/>
      <c r="L43" s="8"/>
      <c r="M43" s="8"/>
      <c r="N43" s="8"/>
      <c r="O43" s="8"/>
      <c r="P43" s="8">
        <f t="shared" si="0"/>
        <v>577000</v>
      </c>
    </row>
    <row r="44" spans="1:16" s="21" customFormat="1" ht="62.4" hidden="1">
      <c r="A44" s="36"/>
      <c r="B44" s="7"/>
      <c r="C44" s="36"/>
      <c r="D44" s="1" t="s">
        <v>394</v>
      </c>
      <c r="E44" s="8">
        <f t="shared" si="9"/>
        <v>108000</v>
      </c>
      <c r="F44" s="8">
        <v>108000</v>
      </c>
      <c r="G44" s="8"/>
      <c r="H44" s="8"/>
      <c r="I44" s="8"/>
      <c r="J44" s="8">
        <f t="shared" si="6"/>
        <v>0</v>
      </c>
      <c r="K44" s="8"/>
      <c r="L44" s="8"/>
      <c r="M44" s="8"/>
      <c r="N44" s="8"/>
      <c r="O44" s="8"/>
      <c r="P44" s="8">
        <f t="shared" si="0"/>
        <v>108000</v>
      </c>
    </row>
    <row r="45" spans="1:16" s="21" customFormat="1" ht="46.8" hidden="1">
      <c r="A45" s="36"/>
      <c r="B45" s="7"/>
      <c r="C45" s="36"/>
      <c r="D45" s="1" t="s">
        <v>395</v>
      </c>
      <c r="E45" s="8">
        <f t="shared" si="9"/>
        <v>21400</v>
      </c>
      <c r="F45" s="8">
        <v>21400</v>
      </c>
      <c r="G45" s="8"/>
      <c r="H45" s="8"/>
      <c r="I45" s="8"/>
      <c r="J45" s="8">
        <f t="shared" si="6"/>
        <v>75597</v>
      </c>
      <c r="K45" s="8">
        <v>75597</v>
      </c>
      <c r="L45" s="8"/>
      <c r="M45" s="8"/>
      <c r="N45" s="8"/>
      <c r="O45" s="8">
        <v>75597</v>
      </c>
      <c r="P45" s="8">
        <f t="shared" si="0"/>
        <v>96997</v>
      </c>
    </row>
    <row r="46" spans="1:16">
      <c r="A46" s="9" t="s">
        <v>327</v>
      </c>
      <c r="B46" s="33">
        <v>7640</v>
      </c>
      <c r="C46" s="9" t="s">
        <v>329</v>
      </c>
      <c r="D46" s="5" t="s">
        <v>328</v>
      </c>
      <c r="E46" s="6">
        <f t="shared" si="9"/>
        <v>0</v>
      </c>
      <c r="F46" s="6"/>
      <c r="G46" s="6"/>
      <c r="H46" s="6"/>
      <c r="I46" s="6"/>
      <c r="J46" s="6">
        <f t="shared" si="6"/>
        <v>1680000</v>
      </c>
      <c r="K46" s="6">
        <v>1680000</v>
      </c>
      <c r="L46" s="6"/>
      <c r="M46" s="6"/>
      <c r="N46" s="6"/>
      <c r="O46" s="6">
        <v>1680000</v>
      </c>
      <c r="P46" s="6">
        <f t="shared" si="0"/>
        <v>1680000</v>
      </c>
    </row>
    <row r="47" spans="1:16" ht="31.2">
      <c r="A47" s="33" t="s">
        <v>57</v>
      </c>
      <c r="B47" s="33" t="s">
        <v>58</v>
      </c>
      <c r="C47" s="33" t="s">
        <v>59</v>
      </c>
      <c r="D47" s="5" t="s">
        <v>60</v>
      </c>
      <c r="E47" s="6">
        <f t="shared" si="5"/>
        <v>122000</v>
      </c>
      <c r="F47" s="6">
        <f>110000+12000</f>
        <v>122000</v>
      </c>
      <c r="G47" s="6">
        <v>0</v>
      </c>
      <c r="H47" s="6">
        <v>0</v>
      </c>
      <c r="I47" s="6">
        <v>0</v>
      </c>
      <c r="J47" s="6">
        <f t="shared" si="6"/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f t="shared" si="0"/>
        <v>122000</v>
      </c>
    </row>
    <row r="48" spans="1:16" ht="46.8">
      <c r="A48" s="9" t="s">
        <v>356</v>
      </c>
      <c r="B48" s="33">
        <v>8110</v>
      </c>
      <c r="C48" s="9" t="s">
        <v>248</v>
      </c>
      <c r="D48" s="5" t="s">
        <v>249</v>
      </c>
      <c r="E48" s="6">
        <f t="shared" si="5"/>
        <v>91000</v>
      </c>
      <c r="F48" s="6">
        <f>42000+49000</f>
        <v>91000</v>
      </c>
      <c r="G48" s="6"/>
      <c r="H48" s="6"/>
      <c r="I48" s="6"/>
      <c r="J48" s="6">
        <f t="shared" si="6"/>
        <v>0</v>
      </c>
      <c r="K48" s="6"/>
      <c r="L48" s="6"/>
      <c r="M48" s="6"/>
      <c r="N48" s="6"/>
      <c r="O48" s="6"/>
      <c r="P48" s="6">
        <f t="shared" si="0"/>
        <v>91000</v>
      </c>
    </row>
    <row r="49" spans="1:16" ht="31.2">
      <c r="A49" s="33" t="s">
        <v>61</v>
      </c>
      <c r="B49" s="33" t="s">
        <v>62</v>
      </c>
      <c r="C49" s="33" t="s">
        <v>63</v>
      </c>
      <c r="D49" s="5" t="s">
        <v>64</v>
      </c>
      <c r="E49" s="6">
        <f t="shared" si="5"/>
        <v>21087574</v>
      </c>
      <c r="F49" s="6">
        <f>19446000+1542000-444800+1481200-700000-37299-180627-18900</f>
        <v>21087574</v>
      </c>
      <c r="G49" s="6">
        <f>16649900+1542000+1481200-700000</f>
        <v>18973100</v>
      </c>
      <c r="H49" s="6">
        <f>327000-146497</f>
        <v>180503</v>
      </c>
      <c r="I49" s="6">
        <v>0</v>
      </c>
      <c r="J49" s="6">
        <f t="shared" si="6"/>
        <v>37299</v>
      </c>
      <c r="K49" s="6">
        <v>37299</v>
      </c>
      <c r="L49" s="6">
        <v>0</v>
      </c>
      <c r="M49" s="6">
        <v>0</v>
      </c>
      <c r="N49" s="6">
        <v>0</v>
      </c>
      <c r="O49" s="6">
        <v>37299</v>
      </c>
      <c r="P49" s="6">
        <f t="shared" si="0"/>
        <v>21124873</v>
      </c>
    </row>
    <row r="50" spans="1:16" ht="31.2">
      <c r="A50" s="33" t="s">
        <v>65</v>
      </c>
      <c r="B50" s="33" t="s">
        <v>66</v>
      </c>
      <c r="C50" s="33" t="s">
        <v>63</v>
      </c>
      <c r="D50" s="5" t="s">
        <v>67</v>
      </c>
      <c r="E50" s="6">
        <f t="shared" si="5"/>
        <v>786030</v>
      </c>
      <c r="F50" s="6">
        <f>637000+33000+116030</f>
        <v>786030</v>
      </c>
      <c r="G50" s="6">
        <v>0</v>
      </c>
      <c r="H50" s="6">
        <v>0</v>
      </c>
      <c r="I50" s="6">
        <v>0</v>
      </c>
      <c r="J50" s="6">
        <f t="shared" si="6"/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f t="shared" si="0"/>
        <v>786030</v>
      </c>
    </row>
    <row r="51" spans="1:16" ht="31.2">
      <c r="A51" s="33" t="s">
        <v>68</v>
      </c>
      <c r="B51" s="33" t="s">
        <v>69</v>
      </c>
      <c r="C51" s="33" t="s">
        <v>63</v>
      </c>
      <c r="D51" s="5" t="s">
        <v>70</v>
      </c>
      <c r="E51" s="6">
        <f t="shared" si="5"/>
        <v>2796700</v>
      </c>
      <c r="F51" s="6">
        <f>1975000+4800+126000+380700+49500+260700</f>
        <v>2796700</v>
      </c>
      <c r="G51" s="6">
        <v>0</v>
      </c>
      <c r="H51" s="6">
        <v>0</v>
      </c>
      <c r="I51" s="6">
        <v>0</v>
      </c>
      <c r="J51" s="6">
        <f t="shared" si="6"/>
        <v>190800</v>
      </c>
      <c r="K51" s="6">
        <v>190800</v>
      </c>
      <c r="L51" s="6">
        <v>0</v>
      </c>
      <c r="M51" s="6">
        <v>0</v>
      </c>
      <c r="N51" s="6">
        <v>0</v>
      </c>
      <c r="O51" s="6">
        <v>190800</v>
      </c>
      <c r="P51" s="6">
        <f t="shared" si="0"/>
        <v>2987500</v>
      </c>
    </row>
    <row r="52" spans="1:16" ht="31.2">
      <c r="A52" s="9" t="s">
        <v>321</v>
      </c>
      <c r="B52" s="33">
        <v>8240</v>
      </c>
      <c r="C52" s="9" t="s">
        <v>63</v>
      </c>
      <c r="D52" s="5" t="s">
        <v>272</v>
      </c>
      <c r="E52" s="6">
        <f t="shared" si="5"/>
        <v>954028</v>
      </c>
      <c r="F52" s="6">
        <f>640000+1000000-1000000+314028</f>
        <v>954028</v>
      </c>
      <c r="G52" s="6"/>
      <c r="H52" s="6"/>
      <c r="I52" s="6"/>
      <c r="J52" s="6">
        <f t="shared" si="6"/>
        <v>1276500</v>
      </c>
      <c r="K52" s="6">
        <v>1276500</v>
      </c>
      <c r="L52" s="6"/>
      <c r="M52" s="6"/>
      <c r="N52" s="6"/>
      <c r="O52" s="6">
        <v>1276500</v>
      </c>
      <c r="P52" s="6">
        <f t="shared" si="0"/>
        <v>2230528</v>
      </c>
    </row>
    <row r="53" spans="1:16" ht="31.2">
      <c r="A53" s="9" t="s">
        <v>288</v>
      </c>
      <c r="B53" s="33">
        <v>8340</v>
      </c>
      <c r="C53" s="33" t="s">
        <v>286</v>
      </c>
      <c r="D53" s="5" t="s">
        <v>287</v>
      </c>
      <c r="E53" s="6">
        <f t="shared" si="5"/>
        <v>0</v>
      </c>
      <c r="F53" s="6"/>
      <c r="G53" s="6"/>
      <c r="H53" s="6"/>
      <c r="I53" s="6"/>
      <c r="J53" s="6">
        <f t="shared" si="6"/>
        <v>109900</v>
      </c>
      <c r="K53" s="6"/>
      <c r="L53" s="6">
        <f>50000+50000+9900</f>
        <v>109900</v>
      </c>
      <c r="M53" s="6"/>
      <c r="N53" s="6"/>
      <c r="O53" s="6"/>
      <c r="P53" s="6">
        <f t="shared" si="0"/>
        <v>109900</v>
      </c>
    </row>
    <row r="54" spans="1:16" ht="78">
      <c r="A54" s="9" t="s">
        <v>411</v>
      </c>
      <c r="B54" s="33">
        <v>8721</v>
      </c>
      <c r="C54" s="9" t="s">
        <v>47</v>
      </c>
      <c r="D54" s="5" t="s">
        <v>412</v>
      </c>
      <c r="E54" s="6">
        <f t="shared" si="5"/>
        <v>134600</v>
      </c>
      <c r="F54" s="6">
        <v>134600</v>
      </c>
      <c r="G54" s="6"/>
      <c r="H54" s="6"/>
      <c r="I54" s="6"/>
      <c r="J54" s="6">
        <f t="shared" si="6"/>
        <v>0</v>
      </c>
      <c r="K54" s="6"/>
      <c r="L54" s="6"/>
      <c r="M54" s="6"/>
      <c r="N54" s="6"/>
      <c r="O54" s="6"/>
      <c r="P54" s="6">
        <f t="shared" si="0"/>
        <v>134600</v>
      </c>
    </row>
    <row r="55" spans="1:16" ht="31.2">
      <c r="A55" s="9" t="s">
        <v>365</v>
      </c>
      <c r="B55" s="33">
        <v>8775</v>
      </c>
      <c r="C55" s="9" t="s">
        <v>31</v>
      </c>
      <c r="D55" s="5" t="s">
        <v>366</v>
      </c>
      <c r="E55" s="6">
        <f t="shared" si="5"/>
        <v>590000</v>
      </c>
      <c r="F55" s="6">
        <v>590000</v>
      </c>
      <c r="G55" s="6"/>
      <c r="H55" s="6"/>
      <c r="I55" s="6"/>
      <c r="J55" s="6">
        <f t="shared" si="6"/>
        <v>0</v>
      </c>
      <c r="K55" s="6"/>
      <c r="L55" s="6"/>
      <c r="M55" s="6"/>
      <c r="N55" s="6"/>
      <c r="O55" s="6"/>
      <c r="P55" s="6">
        <f t="shared" si="0"/>
        <v>590000</v>
      </c>
    </row>
    <row r="56" spans="1:16" ht="46.8">
      <c r="A56" s="2" t="s">
        <v>71</v>
      </c>
      <c r="B56" s="2" t="s">
        <v>18</v>
      </c>
      <c r="C56" s="2" t="s">
        <v>18</v>
      </c>
      <c r="D56" s="3" t="s">
        <v>72</v>
      </c>
      <c r="E56" s="4">
        <f>F56+I56</f>
        <v>430028329.63</v>
      </c>
      <c r="F56" s="4">
        <f>F57</f>
        <v>429962329.63</v>
      </c>
      <c r="G56" s="4">
        <f>G57</f>
        <v>338913079.99000001</v>
      </c>
      <c r="H56" s="4">
        <f>H57</f>
        <v>33689901</v>
      </c>
      <c r="I56" s="4">
        <f>I57</f>
        <v>66000</v>
      </c>
      <c r="J56" s="4">
        <f>L56+O56</f>
        <v>46467048.359999999</v>
      </c>
      <c r="K56" s="4">
        <f>K57</f>
        <v>26602829.359999999</v>
      </c>
      <c r="L56" s="4">
        <f t="shared" ref="L56:O56" si="10">L57</f>
        <v>16500000</v>
      </c>
      <c r="M56" s="4">
        <f t="shared" si="10"/>
        <v>0</v>
      </c>
      <c r="N56" s="4">
        <f t="shared" si="10"/>
        <v>0</v>
      </c>
      <c r="O56" s="4">
        <f t="shared" si="10"/>
        <v>29967048.359999999</v>
      </c>
      <c r="P56" s="4">
        <f t="shared" si="0"/>
        <v>476495377.99000001</v>
      </c>
    </row>
    <row r="57" spans="1:16" ht="46.8">
      <c r="A57" s="2" t="s">
        <v>73</v>
      </c>
      <c r="B57" s="2" t="s">
        <v>18</v>
      </c>
      <c r="C57" s="2" t="s">
        <v>18</v>
      </c>
      <c r="D57" s="3" t="s">
        <v>72</v>
      </c>
      <c r="E57" s="4">
        <f>F57+I57</f>
        <v>430028329.63</v>
      </c>
      <c r="F57" s="4">
        <f>SUM(F58:F89)-F80-F81-F76-F77</f>
        <v>429962329.63</v>
      </c>
      <c r="G57" s="4">
        <f t="shared" ref="G57:K57" si="11">SUM(G58:G89)-G80-G81-G76-G77</f>
        <v>338913079.99000001</v>
      </c>
      <c r="H57" s="4">
        <f t="shared" si="11"/>
        <v>33689901</v>
      </c>
      <c r="I57" s="4">
        <f t="shared" si="11"/>
        <v>66000</v>
      </c>
      <c r="J57" s="4">
        <f>L57+O57</f>
        <v>46467048.359999999</v>
      </c>
      <c r="K57" s="4">
        <f t="shared" si="11"/>
        <v>26602829.359999999</v>
      </c>
      <c r="L57" s="4">
        <f t="shared" ref="L57" si="12">SUM(L58:L89)-L80-L81-L76-L77</f>
        <v>16500000</v>
      </c>
      <c r="M57" s="4">
        <f t="shared" ref="M57" si="13">SUM(M58:M89)-M80-M81-M76-M77</f>
        <v>0</v>
      </c>
      <c r="N57" s="4">
        <f t="shared" ref="N57" si="14">SUM(N58:N89)-N80-N81-N76-N77</f>
        <v>0</v>
      </c>
      <c r="O57" s="4">
        <f t="shared" ref="O57" si="15">SUM(O58:O89)-O80-O81-O76-O77</f>
        <v>29967048.359999999</v>
      </c>
      <c r="P57" s="4">
        <f t="shared" si="0"/>
        <v>476495377.99000001</v>
      </c>
    </row>
    <row r="58" spans="1:16" ht="46.8">
      <c r="A58" s="33" t="s">
        <v>74</v>
      </c>
      <c r="B58" s="33" t="s">
        <v>75</v>
      </c>
      <c r="C58" s="33" t="s">
        <v>23</v>
      </c>
      <c r="D58" s="5" t="s">
        <v>76</v>
      </c>
      <c r="E58" s="6">
        <f>F58+I58</f>
        <v>4895833</v>
      </c>
      <c r="F58" s="6">
        <f>5123700-7867-220000</f>
        <v>4895833</v>
      </c>
      <c r="G58" s="6">
        <f>4656300-220000</f>
        <v>4436300</v>
      </c>
      <c r="H58" s="6">
        <f>400800-640</f>
        <v>400160</v>
      </c>
      <c r="I58" s="6">
        <v>0</v>
      </c>
      <c r="J58" s="6">
        <f>L58+O58</f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f t="shared" si="0"/>
        <v>4895833</v>
      </c>
    </row>
    <row r="59" spans="1:16" ht="31.2">
      <c r="A59" s="33" t="s">
        <v>77</v>
      </c>
      <c r="B59" s="33" t="s">
        <v>30</v>
      </c>
      <c r="C59" s="33" t="s">
        <v>31</v>
      </c>
      <c r="D59" s="5" t="s">
        <v>32</v>
      </c>
      <c r="E59" s="6">
        <f t="shared" ref="E59:E89" si="16">F59+I59</f>
        <v>54890</v>
      </c>
      <c r="F59" s="6">
        <f>99000-44110</f>
        <v>54890</v>
      </c>
      <c r="G59" s="6">
        <v>0</v>
      </c>
      <c r="H59" s="6">
        <v>0</v>
      </c>
      <c r="I59" s="6">
        <v>0</v>
      </c>
      <c r="J59" s="6">
        <f t="shared" ref="J59:J89" si="17">L59+O59</f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f t="shared" si="0"/>
        <v>54890</v>
      </c>
    </row>
    <row r="60" spans="1:16">
      <c r="A60" s="33" t="s">
        <v>78</v>
      </c>
      <c r="B60" s="33" t="s">
        <v>79</v>
      </c>
      <c r="C60" s="33" t="s">
        <v>80</v>
      </c>
      <c r="D60" s="5" t="s">
        <v>81</v>
      </c>
      <c r="E60" s="6">
        <f t="shared" si="16"/>
        <v>89546508</v>
      </c>
      <c r="F60" s="6">
        <f>108737600-5482940-1541905-371581-1938765-5061596+497415-4000000-3124720+1833000</f>
        <v>89546508</v>
      </c>
      <c r="G60" s="6">
        <f>85693100-5482940-656964-5061596-4000000-1200000+1380000</f>
        <v>70671600</v>
      </c>
      <c r="H60" s="6">
        <f>12904300-668900-371581-450700</f>
        <v>11413119</v>
      </c>
      <c r="I60" s="6">
        <v>0</v>
      </c>
      <c r="J60" s="6">
        <f t="shared" si="17"/>
        <v>21942713</v>
      </c>
      <c r="K60" s="6">
        <f>3621430+287283+2100000-166000</f>
        <v>5842713</v>
      </c>
      <c r="L60" s="6">
        <v>16100000</v>
      </c>
      <c r="M60" s="6">
        <v>0</v>
      </c>
      <c r="N60" s="6">
        <v>0</v>
      </c>
      <c r="O60" s="6">
        <f>3621430+287283+2100000-166000</f>
        <v>5842713</v>
      </c>
      <c r="P60" s="6">
        <f t="shared" si="0"/>
        <v>111489221</v>
      </c>
    </row>
    <row r="61" spans="1:16" ht="46.8">
      <c r="A61" s="33" t="s">
        <v>82</v>
      </c>
      <c r="B61" s="33" t="s">
        <v>83</v>
      </c>
      <c r="C61" s="33" t="s">
        <v>84</v>
      </c>
      <c r="D61" s="5" t="s">
        <v>85</v>
      </c>
      <c r="E61" s="6">
        <f t="shared" si="16"/>
        <v>83800508</v>
      </c>
      <c r="F61" s="6">
        <f>78349600+15100000-1214067+658273+168737-800000+239800-6273931+431000-3573904+715000</f>
        <v>83800508</v>
      </c>
      <c r="G61" s="6">
        <f>40380000+15100000-6273931-5512084-400000+272000</f>
        <v>43565985</v>
      </c>
      <c r="H61" s="6">
        <f>16403600-644047-540000</f>
        <v>15219553</v>
      </c>
      <c r="I61" s="6">
        <v>0</v>
      </c>
      <c r="J61" s="6">
        <f t="shared" si="17"/>
        <v>3803770</v>
      </c>
      <c r="K61" s="6">
        <f>2254770+1720000-70000-298000</f>
        <v>3606770</v>
      </c>
      <c r="L61" s="6">
        <v>197000</v>
      </c>
      <c r="M61" s="6">
        <v>0</v>
      </c>
      <c r="N61" s="6">
        <v>0</v>
      </c>
      <c r="O61" s="6">
        <f>2254770+1720000-70000-298000</f>
        <v>3606770</v>
      </c>
      <c r="P61" s="6">
        <f t="shared" si="0"/>
        <v>87604278</v>
      </c>
    </row>
    <row r="62" spans="1:16" ht="93.6">
      <c r="A62" s="33" t="s">
        <v>86</v>
      </c>
      <c r="B62" s="33" t="s">
        <v>87</v>
      </c>
      <c r="C62" s="33" t="s">
        <v>88</v>
      </c>
      <c r="D62" s="5" t="s">
        <v>89</v>
      </c>
      <c r="E62" s="6">
        <f t="shared" si="16"/>
        <v>13199050</v>
      </c>
      <c r="F62" s="6">
        <f>14164200+900000-138150+45000+13000-1785000</f>
        <v>13199050</v>
      </c>
      <c r="G62" s="6">
        <f>10028000+900000-1850000</f>
        <v>9078000</v>
      </c>
      <c r="H62" s="6">
        <f>1929700-9700</f>
        <v>1920000</v>
      </c>
      <c r="I62" s="6">
        <v>0</v>
      </c>
      <c r="J62" s="6">
        <f t="shared" si="17"/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f t="shared" si="0"/>
        <v>13199050</v>
      </c>
    </row>
    <row r="63" spans="1:16" ht="46.8">
      <c r="A63" s="33" t="s">
        <v>90</v>
      </c>
      <c r="B63" s="33" t="s">
        <v>91</v>
      </c>
      <c r="C63" s="33" t="s">
        <v>84</v>
      </c>
      <c r="D63" s="5" t="s">
        <v>92</v>
      </c>
      <c r="E63" s="6">
        <f t="shared" si="16"/>
        <v>146822800</v>
      </c>
      <c r="F63" s="6">
        <v>146822800</v>
      </c>
      <c r="G63" s="6">
        <v>146592900</v>
      </c>
      <c r="H63" s="6">
        <v>0</v>
      </c>
      <c r="I63" s="6">
        <v>0</v>
      </c>
      <c r="J63" s="6">
        <f t="shared" si="17"/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f t="shared" si="0"/>
        <v>146822800</v>
      </c>
    </row>
    <row r="64" spans="1:16" ht="93.6">
      <c r="A64" s="33" t="s">
        <v>93</v>
      </c>
      <c r="B64" s="33" t="s">
        <v>94</v>
      </c>
      <c r="C64" s="33" t="s">
        <v>88</v>
      </c>
      <c r="D64" s="5" t="s">
        <v>95</v>
      </c>
      <c r="E64" s="6">
        <f t="shared" si="16"/>
        <v>12600000</v>
      </c>
      <c r="F64" s="6">
        <v>12600000</v>
      </c>
      <c r="G64" s="6">
        <v>12600000</v>
      </c>
      <c r="H64" s="6">
        <v>0</v>
      </c>
      <c r="I64" s="6">
        <v>0</v>
      </c>
      <c r="J64" s="6">
        <f t="shared" si="17"/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f t="shared" si="0"/>
        <v>12600000</v>
      </c>
    </row>
    <row r="65" spans="1:18" ht="46.8">
      <c r="A65" s="33" t="s">
        <v>96</v>
      </c>
      <c r="B65" s="33" t="s">
        <v>97</v>
      </c>
      <c r="C65" s="33" t="s">
        <v>98</v>
      </c>
      <c r="D65" s="5" t="s">
        <v>99</v>
      </c>
      <c r="E65" s="6">
        <f t="shared" si="16"/>
        <v>22240302</v>
      </c>
      <c r="F65" s="6">
        <f>22900800-193260-251988-820250+605000</f>
        <v>22240302</v>
      </c>
      <c r="G65" s="6">
        <f>19000000-1000000+605000</f>
        <v>18605000</v>
      </c>
      <c r="H65" s="6">
        <f>1388800-26570+150700</f>
        <v>1512930</v>
      </c>
      <c r="I65" s="6">
        <v>0</v>
      </c>
      <c r="J65" s="6">
        <f t="shared" si="17"/>
        <v>200000</v>
      </c>
      <c r="K65" s="6">
        <v>0</v>
      </c>
      <c r="L65" s="6">
        <v>200000</v>
      </c>
      <c r="M65" s="6">
        <v>0</v>
      </c>
      <c r="N65" s="6">
        <v>0</v>
      </c>
      <c r="O65" s="6">
        <v>0</v>
      </c>
      <c r="P65" s="6">
        <f t="shared" si="0"/>
        <v>22440302</v>
      </c>
    </row>
    <row r="66" spans="1:18" ht="46.8">
      <c r="A66" s="33" t="s">
        <v>100</v>
      </c>
      <c r="B66" s="33" t="s">
        <v>101</v>
      </c>
      <c r="C66" s="33" t="s">
        <v>102</v>
      </c>
      <c r="D66" s="5" t="s">
        <v>103</v>
      </c>
      <c r="E66" s="6">
        <f t="shared" si="16"/>
        <v>30000</v>
      </c>
      <c r="F66" s="6">
        <v>30000</v>
      </c>
      <c r="G66" s="6">
        <v>0</v>
      </c>
      <c r="H66" s="6">
        <v>0</v>
      </c>
      <c r="I66" s="6">
        <v>0</v>
      </c>
      <c r="J66" s="6">
        <f t="shared" si="17"/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f t="shared" si="0"/>
        <v>30000</v>
      </c>
    </row>
    <row r="67" spans="1:18" ht="31.2">
      <c r="A67" s="33" t="s">
        <v>104</v>
      </c>
      <c r="B67" s="33" t="s">
        <v>105</v>
      </c>
      <c r="C67" s="33" t="s">
        <v>106</v>
      </c>
      <c r="D67" s="5" t="s">
        <v>107</v>
      </c>
      <c r="E67" s="6">
        <f t="shared" si="16"/>
        <v>21712853</v>
      </c>
      <c r="F67" s="6">
        <f>20474900-20000+1103382-658273+202844-46000+60000+1140000-610000</f>
        <v>21646853</v>
      </c>
      <c r="G67" s="6">
        <f>17600000-610000</f>
        <v>16990000</v>
      </c>
      <c r="H67" s="6">
        <f>2136900+259789-160000</f>
        <v>2236689</v>
      </c>
      <c r="I67" s="6">
        <f>20000+46000</f>
        <v>66000</v>
      </c>
      <c r="J67" s="6">
        <f t="shared" si="17"/>
        <v>1133000</v>
      </c>
      <c r="K67" s="6">
        <f>1200000-70000</f>
        <v>1130000</v>
      </c>
      <c r="L67" s="6">
        <v>3000</v>
      </c>
      <c r="M67" s="6">
        <v>0</v>
      </c>
      <c r="N67" s="6">
        <v>0</v>
      </c>
      <c r="O67" s="6">
        <f>1200000-70000</f>
        <v>1130000</v>
      </c>
      <c r="P67" s="6">
        <f t="shared" si="0"/>
        <v>22845853</v>
      </c>
    </row>
    <row r="68" spans="1:18" ht="46.8">
      <c r="A68" s="33" t="s">
        <v>108</v>
      </c>
      <c r="B68" s="33" t="s">
        <v>109</v>
      </c>
      <c r="C68" s="33" t="s">
        <v>106</v>
      </c>
      <c r="D68" s="5" t="s">
        <v>110</v>
      </c>
      <c r="E68" s="6">
        <f t="shared" si="16"/>
        <v>622520</v>
      </c>
      <c r="F68" s="6">
        <f>726800-200000-10280+6000+100000</f>
        <v>622520</v>
      </c>
      <c r="G68" s="6">
        <f>393800-200000+18300</f>
        <v>212100</v>
      </c>
      <c r="H68" s="6">
        <f>179000-18630</f>
        <v>160370</v>
      </c>
      <c r="I68" s="6">
        <v>0</v>
      </c>
      <c r="J68" s="6">
        <f t="shared" si="17"/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f t="shared" si="0"/>
        <v>622520</v>
      </c>
    </row>
    <row r="69" spans="1:18" ht="46.8">
      <c r="A69" s="33" t="s">
        <v>111</v>
      </c>
      <c r="B69" s="33" t="s">
        <v>112</v>
      </c>
      <c r="C69" s="33" t="s">
        <v>106</v>
      </c>
      <c r="D69" s="5" t="s">
        <v>113</v>
      </c>
      <c r="E69" s="6">
        <f t="shared" si="16"/>
        <v>2775740</v>
      </c>
      <c r="F69" s="6">
        <v>2775740</v>
      </c>
      <c r="G69" s="6">
        <v>2775740</v>
      </c>
      <c r="H69" s="6">
        <v>0</v>
      </c>
      <c r="I69" s="6">
        <v>0</v>
      </c>
      <c r="J69" s="6">
        <f t="shared" si="17"/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f t="shared" si="0"/>
        <v>2775740</v>
      </c>
    </row>
    <row r="70" spans="1:18" ht="124.8">
      <c r="A70" s="9" t="s">
        <v>357</v>
      </c>
      <c r="B70" s="33">
        <v>1154</v>
      </c>
      <c r="C70" s="9" t="s">
        <v>106</v>
      </c>
      <c r="D70" s="5" t="s">
        <v>358</v>
      </c>
      <c r="E70" s="6">
        <f t="shared" si="16"/>
        <v>245454.99</v>
      </c>
      <c r="F70" s="6">
        <v>245454.99</v>
      </c>
      <c r="G70" s="6">
        <v>245454.99</v>
      </c>
      <c r="H70" s="6"/>
      <c r="I70" s="6"/>
      <c r="J70" s="6">
        <f t="shared" si="17"/>
        <v>0</v>
      </c>
      <c r="K70" s="6"/>
      <c r="L70" s="6"/>
      <c r="M70" s="6"/>
      <c r="N70" s="6"/>
      <c r="O70" s="6"/>
      <c r="P70" s="6">
        <f t="shared" si="0"/>
        <v>245454.99</v>
      </c>
    </row>
    <row r="71" spans="1:18" ht="46.8">
      <c r="A71" s="33" t="s">
        <v>114</v>
      </c>
      <c r="B71" s="33" t="s">
        <v>115</v>
      </c>
      <c r="C71" s="33" t="s">
        <v>106</v>
      </c>
      <c r="D71" s="5" t="s">
        <v>116</v>
      </c>
      <c r="E71" s="6">
        <f t="shared" si="16"/>
        <v>4315418</v>
      </c>
      <c r="F71" s="6">
        <f>4471900-4482-152000</f>
        <v>4315418</v>
      </c>
      <c r="G71" s="6">
        <f>4150000-350000</f>
        <v>3800000</v>
      </c>
      <c r="H71" s="6">
        <f>56900-300</f>
        <v>56600</v>
      </c>
      <c r="I71" s="6">
        <v>0</v>
      </c>
      <c r="J71" s="6">
        <f t="shared" si="17"/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f t="shared" si="0"/>
        <v>4315418</v>
      </c>
    </row>
    <row r="72" spans="1:18" ht="109.2">
      <c r="A72" s="9" t="s">
        <v>396</v>
      </c>
      <c r="B72" s="9" t="s">
        <v>398</v>
      </c>
      <c r="C72" s="9" t="s">
        <v>106</v>
      </c>
      <c r="D72" s="5" t="s">
        <v>400</v>
      </c>
      <c r="E72" s="6">
        <f t="shared" si="16"/>
        <v>0</v>
      </c>
      <c r="F72" s="6"/>
      <c r="G72" s="6"/>
      <c r="H72" s="6"/>
      <c r="I72" s="6"/>
      <c r="J72" s="6">
        <f t="shared" si="17"/>
        <v>1012084</v>
      </c>
      <c r="K72" s="6">
        <v>1012084</v>
      </c>
      <c r="L72" s="6"/>
      <c r="M72" s="6"/>
      <c r="N72" s="6"/>
      <c r="O72" s="6">
        <v>1012084</v>
      </c>
      <c r="P72" s="6">
        <f t="shared" si="0"/>
        <v>1012084</v>
      </c>
    </row>
    <row r="73" spans="1:18" ht="93.6">
      <c r="A73" s="9" t="s">
        <v>397</v>
      </c>
      <c r="B73" s="9" t="s">
        <v>399</v>
      </c>
      <c r="C73" s="9" t="s">
        <v>106</v>
      </c>
      <c r="D73" s="5" t="s">
        <v>401</v>
      </c>
      <c r="E73" s="6">
        <f t="shared" si="16"/>
        <v>0</v>
      </c>
      <c r="F73" s="6"/>
      <c r="G73" s="6"/>
      <c r="H73" s="6"/>
      <c r="I73" s="6"/>
      <c r="J73" s="6">
        <f t="shared" si="17"/>
        <v>2361528</v>
      </c>
      <c r="K73" s="6">
        <v>2361528</v>
      </c>
      <c r="L73" s="6"/>
      <c r="M73" s="6"/>
      <c r="N73" s="6"/>
      <c r="O73" s="6">
        <v>2361528</v>
      </c>
      <c r="P73" s="6">
        <f t="shared" si="0"/>
        <v>2361528</v>
      </c>
    </row>
    <row r="74" spans="1:18" ht="78">
      <c r="A74" s="9" t="s">
        <v>377</v>
      </c>
      <c r="B74" s="33">
        <v>1200</v>
      </c>
      <c r="C74" s="33" t="s">
        <v>106</v>
      </c>
      <c r="D74" s="5" t="s">
        <v>378</v>
      </c>
      <c r="E74" s="6">
        <f t="shared" si="16"/>
        <v>292110</v>
      </c>
      <c r="F74" s="6">
        <f>F76+F77</f>
        <v>292110</v>
      </c>
      <c r="G74" s="6">
        <f>G76+G77</f>
        <v>0</v>
      </c>
      <c r="H74" s="6"/>
      <c r="I74" s="6"/>
      <c r="J74" s="6"/>
      <c r="K74" s="6"/>
      <c r="L74" s="6"/>
      <c r="M74" s="6"/>
      <c r="N74" s="6"/>
      <c r="O74" s="6"/>
      <c r="P74" s="6">
        <f t="shared" si="0"/>
        <v>292110</v>
      </c>
    </row>
    <row r="75" spans="1:18" s="25" customFormat="1">
      <c r="A75" s="22"/>
      <c r="B75" s="22"/>
      <c r="C75" s="22"/>
      <c r="D75" s="23" t="s">
        <v>370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24"/>
      <c r="R75" s="24"/>
    </row>
    <row r="76" spans="1:18" s="29" customFormat="1" ht="78">
      <c r="A76" s="26"/>
      <c r="B76" s="26"/>
      <c r="C76" s="26"/>
      <c r="D76" s="27" t="s">
        <v>371</v>
      </c>
      <c r="E76" s="31">
        <f t="shared" ref="E76:E77" si="18">F76+I76</f>
        <v>179439</v>
      </c>
      <c r="F76" s="31">
        <v>179439</v>
      </c>
      <c r="G76" s="31"/>
      <c r="H76" s="31"/>
      <c r="I76" s="31"/>
      <c r="J76" s="31"/>
      <c r="K76" s="31"/>
      <c r="L76" s="31"/>
      <c r="M76" s="31"/>
      <c r="N76" s="31"/>
      <c r="O76" s="31"/>
      <c r="P76" s="31">
        <f t="shared" ref="P76:P77" si="19">E76+J76</f>
        <v>179439</v>
      </c>
      <c r="Q76" s="28"/>
      <c r="R76" s="28"/>
    </row>
    <row r="77" spans="1:18" s="29" customFormat="1" ht="78">
      <c r="A77" s="26"/>
      <c r="B77" s="26"/>
      <c r="C77" s="26"/>
      <c r="D77" s="27" t="s">
        <v>372</v>
      </c>
      <c r="E77" s="31">
        <f t="shared" si="18"/>
        <v>112671</v>
      </c>
      <c r="F77" s="31">
        <v>112671</v>
      </c>
      <c r="G77" s="31"/>
      <c r="H77" s="31"/>
      <c r="I77" s="31"/>
      <c r="J77" s="31"/>
      <c r="K77" s="31"/>
      <c r="L77" s="31"/>
      <c r="M77" s="31"/>
      <c r="N77" s="31"/>
      <c r="O77" s="31"/>
      <c r="P77" s="31">
        <f t="shared" si="19"/>
        <v>112671</v>
      </c>
      <c r="Q77" s="28"/>
      <c r="R77" s="28"/>
    </row>
    <row r="78" spans="1:18" s="25" customFormat="1" ht="93.6">
      <c r="A78" s="22" t="s">
        <v>367</v>
      </c>
      <c r="B78" s="22" t="s">
        <v>368</v>
      </c>
      <c r="C78" s="22" t="s">
        <v>106</v>
      </c>
      <c r="D78" s="23" t="s">
        <v>369</v>
      </c>
      <c r="E78" s="30">
        <f>F78+I78</f>
        <v>97284</v>
      </c>
      <c r="F78" s="30">
        <f>F80+F81</f>
        <v>97284</v>
      </c>
      <c r="G78" s="30"/>
      <c r="H78" s="30"/>
      <c r="I78" s="30"/>
      <c r="J78" s="30"/>
      <c r="K78" s="30"/>
      <c r="L78" s="30"/>
      <c r="M78" s="30"/>
      <c r="N78" s="30"/>
      <c r="O78" s="30"/>
      <c r="P78" s="30">
        <f t="shared" ref="P78:P81" si="20">E78+J78</f>
        <v>97284</v>
      </c>
      <c r="Q78" s="24"/>
      <c r="R78" s="24"/>
    </row>
    <row r="79" spans="1:18" s="25" customFormat="1">
      <c r="A79" s="22"/>
      <c r="B79" s="22"/>
      <c r="C79" s="22"/>
      <c r="D79" s="23" t="s">
        <v>370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24"/>
      <c r="R79" s="24"/>
    </row>
    <row r="80" spans="1:18" s="29" customFormat="1" ht="78">
      <c r="A80" s="26"/>
      <c r="B80" s="26"/>
      <c r="C80" s="26"/>
      <c r="D80" s="27" t="s">
        <v>371</v>
      </c>
      <c r="E80" s="31">
        <f t="shared" ref="E80:E81" si="21">F80+I80</f>
        <v>60434</v>
      </c>
      <c r="F80" s="31">
        <v>60434</v>
      </c>
      <c r="G80" s="31"/>
      <c r="H80" s="31"/>
      <c r="I80" s="31"/>
      <c r="J80" s="31"/>
      <c r="K80" s="31"/>
      <c r="L80" s="31"/>
      <c r="M80" s="31"/>
      <c r="N80" s="31"/>
      <c r="O80" s="31"/>
      <c r="P80" s="31">
        <f t="shared" si="20"/>
        <v>60434</v>
      </c>
      <c r="Q80" s="28"/>
      <c r="R80" s="28"/>
    </row>
    <row r="81" spans="1:18" s="29" customFormat="1" ht="78">
      <c r="A81" s="26"/>
      <c r="B81" s="26"/>
      <c r="C81" s="26"/>
      <c r="D81" s="27" t="s">
        <v>372</v>
      </c>
      <c r="E81" s="31">
        <f t="shared" si="21"/>
        <v>36850</v>
      </c>
      <c r="F81" s="31">
        <v>36850</v>
      </c>
      <c r="G81" s="31"/>
      <c r="H81" s="31"/>
      <c r="I81" s="31"/>
      <c r="J81" s="31"/>
      <c r="K81" s="31"/>
      <c r="L81" s="31"/>
      <c r="M81" s="31"/>
      <c r="N81" s="31"/>
      <c r="O81" s="31"/>
      <c r="P81" s="31">
        <f t="shared" si="20"/>
        <v>36850</v>
      </c>
      <c r="Q81" s="28"/>
      <c r="R81" s="28"/>
    </row>
    <row r="82" spans="1:18" ht="140.4">
      <c r="A82" s="9" t="s">
        <v>359</v>
      </c>
      <c r="B82" s="33">
        <v>1291</v>
      </c>
      <c r="C82" s="22" t="s">
        <v>106</v>
      </c>
      <c r="D82" s="5" t="s">
        <v>360</v>
      </c>
      <c r="E82" s="32">
        <f t="shared" si="16"/>
        <v>0</v>
      </c>
      <c r="F82" s="32"/>
      <c r="G82" s="32"/>
      <c r="H82" s="32"/>
      <c r="I82" s="32"/>
      <c r="J82" s="32">
        <f t="shared" si="17"/>
        <v>1441809</v>
      </c>
      <c r="K82" s="32">
        <f>656964+784845</f>
        <v>1441809</v>
      </c>
      <c r="L82" s="32"/>
      <c r="M82" s="32"/>
      <c r="N82" s="32"/>
      <c r="O82" s="32">
        <f>656964+784845</f>
        <v>1441809</v>
      </c>
      <c r="P82" s="32">
        <f t="shared" si="0"/>
        <v>1441809</v>
      </c>
    </row>
    <row r="83" spans="1:18" ht="124.8">
      <c r="A83" s="22" t="s">
        <v>350</v>
      </c>
      <c r="B83" s="22" t="s">
        <v>351</v>
      </c>
      <c r="C83" s="22" t="s">
        <v>106</v>
      </c>
      <c r="D83" s="23" t="s">
        <v>352</v>
      </c>
      <c r="E83" s="32">
        <f t="shared" si="16"/>
        <v>0</v>
      </c>
      <c r="F83" s="32"/>
      <c r="G83" s="32"/>
      <c r="H83" s="32"/>
      <c r="I83" s="32"/>
      <c r="J83" s="32">
        <f t="shared" si="17"/>
        <v>3364219</v>
      </c>
      <c r="K83" s="32"/>
      <c r="L83" s="32"/>
      <c r="M83" s="32"/>
      <c r="N83" s="32"/>
      <c r="O83" s="30">
        <f>1532916+1831303</f>
        <v>3364219</v>
      </c>
      <c r="P83" s="32">
        <f t="shared" si="0"/>
        <v>3364219</v>
      </c>
    </row>
    <row r="84" spans="1:18" ht="78">
      <c r="A84" s="22" t="s">
        <v>413</v>
      </c>
      <c r="B84" s="22" t="s">
        <v>414</v>
      </c>
      <c r="C84" s="22" t="s">
        <v>106</v>
      </c>
      <c r="D84" s="23" t="s">
        <v>415</v>
      </c>
      <c r="E84" s="32">
        <f t="shared" si="16"/>
        <v>6815300</v>
      </c>
      <c r="F84" s="32">
        <v>6815300</v>
      </c>
      <c r="G84" s="32"/>
      <c r="H84" s="32"/>
      <c r="I84" s="32"/>
      <c r="J84" s="32">
        <f t="shared" si="17"/>
        <v>0</v>
      </c>
      <c r="K84" s="32"/>
      <c r="L84" s="32"/>
      <c r="M84" s="32"/>
      <c r="N84" s="32"/>
      <c r="O84" s="30"/>
      <c r="P84" s="32">
        <f t="shared" si="0"/>
        <v>6815300</v>
      </c>
    </row>
    <row r="85" spans="1:18" ht="93.6">
      <c r="A85" s="33" t="s">
        <v>117</v>
      </c>
      <c r="B85" s="33" t="s">
        <v>118</v>
      </c>
      <c r="C85" s="33" t="s">
        <v>119</v>
      </c>
      <c r="D85" s="5" t="s">
        <v>120</v>
      </c>
      <c r="E85" s="6">
        <f t="shared" si="16"/>
        <v>3899780</v>
      </c>
      <c r="F85" s="6">
        <f>3348600-9100+800000-237720-2000</f>
        <v>3899780</v>
      </c>
      <c r="G85" s="6">
        <v>0</v>
      </c>
      <c r="H85" s="6">
        <v>0</v>
      </c>
      <c r="I85" s="6">
        <v>0</v>
      </c>
      <c r="J85" s="6">
        <f t="shared" si="17"/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f t="shared" si="0"/>
        <v>3899780</v>
      </c>
    </row>
    <row r="86" spans="1:18" ht="31.2">
      <c r="A86" s="33" t="s">
        <v>121</v>
      </c>
      <c r="B86" s="33" t="s">
        <v>50</v>
      </c>
      <c r="C86" s="33" t="s">
        <v>51</v>
      </c>
      <c r="D86" s="5" t="s">
        <v>52</v>
      </c>
      <c r="E86" s="6">
        <f t="shared" si="16"/>
        <v>3100000</v>
      </c>
      <c r="F86" s="6">
        <v>3100000</v>
      </c>
      <c r="G86" s="6">
        <v>0</v>
      </c>
      <c r="H86" s="6">
        <v>0</v>
      </c>
      <c r="I86" s="6">
        <v>0</v>
      </c>
      <c r="J86" s="6">
        <f t="shared" si="17"/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f t="shared" si="0"/>
        <v>3100000</v>
      </c>
    </row>
    <row r="87" spans="1:18" ht="46.8">
      <c r="A87" s="33" t="s">
        <v>122</v>
      </c>
      <c r="B87" s="33" t="s">
        <v>123</v>
      </c>
      <c r="C87" s="33" t="s">
        <v>124</v>
      </c>
      <c r="D87" s="5" t="s">
        <v>125</v>
      </c>
      <c r="E87" s="6">
        <f t="shared" si="16"/>
        <v>11385747</v>
      </c>
      <c r="F87" s="6">
        <f>11976800-53053+10000-148000-400000</f>
        <v>11385747</v>
      </c>
      <c r="G87" s="6">
        <f>10100000-360000-400000</f>
        <v>9340000</v>
      </c>
      <c r="H87" s="6">
        <f>771800-1320</f>
        <v>770480</v>
      </c>
      <c r="I87" s="6">
        <v>0</v>
      </c>
      <c r="J87" s="6">
        <f t="shared" si="17"/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f t="shared" ref="P87:P123" si="22">E87 + J87</f>
        <v>11385747</v>
      </c>
    </row>
    <row r="88" spans="1:18" ht="31.2">
      <c r="A88" s="9" t="s">
        <v>388</v>
      </c>
      <c r="B88" s="33">
        <v>7520</v>
      </c>
      <c r="C88" s="9" t="s">
        <v>387</v>
      </c>
      <c r="D88" s="5" t="s">
        <v>386</v>
      </c>
      <c r="E88" s="6">
        <f t="shared" si="16"/>
        <v>295000</v>
      </c>
      <c r="F88" s="6">
        <v>295000</v>
      </c>
      <c r="G88" s="6"/>
      <c r="H88" s="6"/>
      <c r="I88" s="6"/>
      <c r="J88" s="6">
        <f t="shared" si="17"/>
        <v>205000</v>
      </c>
      <c r="K88" s="6">
        <v>205000</v>
      </c>
      <c r="L88" s="6"/>
      <c r="M88" s="6"/>
      <c r="N88" s="6"/>
      <c r="O88" s="6">
        <v>205000</v>
      </c>
      <c r="P88" s="6">
        <f t="shared" si="22"/>
        <v>500000</v>
      </c>
    </row>
    <row r="89" spans="1:18" ht="46.8">
      <c r="A89" s="9" t="s">
        <v>330</v>
      </c>
      <c r="B89" s="33">
        <v>8110</v>
      </c>
      <c r="C89" s="9" t="s">
        <v>248</v>
      </c>
      <c r="D89" s="5" t="s">
        <v>249</v>
      </c>
      <c r="E89" s="6">
        <f t="shared" si="16"/>
        <v>1281231.6400000001</v>
      </c>
      <c r="F89" s="6">
        <f>100000+531231.64+650000</f>
        <v>1281231.6400000001</v>
      </c>
      <c r="G89" s="6"/>
      <c r="H89" s="6"/>
      <c r="I89" s="6"/>
      <c r="J89" s="6">
        <f t="shared" si="17"/>
        <v>11002925.359999999</v>
      </c>
      <c r="K89" s="6">
        <f>3000000+689876+1958149.36+7000000-1545100-100000</f>
        <v>11002925.359999999</v>
      </c>
      <c r="L89" s="6"/>
      <c r="M89" s="6"/>
      <c r="N89" s="6"/>
      <c r="O89" s="6">
        <f>3000000+689876+1958149.36+7000000-1545100-100000</f>
        <v>11002925.359999999</v>
      </c>
      <c r="P89" s="6">
        <f t="shared" si="22"/>
        <v>12284157</v>
      </c>
    </row>
    <row r="90" spans="1:18" ht="46.8">
      <c r="A90" s="2" t="s">
        <v>126</v>
      </c>
      <c r="B90" s="2" t="s">
        <v>18</v>
      </c>
      <c r="C90" s="2" t="s">
        <v>18</v>
      </c>
      <c r="D90" s="3" t="s">
        <v>127</v>
      </c>
      <c r="E90" s="4">
        <f>F90+I90</f>
        <v>101389258.06</v>
      </c>
      <c r="F90" s="4">
        <f>F91</f>
        <v>101389258.06</v>
      </c>
      <c r="G90" s="4">
        <f>G91</f>
        <v>41011993.060000002</v>
      </c>
      <c r="H90" s="4">
        <f>H91</f>
        <v>1363500</v>
      </c>
      <c r="I90" s="4">
        <f>I91</f>
        <v>0</v>
      </c>
      <c r="J90" s="4">
        <f>L90+O90</f>
        <v>8660247</v>
      </c>
      <c r="K90" s="4">
        <f>K91</f>
        <v>8603847</v>
      </c>
      <c r="L90" s="4">
        <f t="shared" ref="L90:O90" si="23">L91</f>
        <v>0</v>
      </c>
      <c r="M90" s="4">
        <f t="shared" si="23"/>
        <v>0</v>
      </c>
      <c r="N90" s="4">
        <f t="shared" si="23"/>
        <v>0</v>
      </c>
      <c r="O90" s="4">
        <f t="shared" si="23"/>
        <v>8660247</v>
      </c>
      <c r="P90" s="4">
        <f t="shared" si="22"/>
        <v>110049505.06</v>
      </c>
    </row>
    <row r="91" spans="1:18" ht="46.8">
      <c r="A91" s="2" t="s">
        <v>128</v>
      </c>
      <c r="B91" s="2" t="s">
        <v>18</v>
      </c>
      <c r="C91" s="2" t="s">
        <v>18</v>
      </c>
      <c r="D91" s="3" t="s">
        <v>127</v>
      </c>
      <c r="E91" s="4">
        <f>F91+I91</f>
        <v>101389258.06</v>
      </c>
      <c r="F91" s="4">
        <f>SUM(F92:F109)</f>
        <v>101389258.06</v>
      </c>
      <c r="G91" s="4">
        <f t="shared" ref="G91:I91" si="24">SUM(G92:G109)</f>
        <v>41011993.060000002</v>
      </c>
      <c r="H91" s="4">
        <f t="shared" si="24"/>
        <v>1363500</v>
      </c>
      <c r="I91" s="4">
        <f t="shared" si="24"/>
        <v>0</v>
      </c>
      <c r="J91" s="4">
        <f>L91+O91</f>
        <v>8660247</v>
      </c>
      <c r="K91" s="4">
        <f>SUM(K92:K109)</f>
        <v>8603847</v>
      </c>
      <c r="L91" s="4">
        <f t="shared" ref="L91:O91" si="25">SUM(L92:L109)</f>
        <v>0</v>
      </c>
      <c r="M91" s="4">
        <f t="shared" si="25"/>
        <v>0</v>
      </c>
      <c r="N91" s="4">
        <f t="shared" si="25"/>
        <v>0</v>
      </c>
      <c r="O91" s="4">
        <f t="shared" si="25"/>
        <v>8660247</v>
      </c>
      <c r="P91" s="4">
        <f t="shared" si="22"/>
        <v>110049505.06</v>
      </c>
    </row>
    <row r="92" spans="1:18" ht="46.8">
      <c r="A92" s="33" t="s">
        <v>129</v>
      </c>
      <c r="B92" s="33" t="s">
        <v>75</v>
      </c>
      <c r="C92" s="33" t="s">
        <v>23</v>
      </c>
      <c r="D92" s="5" t="s">
        <v>76</v>
      </c>
      <c r="E92" s="6">
        <f>F92+I92</f>
        <v>17622300</v>
      </c>
      <c r="F92" s="6">
        <f>15522300+600000+1500000</f>
        <v>17622300</v>
      </c>
      <c r="G92" s="6">
        <f>14208400+600000+1500000</f>
        <v>16308400</v>
      </c>
      <c r="H92" s="6">
        <v>770900</v>
      </c>
      <c r="I92" s="6">
        <v>0</v>
      </c>
      <c r="J92" s="6">
        <f>L92+O92</f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f t="shared" si="22"/>
        <v>17622300</v>
      </c>
    </row>
    <row r="93" spans="1:18" ht="31.2">
      <c r="A93" s="33" t="s">
        <v>130</v>
      </c>
      <c r="B93" s="33" t="s">
        <v>30</v>
      </c>
      <c r="C93" s="33" t="s">
        <v>31</v>
      </c>
      <c r="D93" s="5" t="s">
        <v>32</v>
      </c>
      <c r="E93" s="6">
        <f t="shared" ref="E93:E109" si="26">F93+I93</f>
        <v>194110</v>
      </c>
      <c r="F93" s="6">
        <f>149000+99200-54090</f>
        <v>194110</v>
      </c>
      <c r="G93" s="6">
        <v>0</v>
      </c>
      <c r="H93" s="6">
        <v>0</v>
      </c>
      <c r="I93" s="6">
        <v>0</v>
      </c>
      <c r="J93" s="6">
        <f t="shared" ref="J93:J188" si="27">L93+O93</f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f t="shared" si="22"/>
        <v>194110</v>
      </c>
    </row>
    <row r="94" spans="1:18" ht="46.8">
      <c r="A94" s="33" t="s">
        <v>131</v>
      </c>
      <c r="B94" s="33" t="s">
        <v>132</v>
      </c>
      <c r="C94" s="33" t="s">
        <v>133</v>
      </c>
      <c r="D94" s="5" t="s">
        <v>134</v>
      </c>
      <c r="E94" s="6">
        <f t="shared" si="26"/>
        <v>2311000</v>
      </c>
      <c r="F94" s="6">
        <v>2311000</v>
      </c>
      <c r="G94" s="6">
        <v>0</v>
      </c>
      <c r="H94" s="6">
        <v>0</v>
      </c>
      <c r="I94" s="6">
        <v>0</v>
      </c>
      <c r="J94" s="6">
        <f t="shared" si="27"/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f t="shared" si="22"/>
        <v>2311000</v>
      </c>
    </row>
    <row r="95" spans="1:18" ht="31.2">
      <c r="A95" s="33" t="s">
        <v>135</v>
      </c>
      <c r="B95" s="33" t="s">
        <v>136</v>
      </c>
      <c r="C95" s="33" t="s">
        <v>97</v>
      </c>
      <c r="D95" s="5" t="s">
        <v>137</v>
      </c>
      <c r="E95" s="6">
        <f t="shared" si="26"/>
        <v>11500</v>
      </c>
      <c r="F95" s="6">
        <v>11500</v>
      </c>
      <c r="G95" s="6">
        <v>0</v>
      </c>
      <c r="H95" s="6">
        <v>0</v>
      </c>
      <c r="I95" s="6">
        <v>0</v>
      </c>
      <c r="J95" s="6">
        <f t="shared" si="27"/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f t="shared" si="22"/>
        <v>11500</v>
      </c>
    </row>
    <row r="96" spans="1:18" ht="46.8">
      <c r="A96" s="33" t="s">
        <v>138</v>
      </c>
      <c r="B96" s="33" t="s">
        <v>139</v>
      </c>
      <c r="C96" s="33" t="s">
        <v>97</v>
      </c>
      <c r="D96" s="5" t="s">
        <v>140</v>
      </c>
      <c r="E96" s="6">
        <f t="shared" si="26"/>
        <v>444119</v>
      </c>
      <c r="F96" s="6">
        <f>306529+137590</f>
        <v>444119</v>
      </c>
      <c r="G96" s="6">
        <v>0</v>
      </c>
      <c r="H96" s="6">
        <v>0</v>
      </c>
      <c r="I96" s="6">
        <v>0</v>
      </c>
      <c r="J96" s="6">
        <f t="shared" si="27"/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f t="shared" si="22"/>
        <v>444119</v>
      </c>
    </row>
    <row r="97" spans="1:16" ht="46.8">
      <c r="A97" s="33" t="s">
        <v>141</v>
      </c>
      <c r="B97" s="33" t="s">
        <v>142</v>
      </c>
      <c r="C97" s="33" t="s">
        <v>133</v>
      </c>
      <c r="D97" s="5" t="s">
        <v>143</v>
      </c>
      <c r="E97" s="6">
        <f t="shared" si="26"/>
        <v>83516</v>
      </c>
      <c r="F97" s="6">
        <f>182216-98700</f>
        <v>83516</v>
      </c>
      <c r="G97" s="6">
        <v>0</v>
      </c>
      <c r="H97" s="6">
        <v>0</v>
      </c>
      <c r="I97" s="6">
        <v>0</v>
      </c>
      <c r="J97" s="6">
        <f t="shared" si="27"/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f t="shared" si="22"/>
        <v>83516</v>
      </c>
    </row>
    <row r="98" spans="1:16" ht="78">
      <c r="A98" s="33" t="s">
        <v>144</v>
      </c>
      <c r="B98" s="33" t="s">
        <v>145</v>
      </c>
      <c r="C98" s="33" t="s">
        <v>146</v>
      </c>
      <c r="D98" s="5" t="s">
        <v>147</v>
      </c>
      <c r="E98" s="6">
        <f t="shared" si="26"/>
        <v>18696353.059999999</v>
      </c>
      <c r="F98" s="6">
        <f>19637500-1007040+65893.06</f>
        <v>18696353.059999999</v>
      </c>
      <c r="G98" s="6">
        <f>18509200-1000000+65893.06</f>
        <v>17575093.059999999</v>
      </c>
      <c r="H98" s="6">
        <v>345300</v>
      </c>
      <c r="I98" s="6">
        <v>0</v>
      </c>
      <c r="J98" s="6">
        <f t="shared" si="27"/>
        <v>56400</v>
      </c>
      <c r="K98" s="6">
        <v>0</v>
      </c>
      <c r="L98" s="6">
        <v>0</v>
      </c>
      <c r="M98" s="6">
        <v>0</v>
      </c>
      <c r="N98" s="6">
        <v>0</v>
      </c>
      <c r="O98" s="6">
        <v>56400</v>
      </c>
      <c r="P98" s="6">
        <f t="shared" si="22"/>
        <v>18752753.059999999</v>
      </c>
    </row>
    <row r="99" spans="1:16" ht="31.2">
      <c r="A99" s="33" t="s">
        <v>148</v>
      </c>
      <c r="B99" s="33" t="s">
        <v>149</v>
      </c>
      <c r="C99" s="33" t="s">
        <v>119</v>
      </c>
      <c r="D99" s="5" t="s">
        <v>150</v>
      </c>
      <c r="E99" s="6">
        <f t="shared" si="26"/>
        <v>8473800</v>
      </c>
      <c r="F99" s="6">
        <f>8328600+45200+100000</f>
        <v>8473800</v>
      </c>
      <c r="G99" s="6">
        <v>7128500</v>
      </c>
      <c r="H99" s="6">
        <v>247300</v>
      </c>
      <c r="I99" s="6">
        <v>0</v>
      </c>
      <c r="J99" s="6">
        <f t="shared" si="27"/>
        <v>2000000</v>
      </c>
      <c r="K99" s="6">
        <v>2000000</v>
      </c>
      <c r="L99" s="6">
        <v>0</v>
      </c>
      <c r="M99" s="6">
        <v>0</v>
      </c>
      <c r="N99" s="6">
        <v>0</v>
      </c>
      <c r="O99" s="6">
        <v>2000000</v>
      </c>
      <c r="P99" s="6">
        <f t="shared" si="22"/>
        <v>10473800</v>
      </c>
    </row>
    <row r="100" spans="1:16" ht="31.2">
      <c r="A100" s="33" t="s">
        <v>151</v>
      </c>
      <c r="B100" s="33" t="s">
        <v>152</v>
      </c>
      <c r="C100" s="33" t="s">
        <v>119</v>
      </c>
      <c r="D100" s="5" t="s">
        <v>153</v>
      </c>
      <c r="E100" s="6">
        <f t="shared" si="26"/>
        <v>425000</v>
      </c>
      <c r="F100" s="6">
        <f>700000-275000</f>
        <v>425000</v>
      </c>
      <c r="G100" s="6">
        <v>0</v>
      </c>
      <c r="H100" s="6">
        <v>0</v>
      </c>
      <c r="I100" s="6">
        <v>0</v>
      </c>
      <c r="J100" s="6">
        <f t="shared" si="27"/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f t="shared" si="22"/>
        <v>425000</v>
      </c>
    </row>
    <row r="101" spans="1:16" ht="109.2">
      <c r="A101" s="33" t="s">
        <v>154</v>
      </c>
      <c r="B101" s="33" t="s">
        <v>155</v>
      </c>
      <c r="C101" s="33" t="s">
        <v>79</v>
      </c>
      <c r="D101" s="5" t="s">
        <v>156</v>
      </c>
      <c r="E101" s="6">
        <f t="shared" si="26"/>
        <v>3300000</v>
      </c>
      <c r="F101" s="6">
        <v>3300000</v>
      </c>
      <c r="G101" s="6">
        <v>0</v>
      </c>
      <c r="H101" s="6">
        <v>0</v>
      </c>
      <c r="I101" s="6">
        <v>0</v>
      </c>
      <c r="J101" s="6">
        <f t="shared" si="27"/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f t="shared" si="22"/>
        <v>3300000</v>
      </c>
    </row>
    <row r="102" spans="1:16" ht="78">
      <c r="A102" s="33" t="s">
        <v>157</v>
      </c>
      <c r="B102" s="33" t="s">
        <v>158</v>
      </c>
      <c r="C102" s="33" t="s">
        <v>79</v>
      </c>
      <c r="D102" s="5" t="s">
        <v>159</v>
      </c>
      <c r="E102" s="6">
        <f t="shared" si="26"/>
        <v>28720</v>
      </c>
      <c r="F102" s="6">
        <v>28720</v>
      </c>
      <c r="G102" s="6">
        <v>0</v>
      </c>
      <c r="H102" s="6">
        <v>0</v>
      </c>
      <c r="I102" s="6">
        <v>0</v>
      </c>
      <c r="J102" s="6">
        <f t="shared" si="27"/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f t="shared" si="22"/>
        <v>28720</v>
      </c>
    </row>
    <row r="103" spans="1:16" ht="93.6">
      <c r="A103" s="33" t="s">
        <v>160</v>
      </c>
      <c r="B103" s="33" t="s">
        <v>161</v>
      </c>
      <c r="C103" s="33" t="s">
        <v>162</v>
      </c>
      <c r="D103" s="5" t="s">
        <v>163</v>
      </c>
      <c r="E103" s="6">
        <f t="shared" si="26"/>
        <v>1460000</v>
      </c>
      <c r="F103" s="6">
        <f>1500000-40000</f>
        <v>1460000</v>
      </c>
      <c r="G103" s="6">
        <v>0</v>
      </c>
      <c r="H103" s="6">
        <v>0</v>
      </c>
      <c r="I103" s="6">
        <v>0</v>
      </c>
      <c r="J103" s="6">
        <f t="shared" si="27"/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f t="shared" si="22"/>
        <v>1460000</v>
      </c>
    </row>
    <row r="104" spans="1:16" ht="62.4">
      <c r="A104" s="33" t="s">
        <v>164</v>
      </c>
      <c r="B104" s="33" t="s">
        <v>165</v>
      </c>
      <c r="C104" s="33" t="s">
        <v>133</v>
      </c>
      <c r="D104" s="5" t="s">
        <v>166</v>
      </c>
      <c r="E104" s="6">
        <f t="shared" si="26"/>
        <v>71000</v>
      </c>
      <c r="F104" s="6">
        <v>71000</v>
      </c>
      <c r="G104" s="6">
        <v>0</v>
      </c>
      <c r="H104" s="6">
        <v>0</v>
      </c>
      <c r="I104" s="6">
        <v>0</v>
      </c>
      <c r="J104" s="6">
        <f t="shared" si="27"/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f t="shared" si="22"/>
        <v>71000</v>
      </c>
    </row>
    <row r="105" spans="1:16" ht="409.6">
      <c r="A105" s="9" t="s">
        <v>379</v>
      </c>
      <c r="B105" s="33">
        <v>3221</v>
      </c>
      <c r="C105" s="33">
        <v>1060</v>
      </c>
      <c r="D105" s="37" t="s">
        <v>381</v>
      </c>
      <c r="E105" s="6">
        <f t="shared" si="26"/>
        <v>0</v>
      </c>
      <c r="F105" s="6"/>
      <c r="G105" s="6"/>
      <c r="H105" s="6"/>
      <c r="I105" s="6"/>
      <c r="J105" s="6">
        <f t="shared" si="27"/>
        <v>1859158</v>
      </c>
      <c r="K105" s="6">
        <v>1859158</v>
      </c>
      <c r="L105" s="6"/>
      <c r="M105" s="6"/>
      <c r="N105" s="6"/>
      <c r="O105" s="6">
        <v>1859158</v>
      </c>
      <c r="P105" s="6">
        <f t="shared" si="22"/>
        <v>1859158</v>
      </c>
    </row>
    <row r="106" spans="1:16" ht="280.8">
      <c r="A106" s="9" t="s">
        <v>380</v>
      </c>
      <c r="B106" s="33">
        <v>3223</v>
      </c>
      <c r="C106" s="33">
        <v>1060</v>
      </c>
      <c r="D106" s="37" t="s">
        <v>382</v>
      </c>
      <c r="E106" s="6">
        <f t="shared" si="26"/>
        <v>0</v>
      </c>
      <c r="F106" s="6"/>
      <c r="G106" s="6"/>
      <c r="H106" s="6"/>
      <c r="I106" s="6"/>
      <c r="J106" s="6">
        <f t="shared" si="27"/>
        <v>4744689</v>
      </c>
      <c r="K106" s="6">
        <v>4744689</v>
      </c>
      <c r="L106" s="6"/>
      <c r="M106" s="6"/>
      <c r="N106" s="6"/>
      <c r="O106" s="6">
        <v>4744689</v>
      </c>
      <c r="P106" s="6">
        <f t="shared" si="22"/>
        <v>4744689</v>
      </c>
    </row>
    <row r="107" spans="1:16" ht="62.4">
      <c r="A107" s="33" t="s">
        <v>167</v>
      </c>
      <c r="B107" s="33" t="s">
        <v>168</v>
      </c>
      <c r="C107" s="33" t="s">
        <v>97</v>
      </c>
      <c r="D107" s="5" t="s">
        <v>169</v>
      </c>
      <c r="E107" s="6">
        <f t="shared" si="26"/>
        <v>497600</v>
      </c>
      <c r="F107" s="6">
        <f>688600-191000</f>
        <v>497600</v>
      </c>
      <c r="G107" s="6">
        <v>0</v>
      </c>
      <c r="H107" s="6">
        <v>0</v>
      </c>
      <c r="I107" s="6">
        <v>0</v>
      </c>
      <c r="J107" s="6">
        <f t="shared" si="27"/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f t="shared" si="22"/>
        <v>497600</v>
      </c>
    </row>
    <row r="108" spans="1:16" ht="31.2">
      <c r="A108" s="33" t="s">
        <v>170</v>
      </c>
      <c r="B108" s="33" t="s">
        <v>50</v>
      </c>
      <c r="C108" s="33" t="s">
        <v>51</v>
      </c>
      <c r="D108" s="5" t="s">
        <v>52</v>
      </c>
      <c r="E108" s="6">
        <f t="shared" si="26"/>
        <v>47690800</v>
      </c>
      <c r="F108" s="6">
        <f>12346800+338100+1000000+33000000+99900+300000+100000+506000</f>
        <v>47690800</v>
      </c>
      <c r="G108" s="6">
        <v>0</v>
      </c>
      <c r="H108" s="6">
        <v>0</v>
      </c>
      <c r="I108" s="6">
        <v>0</v>
      </c>
      <c r="J108" s="6">
        <f t="shared" si="27"/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f t="shared" si="22"/>
        <v>47690800</v>
      </c>
    </row>
    <row r="109" spans="1:16" ht="31.2">
      <c r="A109" s="9" t="s">
        <v>402</v>
      </c>
      <c r="B109" s="9">
        <v>7520</v>
      </c>
      <c r="C109" s="9" t="s">
        <v>387</v>
      </c>
      <c r="D109" s="5" t="s">
        <v>386</v>
      </c>
      <c r="E109" s="6">
        <f t="shared" si="26"/>
        <v>79440</v>
      </c>
      <c r="F109" s="6">
        <v>79440</v>
      </c>
      <c r="G109" s="6"/>
      <c r="H109" s="6"/>
      <c r="I109" s="6"/>
      <c r="J109" s="6">
        <f t="shared" si="27"/>
        <v>0</v>
      </c>
      <c r="K109" s="6"/>
      <c r="L109" s="6"/>
      <c r="M109" s="6"/>
      <c r="N109" s="6"/>
      <c r="O109" s="6"/>
      <c r="P109" s="6">
        <f t="shared" si="22"/>
        <v>79440</v>
      </c>
    </row>
    <row r="110" spans="1:16" ht="46.8">
      <c r="A110" s="2" t="s">
        <v>171</v>
      </c>
      <c r="B110" s="2" t="s">
        <v>18</v>
      </c>
      <c r="C110" s="2" t="s">
        <v>18</v>
      </c>
      <c r="D110" s="3" t="s">
        <v>172</v>
      </c>
      <c r="E110" s="4">
        <f t="shared" ref="E110:E117" si="28">F110+I110</f>
        <v>2871500</v>
      </c>
      <c r="F110" s="4">
        <f>F111</f>
        <v>2871500</v>
      </c>
      <c r="G110" s="4">
        <f>G111</f>
        <v>2505000</v>
      </c>
      <c r="H110" s="4">
        <v>0</v>
      </c>
      <c r="I110" s="4">
        <v>0</v>
      </c>
      <c r="J110" s="4">
        <f t="shared" si="27"/>
        <v>4231735</v>
      </c>
      <c r="K110" s="4">
        <f>K111</f>
        <v>4231735</v>
      </c>
      <c r="L110" s="4">
        <f t="shared" ref="L110:O110" si="29">L111</f>
        <v>0</v>
      </c>
      <c r="M110" s="4">
        <f t="shared" si="29"/>
        <v>0</v>
      </c>
      <c r="N110" s="4">
        <f t="shared" si="29"/>
        <v>0</v>
      </c>
      <c r="O110" s="4">
        <f t="shared" si="29"/>
        <v>4231735</v>
      </c>
      <c r="P110" s="4">
        <f t="shared" si="22"/>
        <v>7103235</v>
      </c>
    </row>
    <row r="111" spans="1:16" ht="46.8">
      <c r="A111" s="2" t="s">
        <v>173</v>
      </c>
      <c r="B111" s="2" t="s">
        <v>18</v>
      </c>
      <c r="C111" s="2" t="s">
        <v>18</v>
      </c>
      <c r="D111" s="3" t="s">
        <v>172</v>
      </c>
      <c r="E111" s="4">
        <f t="shared" si="28"/>
        <v>2871500</v>
      </c>
      <c r="F111" s="4">
        <f>SUM(F112:F114)</f>
        <v>2871500</v>
      </c>
      <c r="G111" s="4">
        <f t="shared" ref="G111:K111" si="30">SUM(G112:G114)</f>
        <v>2505000</v>
      </c>
      <c r="H111" s="4">
        <f t="shared" si="30"/>
        <v>0</v>
      </c>
      <c r="I111" s="4">
        <f t="shared" si="30"/>
        <v>0</v>
      </c>
      <c r="J111" s="4">
        <f t="shared" si="27"/>
        <v>4231735</v>
      </c>
      <c r="K111" s="4">
        <f t="shared" si="30"/>
        <v>4231735</v>
      </c>
      <c r="L111" s="4">
        <f t="shared" ref="L111" si="31">SUM(L112:L114)</f>
        <v>0</v>
      </c>
      <c r="M111" s="4">
        <f t="shared" ref="M111" si="32">SUM(M112:M114)</f>
        <v>0</v>
      </c>
      <c r="N111" s="4">
        <f t="shared" ref="N111" si="33">SUM(N112:N114)</f>
        <v>0</v>
      </c>
      <c r="O111" s="4">
        <f t="shared" ref="O111" si="34">SUM(O112:O114)</f>
        <v>4231735</v>
      </c>
      <c r="P111" s="4">
        <f t="shared" si="22"/>
        <v>7103235</v>
      </c>
    </row>
    <row r="112" spans="1:16" ht="46.8">
      <c r="A112" s="33" t="s">
        <v>174</v>
      </c>
      <c r="B112" s="33" t="s">
        <v>75</v>
      </c>
      <c r="C112" s="33" t="s">
        <v>23</v>
      </c>
      <c r="D112" s="5" t="s">
        <v>76</v>
      </c>
      <c r="E112" s="6">
        <f t="shared" si="28"/>
        <v>2616500</v>
      </c>
      <c r="F112" s="6">
        <f>2226500+150000+240000</f>
        <v>2616500</v>
      </c>
      <c r="G112" s="6">
        <f>2115000+150000+240000</f>
        <v>2505000</v>
      </c>
      <c r="H112" s="6">
        <v>0</v>
      </c>
      <c r="I112" s="6">
        <v>0</v>
      </c>
      <c r="J112" s="6">
        <f t="shared" si="27"/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f t="shared" si="22"/>
        <v>2616500</v>
      </c>
    </row>
    <row r="113" spans="1:16" ht="31.2">
      <c r="A113" s="33" t="s">
        <v>175</v>
      </c>
      <c r="B113" s="33" t="s">
        <v>176</v>
      </c>
      <c r="C113" s="33" t="s">
        <v>119</v>
      </c>
      <c r="D113" s="5" t="s">
        <v>177</v>
      </c>
      <c r="E113" s="6">
        <f t="shared" si="28"/>
        <v>205000</v>
      </c>
      <c r="F113" s="6">
        <v>205000</v>
      </c>
      <c r="G113" s="6">
        <v>0</v>
      </c>
      <c r="H113" s="6">
        <v>0</v>
      </c>
      <c r="I113" s="6">
        <v>0</v>
      </c>
      <c r="J113" s="6">
        <f t="shared" si="27"/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f t="shared" si="22"/>
        <v>205000</v>
      </c>
    </row>
    <row r="114" spans="1:16" ht="109.2">
      <c r="A114" s="9" t="s">
        <v>417</v>
      </c>
      <c r="B114" s="33">
        <v>6083</v>
      </c>
      <c r="C114" s="9" t="s">
        <v>290</v>
      </c>
      <c r="D114" s="5" t="s">
        <v>416</v>
      </c>
      <c r="E114" s="6">
        <f t="shared" si="28"/>
        <v>50000</v>
      </c>
      <c r="F114" s="6">
        <v>50000</v>
      </c>
      <c r="G114" s="6"/>
      <c r="H114" s="6"/>
      <c r="I114" s="6"/>
      <c r="J114" s="6">
        <f t="shared" si="27"/>
        <v>4231735</v>
      </c>
      <c r="K114" s="6">
        <v>4231735</v>
      </c>
      <c r="L114" s="6"/>
      <c r="M114" s="6"/>
      <c r="N114" s="6"/>
      <c r="O114" s="6">
        <v>4231735</v>
      </c>
      <c r="P114" s="6">
        <f t="shared" si="22"/>
        <v>4281735</v>
      </c>
    </row>
    <row r="115" spans="1:16" ht="46.8">
      <c r="A115" s="2" t="s">
        <v>178</v>
      </c>
      <c r="B115" s="2" t="s">
        <v>18</v>
      </c>
      <c r="C115" s="2" t="s">
        <v>18</v>
      </c>
      <c r="D115" s="3" t="s">
        <v>179</v>
      </c>
      <c r="E115" s="4">
        <f t="shared" si="28"/>
        <v>56472110</v>
      </c>
      <c r="F115" s="4">
        <f>F116</f>
        <v>56472110</v>
      </c>
      <c r="G115" s="4">
        <f t="shared" ref="G115:I115" si="35">G116</f>
        <v>50074600</v>
      </c>
      <c r="H115" s="4">
        <f t="shared" si="35"/>
        <v>3196000</v>
      </c>
      <c r="I115" s="4">
        <f t="shared" si="35"/>
        <v>0</v>
      </c>
      <c r="J115" s="4">
        <f t="shared" si="27"/>
        <v>1495000</v>
      </c>
      <c r="K115" s="4">
        <f>K116</f>
        <v>190000</v>
      </c>
      <c r="L115" s="4">
        <f t="shared" ref="L115:O115" si="36">L116</f>
        <v>1105000</v>
      </c>
      <c r="M115" s="4">
        <f t="shared" si="36"/>
        <v>525100</v>
      </c>
      <c r="N115" s="4">
        <f t="shared" si="36"/>
        <v>0</v>
      </c>
      <c r="O115" s="4">
        <f t="shared" si="36"/>
        <v>390000</v>
      </c>
      <c r="P115" s="4">
        <f t="shared" si="22"/>
        <v>57967110</v>
      </c>
    </row>
    <row r="116" spans="1:16" ht="46.8">
      <c r="A116" s="2" t="s">
        <v>180</v>
      </c>
      <c r="B116" s="2" t="s">
        <v>18</v>
      </c>
      <c r="C116" s="2" t="s">
        <v>18</v>
      </c>
      <c r="D116" s="3" t="s">
        <v>179</v>
      </c>
      <c r="E116" s="4">
        <f t="shared" si="28"/>
        <v>56472110</v>
      </c>
      <c r="F116" s="4">
        <f>SUM(F117:F126)</f>
        <v>56472110</v>
      </c>
      <c r="G116" s="4">
        <f t="shared" ref="G116:K116" si="37">SUM(G117:G126)</f>
        <v>50074600</v>
      </c>
      <c r="H116" s="4">
        <f t="shared" si="37"/>
        <v>3196000</v>
      </c>
      <c r="I116" s="4">
        <f t="shared" si="37"/>
        <v>0</v>
      </c>
      <c r="J116" s="4">
        <f t="shared" si="27"/>
        <v>1495000</v>
      </c>
      <c r="K116" s="4">
        <f t="shared" si="37"/>
        <v>190000</v>
      </c>
      <c r="L116" s="4">
        <f t="shared" ref="L116" si="38">SUM(L117:L126)</f>
        <v>1105000</v>
      </c>
      <c r="M116" s="4">
        <f t="shared" ref="M116" si="39">SUM(M117:M126)</f>
        <v>525100</v>
      </c>
      <c r="N116" s="4">
        <f t="shared" ref="N116" si="40">SUM(N117:N126)</f>
        <v>0</v>
      </c>
      <c r="O116" s="4">
        <f t="shared" ref="O116" si="41">SUM(O117:O126)</f>
        <v>390000</v>
      </c>
      <c r="P116" s="4">
        <f t="shared" si="22"/>
        <v>57967110</v>
      </c>
    </row>
    <row r="117" spans="1:16" ht="46.8">
      <c r="A117" s="33" t="s">
        <v>181</v>
      </c>
      <c r="B117" s="33" t="s">
        <v>75</v>
      </c>
      <c r="C117" s="33" t="s">
        <v>23</v>
      </c>
      <c r="D117" s="5" t="s">
        <v>76</v>
      </c>
      <c r="E117" s="6">
        <f t="shared" si="28"/>
        <v>1053100</v>
      </c>
      <c r="F117" s="6">
        <f>912100+95000+40000+6000</f>
        <v>1053100</v>
      </c>
      <c r="G117" s="6">
        <f>884400+95000+40000+6000</f>
        <v>1025400</v>
      </c>
      <c r="H117" s="6">
        <v>0</v>
      </c>
      <c r="I117" s="6">
        <v>0</v>
      </c>
      <c r="J117" s="6">
        <f t="shared" si="27"/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f t="shared" si="22"/>
        <v>1053100</v>
      </c>
    </row>
    <row r="118" spans="1:16" ht="31.2">
      <c r="A118" s="33" t="s">
        <v>182</v>
      </c>
      <c r="B118" s="33" t="s">
        <v>30</v>
      </c>
      <c r="C118" s="33" t="s">
        <v>31</v>
      </c>
      <c r="D118" s="5" t="s">
        <v>32</v>
      </c>
      <c r="E118" s="6">
        <f t="shared" ref="E118:E126" si="42">F118+I118</f>
        <v>94810</v>
      </c>
      <c r="F118" s="6">
        <f>99000-4190</f>
        <v>94810</v>
      </c>
      <c r="G118" s="6">
        <v>0</v>
      </c>
      <c r="H118" s="6">
        <v>0</v>
      </c>
      <c r="I118" s="6">
        <v>0</v>
      </c>
      <c r="J118" s="6">
        <f t="shared" si="27"/>
        <v>0</v>
      </c>
      <c r="K118" s="6">
        <v>0</v>
      </c>
      <c r="L118" s="6"/>
      <c r="M118" s="6"/>
      <c r="N118" s="6"/>
      <c r="O118" s="6"/>
      <c r="P118" s="6">
        <f t="shared" si="22"/>
        <v>94810</v>
      </c>
    </row>
    <row r="119" spans="1:16" ht="31.2">
      <c r="A119" s="33" t="s">
        <v>183</v>
      </c>
      <c r="B119" s="33" t="s">
        <v>184</v>
      </c>
      <c r="C119" s="33" t="s">
        <v>98</v>
      </c>
      <c r="D119" s="5" t="s">
        <v>185</v>
      </c>
      <c r="E119" s="6">
        <f t="shared" si="42"/>
        <v>25518300</v>
      </c>
      <c r="F119" s="6">
        <f>25824300-200000-100000-6000</f>
        <v>25518300</v>
      </c>
      <c r="G119" s="6">
        <f>25065000-200000-100000-6000</f>
        <v>24759000</v>
      </c>
      <c r="H119" s="6">
        <v>636100</v>
      </c>
      <c r="I119" s="6">
        <v>0</v>
      </c>
      <c r="J119" s="6">
        <f t="shared" si="27"/>
        <v>1025000</v>
      </c>
      <c r="K119" s="6">
        <v>0</v>
      </c>
      <c r="L119" s="6">
        <f>1024000-200000+1000</f>
        <v>825000</v>
      </c>
      <c r="M119" s="6">
        <f>405800+89300</f>
        <v>495100</v>
      </c>
      <c r="N119" s="6">
        <v>0</v>
      </c>
      <c r="O119" s="6">
        <v>200000</v>
      </c>
      <c r="P119" s="6">
        <f t="shared" si="22"/>
        <v>26543300</v>
      </c>
    </row>
    <row r="120" spans="1:16" ht="93.6">
      <c r="A120" s="33" t="s">
        <v>186</v>
      </c>
      <c r="B120" s="33" t="s">
        <v>118</v>
      </c>
      <c r="C120" s="33" t="s">
        <v>119</v>
      </c>
      <c r="D120" s="5" t="s">
        <v>120</v>
      </c>
      <c r="E120" s="6">
        <f t="shared" si="42"/>
        <v>150000</v>
      </c>
      <c r="F120" s="6">
        <v>150000</v>
      </c>
      <c r="G120" s="6">
        <v>0</v>
      </c>
      <c r="H120" s="6">
        <v>0</v>
      </c>
      <c r="I120" s="6">
        <v>0</v>
      </c>
      <c r="J120" s="6">
        <f t="shared" si="27"/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f t="shared" si="22"/>
        <v>150000</v>
      </c>
    </row>
    <row r="121" spans="1:16">
      <c r="A121" s="33" t="s">
        <v>187</v>
      </c>
      <c r="B121" s="33" t="s">
        <v>188</v>
      </c>
      <c r="C121" s="33" t="s">
        <v>189</v>
      </c>
      <c r="D121" s="5" t="s">
        <v>190</v>
      </c>
      <c r="E121" s="6">
        <f t="shared" si="42"/>
        <v>9580300</v>
      </c>
      <c r="F121" s="6">
        <f>9730300-150000</f>
        <v>9580300</v>
      </c>
      <c r="G121" s="6">
        <f>8119400-150000</f>
        <v>7969400</v>
      </c>
      <c r="H121" s="6">
        <v>1029700</v>
      </c>
      <c r="I121" s="6">
        <v>0</v>
      </c>
      <c r="J121" s="6">
        <f t="shared" si="27"/>
        <v>80000</v>
      </c>
      <c r="K121" s="6">
        <v>0</v>
      </c>
      <c r="L121" s="6">
        <f>80000</f>
        <v>80000</v>
      </c>
      <c r="M121" s="6">
        <v>0</v>
      </c>
      <c r="N121" s="6">
        <v>0</v>
      </c>
      <c r="O121" s="6">
        <v>0</v>
      </c>
      <c r="P121" s="6">
        <f t="shared" si="22"/>
        <v>9660300</v>
      </c>
    </row>
    <row r="122" spans="1:16" ht="31.2">
      <c r="A122" s="33" t="s">
        <v>191</v>
      </c>
      <c r="B122" s="33" t="s">
        <v>192</v>
      </c>
      <c r="C122" s="33" t="s">
        <v>189</v>
      </c>
      <c r="D122" s="5" t="s">
        <v>193</v>
      </c>
      <c r="E122" s="6">
        <f t="shared" si="42"/>
        <v>4142600</v>
      </c>
      <c r="F122" s="6">
        <f>3612600+200000-50000+200000+180000</f>
        <v>4142600</v>
      </c>
      <c r="G122" s="6">
        <f>2754000-50000</f>
        <v>2704000</v>
      </c>
      <c r="H122" s="6">
        <v>436000</v>
      </c>
      <c r="I122" s="6">
        <v>0</v>
      </c>
      <c r="J122" s="6">
        <f t="shared" si="27"/>
        <v>230000</v>
      </c>
      <c r="K122" s="6">
        <v>190000</v>
      </c>
      <c r="L122" s="6">
        <v>40000</v>
      </c>
      <c r="M122" s="6">
        <v>0</v>
      </c>
      <c r="N122" s="6">
        <v>0</v>
      </c>
      <c r="O122" s="6">
        <v>190000</v>
      </c>
      <c r="P122" s="6">
        <f t="shared" si="22"/>
        <v>4372600</v>
      </c>
    </row>
    <row r="123" spans="1:16" ht="46.8">
      <c r="A123" s="33" t="s">
        <v>194</v>
      </c>
      <c r="B123" s="33" t="s">
        <v>195</v>
      </c>
      <c r="C123" s="33" t="s">
        <v>196</v>
      </c>
      <c r="D123" s="5" t="s">
        <v>197</v>
      </c>
      <c r="E123" s="6">
        <f t="shared" si="42"/>
        <v>12733200</v>
      </c>
      <c r="F123" s="6">
        <f>12911200-178000</f>
        <v>12733200</v>
      </c>
      <c r="G123" s="6">
        <f>11348400-170000</f>
        <v>11178400</v>
      </c>
      <c r="H123" s="6">
        <v>1030900</v>
      </c>
      <c r="I123" s="6">
        <v>0</v>
      </c>
      <c r="J123" s="6">
        <f t="shared" si="27"/>
        <v>160000</v>
      </c>
      <c r="K123" s="6">
        <v>0</v>
      </c>
      <c r="L123" s="6">
        <v>160000</v>
      </c>
      <c r="M123" s="6">
        <f>30000</f>
        <v>30000</v>
      </c>
      <c r="N123" s="6">
        <v>0</v>
      </c>
      <c r="O123" s="6">
        <v>0</v>
      </c>
      <c r="P123" s="6">
        <f t="shared" si="22"/>
        <v>12893200</v>
      </c>
    </row>
    <row r="124" spans="1:16" ht="31.2">
      <c r="A124" s="33" t="s">
        <v>198</v>
      </c>
      <c r="B124" s="33" t="s">
        <v>199</v>
      </c>
      <c r="C124" s="33" t="s">
        <v>200</v>
      </c>
      <c r="D124" s="5" t="s">
        <v>201</v>
      </c>
      <c r="E124" s="6">
        <f t="shared" si="42"/>
        <v>2585800</v>
      </c>
      <c r="F124" s="6">
        <f>2591800-6000</f>
        <v>2585800</v>
      </c>
      <c r="G124" s="6">
        <v>2438400</v>
      </c>
      <c r="H124" s="6">
        <v>63300</v>
      </c>
      <c r="I124" s="6">
        <v>0</v>
      </c>
      <c r="J124" s="6">
        <f t="shared" si="27"/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f t="shared" ref="P124:P184" si="43">E124 + J124</f>
        <v>2585800</v>
      </c>
    </row>
    <row r="125" spans="1:16" ht="31.2">
      <c r="A125" s="33" t="s">
        <v>202</v>
      </c>
      <c r="B125" s="33" t="s">
        <v>203</v>
      </c>
      <c r="C125" s="33" t="s">
        <v>200</v>
      </c>
      <c r="D125" s="5" t="s">
        <v>204</v>
      </c>
      <c r="E125" s="6">
        <f t="shared" si="42"/>
        <v>600000</v>
      </c>
      <c r="F125" s="6">
        <v>600000</v>
      </c>
      <c r="G125" s="6">
        <v>0</v>
      </c>
      <c r="H125" s="6">
        <v>0</v>
      </c>
      <c r="I125" s="6">
        <v>0</v>
      </c>
      <c r="J125" s="6">
        <f t="shared" si="27"/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f t="shared" si="43"/>
        <v>600000</v>
      </c>
    </row>
    <row r="126" spans="1:16" ht="31.2">
      <c r="A126" s="33">
        <v>1017520</v>
      </c>
      <c r="B126" s="33">
        <v>7520</v>
      </c>
      <c r="C126" s="9" t="s">
        <v>387</v>
      </c>
      <c r="D126" s="5" t="s">
        <v>386</v>
      </c>
      <c r="E126" s="6">
        <f t="shared" si="42"/>
        <v>14000</v>
      </c>
      <c r="F126" s="6">
        <v>14000</v>
      </c>
      <c r="G126" s="6"/>
      <c r="H126" s="6"/>
      <c r="I126" s="6"/>
      <c r="J126" s="6">
        <f t="shared" si="27"/>
        <v>0</v>
      </c>
      <c r="K126" s="6"/>
      <c r="L126" s="6"/>
      <c r="M126" s="6"/>
      <c r="N126" s="6"/>
      <c r="O126" s="6"/>
      <c r="P126" s="6">
        <f t="shared" si="43"/>
        <v>14000</v>
      </c>
    </row>
    <row r="127" spans="1:16" ht="46.8">
      <c r="A127" s="2" t="s">
        <v>205</v>
      </c>
      <c r="B127" s="2" t="s">
        <v>18</v>
      </c>
      <c r="C127" s="2" t="s">
        <v>18</v>
      </c>
      <c r="D127" s="3" t="s">
        <v>206</v>
      </c>
      <c r="E127" s="4">
        <f t="shared" ref="E127:E138" si="44">F127+I127</f>
        <v>7357674</v>
      </c>
      <c r="F127" s="4">
        <f>F128</f>
        <v>7357674</v>
      </c>
      <c r="G127" s="4">
        <f t="shared" ref="G127:I127" si="45">G128</f>
        <v>2690100</v>
      </c>
      <c r="H127" s="4">
        <f t="shared" si="45"/>
        <v>58000</v>
      </c>
      <c r="I127" s="4">
        <f t="shared" si="45"/>
        <v>0</v>
      </c>
      <c r="J127" s="4">
        <f t="shared" si="27"/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f t="shared" si="43"/>
        <v>7357674</v>
      </c>
    </row>
    <row r="128" spans="1:16" ht="46.8">
      <c r="A128" s="2" t="s">
        <v>207</v>
      </c>
      <c r="B128" s="2" t="s">
        <v>18</v>
      </c>
      <c r="C128" s="2" t="s">
        <v>18</v>
      </c>
      <c r="D128" s="3" t="s">
        <v>206</v>
      </c>
      <c r="E128" s="4">
        <f t="shared" si="44"/>
        <v>7357674</v>
      </c>
      <c r="F128" s="4">
        <f>SUM(F129:F135)</f>
        <v>7357674</v>
      </c>
      <c r="G128" s="4">
        <f t="shared" ref="G128:K128" si="46">SUM(G129:G135)</f>
        <v>2690100</v>
      </c>
      <c r="H128" s="4">
        <f t="shared" si="46"/>
        <v>58000</v>
      </c>
      <c r="I128" s="4">
        <f t="shared" si="46"/>
        <v>0</v>
      </c>
      <c r="J128" s="4">
        <f t="shared" si="27"/>
        <v>0</v>
      </c>
      <c r="K128" s="4">
        <f t="shared" si="46"/>
        <v>0</v>
      </c>
      <c r="L128" s="4">
        <f t="shared" ref="L128" si="47">SUM(L129:L135)</f>
        <v>0</v>
      </c>
      <c r="M128" s="4">
        <f t="shared" ref="M128" si="48">SUM(M129:M135)</f>
        <v>0</v>
      </c>
      <c r="N128" s="4">
        <f t="shared" ref="N128" si="49">SUM(N129:N135)</f>
        <v>0</v>
      </c>
      <c r="O128" s="4">
        <f t="shared" ref="O128" si="50">SUM(O129:O135)</f>
        <v>0</v>
      </c>
      <c r="P128" s="4">
        <f t="shared" si="43"/>
        <v>7357674</v>
      </c>
    </row>
    <row r="129" spans="1:18" ht="46.8">
      <c r="A129" s="33" t="s">
        <v>208</v>
      </c>
      <c r="B129" s="33" t="s">
        <v>75</v>
      </c>
      <c r="C129" s="33" t="s">
        <v>23</v>
      </c>
      <c r="D129" s="5" t="s">
        <v>76</v>
      </c>
      <c r="E129" s="6">
        <f t="shared" si="44"/>
        <v>2202100</v>
      </c>
      <c r="F129" s="6">
        <f>2042100+30000+130000</f>
        <v>2202100</v>
      </c>
      <c r="G129" s="6">
        <f>1932200+30000+130000</f>
        <v>2092200</v>
      </c>
      <c r="H129" s="6">
        <v>0</v>
      </c>
      <c r="I129" s="6">
        <v>0</v>
      </c>
      <c r="J129" s="6">
        <f t="shared" si="27"/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f t="shared" si="43"/>
        <v>2202100</v>
      </c>
    </row>
    <row r="130" spans="1:18" ht="31.2">
      <c r="A130" s="33" t="s">
        <v>209</v>
      </c>
      <c r="B130" s="33" t="s">
        <v>30</v>
      </c>
      <c r="C130" s="33" t="s">
        <v>31</v>
      </c>
      <c r="D130" s="5" t="s">
        <v>32</v>
      </c>
      <c r="E130" s="6">
        <f t="shared" si="44"/>
        <v>64630</v>
      </c>
      <c r="F130" s="6">
        <f>99000-34370</f>
        <v>64630</v>
      </c>
      <c r="G130" s="6">
        <v>0</v>
      </c>
      <c r="H130" s="6">
        <v>0</v>
      </c>
      <c r="I130" s="6">
        <v>0</v>
      </c>
      <c r="J130" s="6">
        <f t="shared" si="27"/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f t="shared" si="43"/>
        <v>64630</v>
      </c>
    </row>
    <row r="131" spans="1:18" ht="31.2">
      <c r="A131" s="33" t="s">
        <v>210</v>
      </c>
      <c r="B131" s="33" t="s">
        <v>211</v>
      </c>
      <c r="C131" s="33" t="s">
        <v>119</v>
      </c>
      <c r="D131" s="5" t="s">
        <v>212</v>
      </c>
      <c r="E131" s="6">
        <f t="shared" si="44"/>
        <v>1930300</v>
      </c>
      <c r="F131" s="6">
        <f>1880400+99000-49100</f>
        <v>1930300</v>
      </c>
      <c r="G131" s="6">
        <f>633900-36000</f>
        <v>597900</v>
      </c>
      <c r="H131" s="6">
        <v>58000</v>
      </c>
      <c r="I131" s="6">
        <v>0</v>
      </c>
      <c r="J131" s="6">
        <f t="shared" si="27"/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f t="shared" si="43"/>
        <v>1930300</v>
      </c>
    </row>
    <row r="132" spans="1:18" ht="46.8">
      <c r="A132" s="33" t="s">
        <v>213</v>
      </c>
      <c r="B132" s="33" t="s">
        <v>214</v>
      </c>
      <c r="C132" s="33" t="s">
        <v>124</v>
      </c>
      <c r="D132" s="5" t="s">
        <v>215</v>
      </c>
      <c r="E132" s="6">
        <f t="shared" si="44"/>
        <v>895000</v>
      </c>
      <c r="F132" s="6">
        <f>950000-55000</f>
        <v>895000</v>
      </c>
      <c r="G132" s="6">
        <v>0</v>
      </c>
      <c r="H132" s="6">
        <v>0</v>
      </c>
      <c r="I132" s="6">
        <v>0</v>
      </c>
      <c r="J132" s="6">
        <f t="shared" si="27"/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f t="shared" si="43"/>
        <v>895000</v>
      </c>
    </row>
    <row r="133" spans="1:18" ht="46.8">
      <c r="A133" s="33" t="s">
        <v>216</v>
      </c>
      <c r="B133" s="33" t="s">
        <v>217</v>
      </c>
      <c r="C133" s="33" t="s">
        <v>124</v>
      </c>
      <c r="D133" s="5" t="s">
        <v>218</v>
      </c>
      <c r="E133" s="6">
        <f t="shared" si="44"/>
        <v>320000</v>
      </c>
      <c r="F133" s="6">
        <v>320000</v>
      </c>
      <c r="G133" s="6">
        <v>0</v>
      </c>
      <c r="H133" s="6">
        <v>0</v>
      </c>
      <c r="I133" s="6">
        <v>0</v>
      </c>
      <c r="J133" s="6">
        <f t="shared" si="27"/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f t="shared" si="43"/>
        <v>320000</v>
      </c>
    </row>
    <row r="134" spans="1:18" s="25" customFormat="1" ht="46.8">
      <c r="A134" s="22" t="s">
        <v>373</v>
      </c>
      <c r="B134" s="22" t="s">
        <v>374</v>
      </c>
      <c r="C134" s="22" t="s">
        <v>124</v>
      </c>
      <c r="D134" s="23" t="s">
        <v>375</v>
      </c>
      <c r="E134" s="30">
        <f>F134+I134</f>
        <v>103944</v>
      </c>
      <c r="F134" s="30">
        <v>103944</v>
      </c>
      <c r="G134" s="30"/>
      <c r="H134" s="30"/>
      <c r="I134" s="30"/>
      <c r="J134" s="30"/>
      <c r="K134" s="30"/>
      <c r="L134" s="30"/>
      <c r="M134" s="30"/>
      <c r="N134" s="30"/>
      <c r="O134" s="30"/>
      <c r="P134" s="30">
        <f t="shared" ref="P134" si="51">E134+J134</f>
        <v>103944</v>
      </c>
      <c r="Q134" s="24"/>
      <c r="R134" s="24"/>
    </row>
    <row r="135" spans="1:18" ht="78">
      <c r="A135" s="33" t="s">
        <v>219</v>
      </c>
      <c r="B135" s="33" t="s">
        <v>220</v>
      </c>
      <c r="C135" s="33" t="s">
        <v>124</v>
      </c>
      <c r="D135" s="5" t="s">
        <v>221</v>
      </c>
      <c r="E135" s="6">
        <f t="shared" si="44"/>
        <v>1841700</v>
      </c>
      <c r="F135" s="6">
        <f>1786700+55000</f>
        <v>1841700</v>
      </c>
      <c r="G135" s="6">
        <v>0</v>
      </c>
      <c r="H135" s="6">
        <v>0</v>
      </c>
      <c r="I135" s="6">
        <v>0</v>
      </c>
      <c r="J135" s="6">
        <f t="shared" si="27"/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f t="shared" si="43"/>
        <v>1841700</v>
      </c>
    </row>
    <row r="136" spans="1:18" ht="62.4">
      <c r="A136" s="2" t="s">
        <v>222</v>
      </c>
      <c r="B136" s="2" t="s">
        <v>18</v>
      </c>
      <c r="C136" s="2" t="s">
        <v>18</v>
      </c>
      <c r="D136" s="3" t="s">
        <v>223</v>
      </c>
      <c r="E136" s="4">
        <f t="shared" si="44"/>
        <v>160809059.24000001</v>
      </c>
      <c r="F136" s="4">
        <f>F137</f>
        <v>51969739</v>
      </c>
      <c r="G136" s="4">
        <f t="shared" ref="G136:I136" si="52">G137</f>
        <v>3722400</v>
      </c>
      <c r="H136" s="4">
        <f t="shared" si="52"/>
        <v>14400</v>
      </c>
      <c r="I136" s="4">
        <f t="shared" si="52"/>
        <v>108839320.24000001</v>
      </c>
      <c r="J136" s="4">
        <f t="shared" si="27"/>
        <v>23976334.489999998</v>
      </c>
      <c r="K136" s="4">
        <f>K137</f>
        <v>22685986.759999998</v>
      </c>
      <c r="L136" s="4">
        <f t="shared" ref="L136:O136" si="53">L137</f>
        <v>100000</v>
      </c>
      <c r="M136" s="4">
        <f t="shared" si="53"/>
        <v>0</v>
      </c>
      <c r="N136" s="4">
        <f t="shared" si="53"/>
        <v>0</v>
      </c>
      <c r="O136" s="4">
        <f t="shared" si="53"/>
        <v>23876334.489999998</v>
      </c>
      <c r="P136" s="4">
        <f t="shared" si="43"/>
        <v>184785393.73000002</v>
      </c>
    </row>
    <row r="137" spans="1:18" ht="62.4">
      <c r="A137" s="2" t="s">
        <v>224</v>
      </c>
      <c r="B137" s="2" t="s">
        <v>18</v>
      </c>
      <c r="C137" s="2" t="s">
        <v>18</v>
      </c>
      <c r="D137" s="3" t="s">
        <v>223</v>
      </c>
      <c r="E137" s="4">
        <f t="shared" si="44"/>
        <v>160809059.24000001</v>
      </c>
      <c r="F137" s="4">
        <f>SUM(F138:F161)</f>
        <v>51969739</v>
      </c>
      <c r="G137" s="4">
        <f t="shared" ref="G137:I137" si="54">SUM(G138:G161)</f>
        <v>3722400</v>
      </c>
      <c r="H137" s="4">
        <f t="shared" si="54"/>
        <v>14400</v>
      </c>
      <c r="I137" s="4">
        <f t="shared" si="54"/>
        <v>108839320.24000001</v>
      </c>
      <c r="J137" s="4">
        <f t="shared" ref="J137:O137" si="55">SUM(J138:J161)</f>
        <v>23976334.489999998</v>
      </c>
      <c r="K137" s="4">
        <f>SUM(K138:K161)</f>
        <v>22685986.759999998</v>
      </c>
      <c r="L137" s="4">
        <f t="shared" si="55"/>
        <v>100000</v>
      </c>
      <c r="M137" s="4">
        <f t="shared" si="55"/>
        <v>0</v>
      </c>
      <c r="N137" s="4">
        <f t="shared" si="55"/>
        <v>0</v>
      </c>
      <c r="O137" s="4">
        <f t="shared" si="55"/>
        <v>23876334.489999998</v>
      </c>
      <c r="P137" s="4">
        <f>E137 + J137</f>
        <v>184785393.73000002</v>
      </c>
    </row>
    <row r="138" spans="1:18" ht="46.8">
      <c r="A138" s="33" t="s">
        <v>225</v>
      </c>
      <c r="B138" s="33" t="s">
        <v>75</v>
      </c>
      <c r="C138" s="33" t="s">
        <v>23</v>
      </c>
      <c r="D138" s="5" t="s">
        <v>76</v>
      </c>
      <c r="E138" s="6">
        <f t="shared" si="44"/>
        <v>4206808</v>
      </c>
      <c r="F138" s="6">
        <f>3829700+465200-88092</f>
        <v>4206808</v>
      </c>
      <c r="G138" s="6">
        <f>3502400+220000</f>
        <v>3722400</v>
      </c>
      <c r="H138" s="6">
        <v>14400</v>
      </c>
      <c r="I138" s="6">
        <v>0</v>
      </c>
      <c r="J138" s="6">
        <f t="shared" si="27"/>
        <v>0</v>
      </c>
      <c r="K138" s="6">
        <f>36000-36000</f>
        <v>0</v>
      </c>
      <c r="L138" s="6">
        <v>0</v>
      </c>
      <c r="M138" s="6">
        <v>0</v>
      </c>
      <c r="N138" s="6">
        <v>0</v>
      </c>
      <c r="O138" s="6">
        <f>36000-36000</f>
        <v>0</v>
      </c>
      <c r="P138" s="6">
        <f t="shared" si="43"/>
        <v>4206808</v>
      </c>
    </row>
    <row r="139" spans="1:18" ht="46.8">
      <c r="A139" s="33" t="s">
        <v>226</v>
      </c>
      <c r="B139" s="33" t="s">
        <v>26</v>
      </c>
      <c r="C139" s="33" t="s">
        <v>27</v>
      </c>
      <c r="D139" s="5" t="s">
        <v>28</v>
      </c>
      <c r="E139" s="6">
        <f t="shared" ref="E139:E161" si="56">F139+I139</f>
        <v>25000</v>
      </c>
      <c r="F139" s="6">
        <v>25000</v>
      </c>
      <c r="G139" s="6">
        <v>0</v>
      </c>
      <c r="H139" s="6">
        <v>0</v>
      </c>
      <c r="I139" s="6">
        <v>0</v>
      </c>
      <c r="J139" s="6">
        <f t="shared" si="27"/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f t="shared" si="43"/>
        <v>25000</v>
      </c>
    </row>
    <row r="140" spans="1:18" ht="31.2">
      <c r="A140" s="33" t="s">
        <v>227</v>
      </c>
      <c r="B140" s="33" t="s">
        <v>30</v>
      </c>
      <c r="C140" s="33" t="s">
        <v>31</v>
      </c>
      <c r="D140" s="5" t="s">
        <v>32</v>
      </c>
      <c r="E140" s="6">
        <f t="shared" si="56"/>
        <v>49900</v>
      </c>
      <c r="F140" s="6">
        <f>99000-49100</f>
        <v>49900</v>
      </c>
      <c r="G140" s="6">
        <v>0</v>
      </c>
      <c r="H140" s="6">
        <v>0</v>
      </c>
      <c r="I140" s="6">
        <v>0</v>
      </c>
      <c r="J140" s="6">
        <f t="shared" si="27"/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f t="shared" si="43"/>
        <v>49900</v>
      </c>
    </row>
    <row r="141" spans="1:18" ht="31.2">
      <c r="A141" s="33" t="s">
        <v>228</v>
      </c>
      <c r="B141" s="33" t="s">
        <v>229</v>
      </c>
      <c r="C141" s="33" t="s">
        <v>230</v>
      </c>
      <c r="D141" s="5" t="s">
        <v>231</v>
      </c>
      <c r="E141" s="6">
        <f t="shared" si="56"/>
        <v>30000</v>
      </c>
      <c r="F141" s="6">
        <v>30000</v>
      </c>
      <c r="G141" s="6">
        <v>0</v>
      </c>
      <c r="H141" s="6">
        <v>0</v>
      </c>
      <c r="I141" s="6">
        <v>0</v>
      </c>
      <c r="J141" s="6">
        <f t="shared" si="27"/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f t="shared" si="43"/>
        <v>30000</v>
      </c>
    </row>
    <row r="142" spans="1:18" ht="31.2">
      <c r="A142" s="33">
        <v>1216011</v>
      </c>
      <c r="B142" s="33">
        <v>6011</v>
      </c>
      <c r="C142" s="9" t="s">
        <v>290</v>
      </c>
      <c r="D142" s="5" t="s">
        <v>289</v>
      </c>
      <c r="E142" s="6">
        <f t="shared" si="56"/>
        <v>319069</v>
      </c>
      <c r="F142" s="6"/>
      <c r="G142" s="6"/>
      <c r="H142" s="6"/>
      <c r="I142" s="6">
        <v>319069</v>
      </c>
      <c r="J142" s="6">
        <f t="shared" si="27"/>
        <v>5393826</v>
      </c>
      <c r="K142" s="6">
        <f>4029487+202339+1162000</f>
        <v>5393826</v>
      </c>
      <c r="L142" s="6"/>
      <c r="M142" s="6"/>
      <c r="N142" s="6"/>
      <c r="O142" s="6">
        <f>4029487+202339+1162000</f>
        <v>5393826</v>
      </c>
      <c r="P142" s="6">
        <f t="shared" si="43"/>
        <v>5712895</v>
      </c>
    </row>
    <row r="143" spans="1:18" ht="31.2">
      <c r="A143" s="33">
        <v>1216013</v>
      </c>
      <c r="B143" s="33">
        <v>6013</v>
      </c>
      <c r="C143" s="9" t="s">
        <v>55</v>
      </c>
      <c r="D143" s="5" t="s">
        <v>333</v>
      </c>
      <c r="E143" s="6">
        <f t="shared" si="56"/>
        <v>59940</v>
      </c>
      <c r="F143" s="6"/>
      <c r="G143" s="6"/>
      <c r="H143" s="6"/>
      <c r="I143" s="6">
        <v>59940</v>
      </c>
      <c r="J143" s="6">
        <f>L143+O143</f>
        <v>2247563</v>
      </c>
      <c r="K143" s="6">
        <f>1244281+1003282</f>
        <v>2247563</v>
      </c>
      <c r="L143" s="6"/>
      <c r="M143" s="6"/>
      <c r="N143" s="6"/>
      <c r="O143" s="6">
        <f>1244281+1003282</f>
        <v>2247563</v>
      </c>
      <c r="P143" s="6">
        <f t="shared" si="43"/>
        <v>2307503</v>
      </c>
    </row>
    <row r="144" spans="1:18" ht="31.2">
      <c r="A144" s="33" t="s">
        <v>232</v>
      </c>
      <c r="B144" s="33" t="s">
        <v>233</v>
      </c>
      <c r="C144" s="33" t="s">
        <v>55</v>
      </c>
      <c r="D144" s="5" t="s">
        <v>234</v>
      </c>
      <c r="E144" s="6">
        <f t="shared" si="56"/>
        <v>300000</v>
      </c>
      <c r="F144" s="6">
        <v>0</v>
      </c>
      <c r="G144" s="6">
        <v>0</v>
      </c>
      <c r="H144" s="6">
        <v>0</v>
      </c>
      <c r="I144" s="6">
        <v>300000</v>
      </c>
      <c r="J144" s="6">
        <f t="shared" si="27"/>
        <v>1834392.76</v>
      </c>
      <c r="K144" s="6">
        <f>495000+1485702-146309.24</f>
        <v>1834392.76</v>
      </c>
      <c r="L144" s="6">
        <v>0</v>
      </c>
      <c r="M144" s="6">
        <v>0</v>
      </c>
      <c r="N144" s="6">
        <v>0</v>
      </c>
      <c r="O144" s="6">
        <f>495000+1485702-146309.24</f>
        <v>1834392.76</v>
      </c>
      <c r="P144" s="6">
        <f t="shared" si="43"/>
        <v>2134392.7599999998</v>
      </c>
    </row>
    <row r="145" spans="1:16" ht="46.8">
      <c r="A145" s="33" t="s">
        <v>235</v>
      </c>
      <c r="B145" s="33" t="s">
        <v>236</v>
      </c>
      <c r="C145" s="33" t="s">
        <v>55</v>
      </c>
      <c r="D145" s="5" t="s">
        <v>237</v>
      </c>
      <c r="E145" s="6">
        <f t="shared" si="56"/>
        <v>1493000</v>
      </c>
      <c r="F145" s="6">
        <v>0</v>
      </c>
      <c r="G145" s="6">
        <v>0</v>
      </c>
      <c r="H145" s="6">
        <v>0</v>
      </c>
      <c r="I145" s="6">
        <v>1493000</v>
      </c>
      <c r="J145" s="6">
        <f t="shared" si="27"/>
        <v>1200000</v>
      </c>
      <c r="K145" s="6">
        <v>1200000</v>
      </c>
      <c r="L145" s="6">
        <v>0</v>
      </c>
      <c r="M145" s="6">
        <v>0</v>
      </c>
      <c r="N145" s="6">
        <v>0</v>
      </c>
      <c r="O145" s="6">
        <v>1200000</v>
      </c>
      <c r="P145" s="6">
        <f t="shared" si="43"/>
        <v>2693000</v>
      </c>
    </row>
    <row r="146" spans="1:16" ht="62.4">
      <c r="A146" s="33">
        <v>1216020</v>
      </c>
      <c r="B146" s="33">
        <v>6020</v>
      </c>
      <c r="C146" s="33" t="s">
        <v>55</v>
      </c>
      <c r="D146" s="5" t="s">
        <v>403</v>
      </c>
      <c r="E146" s="6">
        <f t="shared" si="56"/>
        <v>0</v>
      </c>
      <c r="F146" s="6"/>
      <c r="G146" s="6"/>
      <c r="H146" s="6"/>
      <c r="I146" s="6"/>
      <c r="J146" s="6">
        <f t="shared" si="27"/>
        <v>993080</v>
      </c>
      <c r="K146" s="6">
        <f>126980+866100</f>
        <v>993080</v>
      </c>
      <c r="L146" s="6"/>
      <c r="M146" s="6"/>
      <c r="N146" s="6"/>
      <c r="O146" s="6">
        <f>126980+866100</f>
        <v>993080</v>
      </c>
      <c r="P146" s="6">
        <f t="shared" si="43"/>
        <v>993080</v>
      </c>
    </row>
    <row r="147" spans="1:16" ht="31.2">
      <c r="A147" s="33" t="s">
        <v>238</v>
      </c>
      <c r="B147" s="33" t="s">
        <v>54</v>
      </c>
      <c r="C147" s="33" t="s">
        <v>55</v>
      </c>
      <c r="D147" s="5" t="s">
        <v>56</v>
      </c>
      <c r="E147" s="6">
        <f>F147+I147</f>
        <v>75762309.24000001</v>
      </c>
      <c r="F147" s="6">
        <f>19865000+465200+345000-50000-465200-900000-90000-515000+500000</f>
        <v>19155000</v>
      </c>
      <c r="G147" s="6">
        <v>0</v>
      </c>
      <c r="H147" s="6">
        <v>0</v>
      </c>
      <c r="I147" s="6">
        <f>54195000-345000+30000-55000+550000+300000+401000+146309.24+100000+1285000</f>
        <v>56607309.240000002</v>
      </c>
      <c r="J147" s="6">
        <f t="shared" si="27"/>
        <v>839500</v>
      </c>
      <c r="K147" s="6">
        <f>875500-36000+550000-550000</f>
        <v>839500</v>
      </c>
      <c r="L147" s="6">
        <v>0</v>
      </c>
      <c r="M147" s="6">
        <v>0</v>
      </c>
      <c r="N147" s="6">
        <v>0</v>
      </c>
      <c r="O147" s="6">
        <f>875500-36000+550000-550000</f>
        <v>839500</v>
      </c>
      <c r="P147" s="6">
        <f t="shared" si="43"/>
        <v>76601809.24000001</v>
      </c>
    </row>
    <row r="148" spans="1:16">
      <c r="A148" s="33">
        <v>1217130</v>
      </c>
      <c r="B148" s="33">
        <v>7130</v>
      </c>
      <c r="C148" s="9" t="s">
        <v>263</v>
      </c>
      <c r="D148" s="5" t="s">
        <v>264</v>
      </c>
      <c r="E148" s="6">
        <f>F148+I148</f>
        <v>55000</v>
      </c>
      <c r="F148" s="6"/>
      <c r="G148" s="6"/>
      <c r="H148" s="6"/>
      <c r="I148" s="6">
        <v>55000</v>
      </c>
      <c r="J148" s="6">
        <f t="shared" si="27"/>
        <v>0</v>
      </c>
      <c r="K148" s="6"/>
      <c r="L148" s="6"/>
      <c r="M148" s="6"/>
      <c r="N148" s="6"/>
      <c r="O148" s="6"/>
      <c r="P148" s="6">
        <f t="shared" si="43"/>
        <v>55000</v>
      </c>
    </row>
    <row r="149" spans="1:16" ht="46.8">
      <c r="A149" s="33" t="s">
        <v>239</v>
      </c>
      <c r="B149" s="33" t="s">
        <v>240</v>
      </c>
      <c r="C149" s="33" t="s">
        <v>241</v>
      </c>
      <c r="D149" s="5" t="s">
        <v>242</v>
      </c>
      <c r="E149" s="6">
        <f t="shared" si="56"/>
        <v>25700000</v>
      </c>
      <c r="F149" s="6">
        <v>25700000</v>
      </c>
      <c r="G149" s="6">
        <v>0</v>
      </c>
      <c r="H149" s="6">
        <v>0</v>
      </c>
      <c r="I149" s="6">
        <v>0</v>
      </c>
      <c r="J149" s="6">
        <f t="shared" si="27"/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f t="shared" si="43"/>
        <v>25700000</v>
      </c>
    </row>
    <row r="150" spans="1:16" ht="31.2">
      <c r="A150" s="33">
        <v>1217520</v>
      </c>
      <c r="B150" s="33">
        <v>7520</v>
      </c>
      <c r="C150" s="9" t="s">
        <v>387</v>
      </c>
      <c r="D150" s="5" t="s">
        <v>386</v>
      </c>
      <c r="E150" s="6">
        <f t="shared" si="56"/>
        <v>190900</v>
      </c>
      <c r="F150" s="6">
        <v>190900</v>
      </c>
      <c r="G150" s="6"/>
      <c r="H150" s="6"/>
      <c r="I150" s="6"/>
      <c r="J150" s="6">
        <f t="shared" si="27"/>
        <v>36000</v>
      </c>
      <c r="K150" s="6">
        <v>36000</v>
      </c>
      <c r="L150" s="6"/>
      <c r="M150" s="6"/>
      <c r="N150" s="6"/>
      <c r="O150" s="6">
        <v>36000</v>
      </c>
      <c r="P150" s="6">
        <f t="shared" si="43"/>
        <v>226900</v>
      </c>
    </row>
    <row r="151" spans="1:16" ht="31.2">
      <c r="A151" s="33">
        <v>1217670</v>
      </c>
      <c r="B151" s="33">
        <v>7670</v>
      </c>
      <c r="C151" s="9" t="s">
        <v>59</v>
      </c>
      <c r="D151" s="5" t="s">
        <v>404</v>
      </c>
      <c r="E151" s="6">
        <f t="shared" si="56"/>
        <v>0</v>
      </c>
      <c r="F151" s="6"/>
      <c r="G151" s="6"/>
      <c r="H151" s="6"/>
      <c r="I151" s="6"/>
      <c r="J151" s="6">
        <f t="shared" si="27"/>
        <v>7113997</v>
      </c>
      <c r="K151" s="6">
        <f>2170700+4943297</f>
        <v>7113997</v>
      </c>
      <c r="L151" s="6"/>
      <c r="M151" s="6"/>
      <c r="N151" s="6"/>
      <c r="O151" s="6">
        <f>2170700+4943297</f>
        <v>7113997</v>
      </c>
      <c r="P151" s="6">
        <f t="shared" si="43"/>
        <v>7113997</v>
      </c>
    </row>
    <row r="152" spans="1:16" ht="140.4">
      <c r="A152" s="33">
        <v>1217691</v>
      </c>
      <c r="B152" s="33">
        <v>7691</v>
      </c>
      <c r="C152" s="9" t="s">
        <v>59</v>
      </c>
      <c r="D152" s="5" t="s">
        <v>331</v>
      </c>
      <c r="E152" s="6">
        <f t="shared" si="56"/>
        <v>0</v>
      </c>
      <c r="F152" s="6"/>
      <c r="G152" s="6"/>
      <c r="H152" s="6"/>
      <c r="I152" s="6"/>
      <c r="J152" s="6">
        <f t="shared" si="27"/>
        <v>619546.29</v>
      </c>
      <c r="K152" s="6"/>
      <c r="L152" s="6"/>
      <c r="M152" s="6"/>
      <c r="N152" s="6"/>
      <c r="O152" s="6">
        <f>393146+187656.88+55000-16256.59</f>
        <v>619546.29</v>
      </c>
      <c r="P152" s="6">
        <f t="shared" si="43"/>
        <v>619546.29</v>
      </c>
    </row>
    <row r="153" spans="1:16" ht="31.2">
      <c r="A153" s="33" t="s">
        <v>243</v>
      </c>
      <c r="B153" s="33" t="s">
        <v>244</v>
      </c>
      <c r="C153" s="33" t="s">
        <v>59</v>
      </c>
      <c r="D153" s="5" t="s">
        <v>245</v>
      </c>
      <c r="E153" s="6">
        <f t="shared" si="56"/>
        <v>49496002</v>
      </c>
      <c r="F153" s="6">
        <v>0</v>
      </c>
      <c r="G153" s="6">
        <v>0</v>
      </c>
      <c r="H153" s="6">
        <v>0</v>
      </c>
      <c r="I153" s="6">
        <f>31215000+3554300+1350000+8000000+51802+3490000-350000+2184900</f>
        <v>49496002</v>
      </c>
      <c r="J153" s="6">
        <f t="shared" si="27"/>
        <v>0</v>
      </c>
      <c r="K153" s="6"/>
      <c r="L153" s="6">
        <v>0</v>
      </c>
      <c r="M153" s="6">
        <v>0</v>
      </c>
      <c r="N153" s="6">
        <v>0</v>
      </c>
      <c r="O153" s="6"/>
      <c r="P153" s="6">
        <f t="shared" si="43"/>
        <v>49496002</v>
      </c>
    </row>
    <row r="154" spans="1:16" ht="62.4">
      <c r="A154" s="33">
        <v>1217700</v>
      </c>
      <c r="B154" s="33">
        <v>7700</v>
      </c>
      <c r="C154" s="9" t="s">
        <v>31</v>
      </c>
      <c r="D154" s="5" t="s">
        <v>361</v>
      </c>
      <c r="E154" s="6">
        <f t="shared" si="56"/>
        <v>0</v>
      </c>
      <c r="F154" s="6"/>
      <c r="G154" s="6"/>
      <c r="H154" s="6"/>
      <c r="I154" s="6"/>
      <c r="J154" s="6">
        <f t="shared" si="27"/>
        <v>420801.44</v>
      </c>
      <c r="K154" s="6"/>
      <c r="L154" s="6"/>
      <c r="M154" s="6"/>
      <c r="N154" s="6"/>
      <c r="O154" s="6">
        <v>420801.44</v>
      </c>
      <c r="P154" s="6">
        <f t="shared" si="43"/>
        <v>420801.44</v>
      </c>
    </row>
    <row r="155" spans="1:16" ht="46.8">
      <c r="A155" s="33" t="s">
        <v>246</v>
      </c>
      <c r="B155" s="33" t="s">
        <v>247</v>
      </c>
      <c r="C155" s="33" t="s">
        <v>248</v>
      </c>
      <c r="D155" s="5" t="s">
        <v>249</v>
      </c>
      <c r="E155" s="6">
        <f t="shared" si="56"/>
        <v>2402231</v>
      </c>
      <c r="F155" s="6">
        <f>835000+552900+58341+62000+500000+63990+330000</f>
        <v>2402231</v>
      </c>
      <c r="G155" s="6">
        <v>0</v>
      </c>
      <c r="H155" s="6">
        <v>0</v>
      </c>
      <c r="I155" s="6">
        <v>0</v>
      </c>
      <c r="J155" s="6">
        <f t="shared" si="27"/>
        <v>1853000</v>
      </c>
      <c r="K155" s="6">
        <f>150000+2213000-1200000+690000</f>
        <v>1853000</v>
      </c>
      <c r="L155" s="6">
        <v>0</v>
      </c>
      <c r="M155" s="6">
        <v>0</v>
      </c>
      <c r="N155" s="6">
        <v>0</v>
      </c>
      <c r="O155" s="6">
        <f>150000+2213000-1200000+690000</f>
        <v>1853000</v>
      </c>
      <c r="P155" s="6">
        <f t="shared" si="43"/>
        <v>4255231</v>
      </c>
    </row>
    <row r="156" spans="1:16" ht="31.2">
      <c r="A156" s="9" t="s">
        <v>323</v>
      </c>
      <c r="B156" s="33">
        <v>8240</v>
      </c>
      <c r="C156" s="9" t="s">
        <v>63</v>
      </c>
      <c r="D156" s="5" t="s">
        <v>272</v>
      </c>
      <c r="E156" s="6">
        <f t="shared" si="56"/>
        <v>12700</v>
      </c>
      <c r="F156" s="6">
        <v>12700</v>
      </c>
      <c r="G156" s="6"/>
      <c r="H156" s="6"/>
      <c r="I156" s="6"/>
      <c r="J156" s="6"/>
      <c r="K156" s="6"/>
      <c r="L156" s="6"/>
      <c r="M156" s="6"/>
      <c r="N156" s="6"/>
      <c r="O156" s="6"/>
      <c r="P156" s="6">
        <f t="shared" si="43"/>
        <v>12700</v>
      </c>
    </row>
    <row r="157" spans="1:16" ht="31.2">
      <c r="A157" s="9" t="s">
        <v>294</v>
      </c>
      <c r="B157" s="33">
        <v>8340</v>
      </c>
      <c r="C157" s="33" t="s">
        <v>286</v>
      </c>
      <c r="D157" s="5" t="s">
        <v>287</v>
      </c>
      <c r="E157" s="6">
        <f t="shared" si="56"/>
        <v>0</v>
      </c>
      <c r="F157" s="6"/>
      <c r="G157" s="6"/>
      <c r="H157" s="6"/>
      <c r="I157" s="6"/>
      <c r="J157" s="6">
        <f t="shared" si="27"/>
        <v>250000</v>
      </c>
      <c r="K157" s="6"/>
      <c r="L157" s="6">
        <v>100000</v>
      </c>
      <c r="M157" s="6"/>
      <c r="N157" s="6"/>
      <c r="O157" s="6">
        <v>150000</v>
      </c>
      <c r="P157" s="6">
        <f t="shared" si="43"/>
        <v>250000</v>
      </c>
    </row>
    <row r="158" spans="1:16" ht="78">
      <c r="A158" s="9" t="s">
        <v>389</v>
      </c>
      <c r="B158" s="33">
        <v>8733</v>
      </c>
      <c r="C158" s="9" t="s">
        <v>241</v>
      </c>
      <c r="D158" s="5" t="s">
        <v>390</v>
      </c>
      <c r="E158" s="6">
        <f t="shared" si="56"/>
        <v>197200</v>
      </c>
      <c r="F158" s="6">
        <v>197200</v>
      </c>
      <c r="G158" s="6"/>
      <c r="H158" s="6"/>
      <c r="I158" s="6"/>
      <c r="J158" s="6">
        <f t="shared" si="27"/>
        <v>500000</v>
      </c>
      <c r="K158" s="6">
        <f>500000</f>
        <v>500000</v>
      </c>
      <c r="L158" s="6"/>
      <c r="M158" s="6"/>
      <c r="N158" s="6"/>
      <c r="O158" s="6">
        <f>500000</f>
        <v>500000</v>
      </c>
      <c r="P158" s="6">
        <f t="shared" si="43"/>
        <v>697200</v>
      </c>
    </row>
    <row r="159" spans="1:16" ht="78">
      <c r="A159" s="9" t="s">
        <v>418</v>
      </c>
      <c r="B159" s="33">
        <v>8741</v>
      </c>
      <c r="C159" s="9" t="s">
        <v>290</v>
      </c>
      <c r="D159" s="5" t="s">
        <v>419</v>
      </c>
      <c r="E159" s="6">
        <f t="shared" si="56"/>
        <v>400000</v>
      </c>
      <c r="F159" s="6"/>
      <c r="G159" s="6"/>
      <c r="H159" s="6"/>
      <c r="I159" s="6">
        <v>400000</v>
      </c>
      <c r="J159" s="6">
        <f t="shared" si="27"/>
        <v>0</v>
      </c>
      <c r="K159" s="6"/>
      <c r="L159" s="6"/>
      <c r="M159" s="6"/>
      <c r="N159" s="6"/>
      <c r="O159" s="6"/>
      <c r="P159" s="6">
        <f t="shared" si="43"/>
        <v>400000</v>
      </c>
    </row>
    <row r="160" spans="1:16" ht="93.6">
      <c r="A160" s="9" t="s">
        <v>405</v>
      </c>
      <c r="B160" s="33">
        <v>8746</v>
      </c>
      <c r="C160" s="9" t="s">
        <v>407</v>
      </c>
      <c r="D160" s="5" t="s">
        <v>406</v>
      </c>
      <c r="E160" s="6">
        <f t="shared" si="56"/>
        <v>109000</v>
      </c>
      <c r="F160" s="6"/>
      <c r="G160" s="6"/>
      <c r="H160" s="6"/>
      <c r="I160" s="6">
        <v>109000</v>
      </c>
      <c r="J160" s="6">
        <f t="shared" si="27"/>
        <v>0</v>
      </c>
      <c r="K160" s="6"/>
      <c r="L160" s="6"/>
      <c r="M160" s="6"/>
      <c r="N160" s="6"/>
      <c r="O160" s="6"/>
      <c r="P160" s="6">
        <f t="shared" si="43"/>
        <v>109000</v>
      </c>
    </row>
    <row r="161" spans="1:16" ht="78">
      <c r="A161" s="9" t="s">
        <v>383</v>
      </c>
      <c r="B161" s="33">
        <v>8761</v>
      </c>
      <c r="C161" s="9" t="s">
        <v>286</v>
      </c>
      <c r="D161" s="5" t="s">
        <v>384</v>
      </c>
      <c r="E161" s="6">
        <f t="shared" si="56"/>
        <v>0</v>
      </c>
      <c r="F161" s="6"/>
      <c r="G161" s="6"/>
      <c r="H161" s="6"/>
      <c r="I161" s="6"/>
      <c r="J161" s="6">
        <f t="shared" si="27"/>
        <v>674628</v>
      </c>
      <c r="K161" s="6">
        <v>674628</v>
      </c>
      <c r="L161" s="6"/>
      <c r="M161" s="6"/>
      <c r="N161" s="6"/>
      <c r="O161" s="6">
        <v>674628</v>
      </c>
      <c r="P161" s="6">
        <f t="shared" si="43"/>
        <v>674628</v>
      </c>
    </row>
    <row r="162" spans="1:16" ht="62.4">
      <c r="A162" s="2" t="s">
        <v>250</v>
      </c>
      <c r="B162" s="2" t="s">
        <v>18</v>
      </c>
      <c r="C162" s="2" t="s">
        <v>18</v>
      </c>
      <c r="D162" s="3" t="s">
        <v>251</v>
      </c>
      <c r="E162" s="4">
        <f t="shared" ref="E162:E181" si="57">F162+I162</f>
        <v>4685900</v>
      </c>
      <c r="F162" s="4">
        <f>F163</f>
        <v>4685900</v>
      </c>
      <c r="G162" s="4">
        <f t="shared" ref="G162:I162" si="58">G163</f>
        <v>4440900</v>
      </c>
      <c r="H162" s="4">
        <f t="shared" si="58"/>
        <v>0</v>
      </c>
      <c r="I162" s="4">
        <f t="shared" si="58"/>
        <v>0</v>
      </c>
      <c r="J162" s="4">
        <f t="shared" si="27"/>
        <v>239530786</v>
      </c>
      <c r="K162" s="4">
        <f>K163</f>
        <v>239182086</v>
      </c>
      <c r="L162" s="4">
        <f t="shared" ref="L162:O162" si="59">L163</f>
        <v>0</v>
      </c>
      <c r="M162" s="4">
        <f t="shared" si="59"/>
        <v>0</v>
      </c>
      <c r="N162" s="4">
        <f t="shared" si="59"/>
        <v>0</v>
      </c>
      <c r="O162" s="4">
        <f t="shared" si="59"/>
        <v>239530786</v>
      </c>
      <c r="P162" s="4">
        <f t="shared" si="43"/>
        <v>244216686</v>
      </c>
    </row>
    <row r="163" spans="1:16" ht="62.4">
      <c r="A163" s="2" t="s">
        <v>252</v>
      </c>
      <c r="B163" s="2" t="s">
        <v>18</v>
      </c>
      <c r="C163" s="2" t="s">
        <v>18</v>
      </c>
      <c r="D163" s="3" t="s">
        <v>251</v>
      </c>
      <c r="E163" s="4">
        <f t="shared" si="57"/>
        <v>4685900</v>
      </c>
      <c r="F163" s="4">
        <f>SUM(F164:F178)</f>
        <v>4685900</v>
      </c>
      <c r="G163" s="4">
        <f t="shared" ref="G163:K163" si="60">SUM(G164:G178)</f>
        <v>4440900</v>
      </c>
      <c r="H163" s="4">
        <f t="shared" si="60"/>
        <v>0</v>
      </c>
      <c r="I163" s="4">
        <f t="shared" si="60"/>
        <v>0</v>
      </c>
      <c r="J163" s="4">
        <f t="shared" si="27"/>
        <v>239530786</v>
      </c>
      <c r="K163" s="4">
        <f t="shared" si="60"/>
        <v>239182086</v>
      </c>
      <c r="L163" s="4">
        <f t="shared" ref="L163" si="61">SUM(L164:L178)</f>
        <v>0</v>
      </c>
      <c r="M163" s="4">
        <f t="shared" ref="M163" si="62">SUM(M164:M178)</f>
        <v>0</v>
      </c>
      <c r="N163" s="4">
        <f t="shared" ref="N163" si="63">SUM(N164:N178)</f>
        <v>0</v>
      </c>
      <c r="O163" s="4">
        <f t="shared" ref="O163" si="64">SUM(O164:O178)</f>
        <v>239530786</v>
      </c>
      <c r="P163" s="4">
        <f t="shared" si="43"/>
        <v>244216686</v>
      </c>
    </row>
    <row r="164" spans="1:16" ht="46.8">
      <c r="A164" s="33" t="s">
        <v>253</v>
      </c>
      <c r="B164" s="33" t="s">
        <v>75</v>
      </c>
      <c r="C164" s="33" t="s">
        <v>23</v>
      </c>
      <c r="D164" s="5" t="s">
        <v>76</v>
      </c>
      <c r="E164" s="6">
        <f t="shared" si="57"/>
        <v>4636000</v>
      </c>
      <c r="F164" s="6">
        <f>4386000+70000+100000+40000+40000</f>
        <v>4636000</v>
      </c>
      <c r="G164" s="6">
        <f>4270900+70000+100000</f>
        <v>4440900</v>
      </c>
      <c r="H164" s="6">
        <v>0</v>
      </c>
      <c r="I164" s="6">
        <v>0</v>
      </c>
      <c r="J164" s="6">
        <f t="shared" si="27"/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f t="shared" si="43"/>
        <v>4636000</v>
      </c>
    </row>
    <row r="165" spans="1:16" ht="31.2">
      <c r="A165" s="33" t="s">
        <v>254</v>
      </c>
      <c r="B165" s="33" t="s">
        <v>30</v>
      </c>
      <c r="C165" s="33" t="s">
        <v>31</v>
      </c>
      <c r="D165" s="5" t="s">
        <v>32</v>
      </c>
      <c r="E165" s="6">
        <f t="shared" si="57"/>
        <v>49900</v>
      </c>
      <c r="F165" s="6">
        <f>99000-49100</f>
        <v>49900</v>
      </c>
      <c r="G165" s="6">
        <v>0</v>
      </c>
      <c r="H165" s="6">
        <v>0</v>
      </c>
      <c r="I165" s="6">
        <v>0</v>
      </c>
      <c r="J165" s="6">
        <f t="shared" si="27"/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f t="shared" si="43"/>
        <v>49900</v>
      </c>
    </row>
    <row r="166" spans="1:16" ht="31.2">
      <c r="A166" s="33">
        <v>1512010</v>
      </c>
      <c r="B166" s="9" t="s">
        <v>34</v>
      </c>
      <c r="C166" s="9" t="s">
        <v>35</v>
      </c>
      <c r="D166" s="5" t="s">
        <v>36</v>
      </c>
      <c r="E166" s="6">
        <f t="shared" si="57"/>
        <v>0</v>
      </c>
      <c r="F166" s="6"/>
      <c r="G166" s="6"/>
      <c r="H166" s="6"/>
      <c r="I166" s="6"/>
      <c r="J166" s="6">
        <f t="shared" si="27"/>
        <v>1150627</v>
      </c>
      <c r="K166" s="6">
        <f>1205627-30000-25000</f>
        <v>1150627</v>
      </c>
      <c r="L166" s="6"/>
      <c r="M166" s="6"/>
      <c r="N166" s="6"/>
      <c r="O166" s="6">
        <f>1205627-30000-25000</f>
        <v>1150627</v>
      </c>
      <c r="P166" s="6">
        <f t="shared" si="43"/>
        <v>1150627</v>
      </c>
    </row>
    <row r="167" spans="1:16" ht="31.2">
      <c r="A167" s="33">
        <v>1516013</v>
      </c>
      <c r="B167" s="9" t="s">
        <v>332</v>
      </c>
      <c r="C167" s="9" t="s">
        <v>55</v>
      </c>
      <c r="D167" s="5" t="s">
        <v>333</v>
      </c>
      <c r="E167" s="6">
        <f t="shared" si="57"/>
        <v>0</v>
      </c>
      <c r="F167" s="6"/>
      <c r="G167" s="6"/>
      <c r="H167" s="6"/>
      <c r="I167" s="6"/>
      <c r="J167" s="6">
        <f t="shared" si="27"/>
        <v>382750</v>
      </c>
      <c r="K167" s="6">
        <v>382750</v>
      </c>
      <c r="L167" s="6"/>
      <c r="M167" s="6"/>
      <c r="N167" s="6"/>
      <c r="O167" s="6">
        <v>382750</v>
      </c>
      <c r="P167" s="6">
        <f t="shared" si="43"/>
        <v>382750</v>
      </c>
    </row>
    <row r="168" spans="1:16" ht="31.2">
      <c r="A168" s="33">
        <v>1516015</v>
      </c>
      <c r="B168" s="9" t="s">
        <v>233</v>
      </c>
      <c r="C168" s="9" t="s">
        <v>55</v>
      </c>
      <c r="D168" s="5" t="s">
        <v>234</v>
      </c>
      <c r="E168" s="6">
        <f t="shared" si="57"/>
        <v>0</v>
      </c>
      <c r="F168" s="6"/>
      <c r="G168" s="6"/>
      <c r="H168" s="6"/>
      <c r="I168" s="6"/>
      <c r="J168" s="6">
        <f t="shared" si="27"/>
        <v>17718117</v>
      </c>
      <c r="K168" s="6">
        <f>23415217-6097000+399900</f>
        <v>17718117</v>
      </c>
      <c r="L168" s="6"/>
      <c r="M168" s="6"/>
      <c r="N168" s="6"/>
      <c r="O168" s="6">
        <f>23415217-6097000+399900</f>
        <v>17718117</v>
      </c>
      <c r="P168" s="6">
        <f t="shared" si="43"/>
        <v>17718117</v>
      </c>
    </row>
    <row r="169" spans="1:16" ht="46.8">
      <c r="A169" s="33">
        <v>1516017</v>
      </c>
      <c r="B169" s="9" t="s">
        <v>236</v>
      </c>
      <c r="C169" s="9" t="s">
        <v>55</v>
      </c>
      <c r="D169" s="5" t="s">
        <v>408</v>
      </c>
      <c r="E169" s="6">
        <f t="shared" si="57"/>
        <v>0</v>
      </c>
      <c r="F169" s="6"/>
      <c r="G169" s="6"/>
      <c r="H169" s="6"/>
      <c r="I169" s="6"/>
      <c r="J169" s="6">
        <f t="shared" si="27"/>
        <v>330000</v>
      </c>
      <c r="K169" s="6">
        <v>330000</v>
      </c>
      <c r="L169" s="6"/>
      <c r="M169" s="6"/>
      <c r="N169" s="6"/>
      <c r="O169" s="6">
        <v>330000</v>
      </c>
      <c r="P169" s="6">
        <f t="shared" si="43"/>
        <v>330000</v>
      </c>
    </row>
    <row r="170" spans="1:16" ht="78">
      <c r="A170" s="33">
        <v>1516050</v>
      </c>
      <c r="B170" s="9" t="s">
        <v>334</v>
      </c>
      <c r="C170" s="9" t="s">
        <v>55</v>
      </c>
      <c r="D170" s="5" t="s">
        <v>335</v>
      </c>
      <c r="E170" s="6">
        <f t="shared" si="57"/>
        <v>0</v>
      </c>
      <c r="F170" s="6"/>
      <c r="G170" s="6"/>
      <c r="H170" s="6"/>
      <c r="I170" s="6"/>
      <c r="J170" s="6">
        <f t="shared" si="27"/>
        <v>1194873</v>
      </c>
      <c r="K170" s="6">
        <f>2439154-1244281</f>
        <v>1194873</v>
      </c>
      <c r="L170" s="6"/>
      <c r="M170" s="6"/>
      <c r="N170" s="6"/>
      <c r="O170" s="6">
        <f>2439154-1244281</f>
        <v>1194873</v>
      </c>
      <c r="P170" s="6">
        <f t="shared" si="43"/>
        <v>1194873</v>
      </c>
    </row>
    <row r="171" spans="1:16" ht="31.2">
      <c r="A171" s="33">
        <v>1517310</v>
      </c>
      <c r="B171" s="9" t="s">
        <v>336</v>
      </c>
      <c r="C171" s="9" t="s">
        <v>267</v>
      </c>
      <c r="D171" s="5" t="s">
        <v>337</v>
      </c>
      <c r="E171" s="6">
        <f t="shared" si="57"/>
        <v>0</v>
      </c>
      <c r="F171" s="6"/>
      <c r="G171" s="6"/>
      <c r="H171" s="6"/>
      <c r="I171" s="6"/>
      <c r="J171" s="6">
        <f t="shared" si="27"/>
        <v>50832250</v>
      </c>
      <c r="K171" s="6">
        <f>19000000+10001250+20804000+1027000</f>
        <v>50832250</v>
      </c>
      <c r="L171" s="6"/>
      <c r="M171" s="6"/>
      <c r="N171" s="6"/>
      <c r="O171" s="6">
        <f>19000000+10001250+20804000+1027000</f>
        <v>50832250</v>
      </c>
      <c r="P171" s="6">
        <f t="shared" si="43"/>
        <v>50832250</v>
      </c>
    </row>
    <row r="172" spans="1:16" ht="31.2">
      <c r="A172" s="33">
        <v>1517321</v>
      </c>
      <c r="B172" s="9" t="s">
        <v>338</v>
      </c>
      <c r="C172" s="9" t="s">
        <v>267</v>
      </c>
      <c r="D172" s="5" t="s">
        <v>339</v>
      </c>
      <c r="E172" s="6">
        <f t="shared" si="57"/>
        <v>0</v>
      </c>
      <c r="F172" s="6"/>
      <c r="G172" s="6"/>
      <c r="H172" s="6"/>
      <c r="I172" s="6"/>
      <c r="J172" s="6">
        <f t="shared" si="27"/>
        <v>87576460</v>
      </c>
      <c r="K172" s="6">
        <f>202660+25000+87308800-40000+80000</f>
        <v>87576460</v>
      </c>
      <c r="L172" s="6"/>
      <c r="M172" s="6"/>
      <c r="N172" s="6"/>
      <c r="O172" s="6">
        <f>202660+25000+87308800-40000+80000</f>
        <v>87576460</v>
      </c>
      <c r="P172" s="6">
        <f t="shared" si="43"/>
        <v>87576460</v>
      </c>
    </row>
    <row r="173" spans="1:16" ht="31.2">
      <c r="A173" s="33">
        <v>1517368</v>
      </c>
      <c r="B173" s="9" t="s">
        <v>353</v>
      </c>
      <c r="C173" s="9" t="s">
        <v>59</v>
      </c>
      <c r="D173" s="5" t="s">
        <v>354</v>
      </c>
      <c r="E173" s="6">
        <f t="shared" si="57"/>
        <v>0</v>
      </c>
      <c r="F173" s="6"/>
      <c r="G173" s="6"/>
      <c r="H173" s="6"/>
      <c r="I173" s="6"/>
      <c r="J173" s="6">
        <f t="shared" si="27"/>
        <v>26491442</v>
      </c>
      <c r="K173" s="6">
        <v>26491442</v>
      </c>
      <c r="L173" s="6"/>
      <c r="M173" s="6"/>
      <c r="N173" s="6"/>
      <c r="O173" s="6">
        <v>26491442</v>
      </c>
      <c r="P173" s="6">
        <f t="shared" si="43"/>
        <v>26491442</v>
      </c>
    </row>
    <row r="174" spans="1:16" ht="46.8">
      <c r="A174" s="33">
        <v>1517370</v>
      </c>
      <c r="B174" s="9" t="s">
        <v>340</v>
      </c>
      <c r="C174" s="9" t="s">
        <v>59</v>
      </c>
      <c r="D174" s="5" t="s">
        <v>341</v>
      </c>
      <c r="E174" s="6">
        <f t="shared" si="57"/>
        <v>0</v>
      </c>
      <c r="F174" s="6"/>
      <c r="G174" s="6"/>
      <c r="H174" s="6"/>
      <c r="I174" s="6"/>
      <c r="J174" s="6">
        <f t="shared" si="27"/>
        <v>27740698</v>
      </c>
      <c r="K174" s="6">
        <f>7820447+17920251+2000000</f>
        <v>27740698</v>
      </c>
      <c r="L174" s="6"/>
      <c r="M174" s="6"/>
      <c r="N174" s="6"/>
      <c r="O174" s="6">
        <f>7820447+17920251+2000000</f>
        <v>27740698</v>
      </c>
      <c r="P174" s="6">
        <f t="shared" si="43"/>
        <v>27740698</v>
      </c>
    </row>
    <row r="175" spans="1:16" ht="78">
      <c r="A175" s="9" t="s">
        <v>421</v>
      </c>
      <c r="B175" s="33">
        <v>7373</v>
      </c>
      <c r="C175" s="9" t="s">
        <v>59</v>
      </c>
      <c r="D175" s="5" t="s">
        <v>410</v>
      </c>
      <c r="E175" s="6"/>
      <c r="F175" s="6"/>
      <c r="G175" s="6"/>
      <c r="H175" s="6"/>
      <c r="I175" s="6"/>
      <c r="J175" s="6">
        <f t="shared" si="27"/>
        <v>550000</v>
      </c>
      <c r="K175" s="6">
        <v>550000</v>
      </c>
      <c r="L175" s="6"/>
      <c r="M175" s="6"/>
      <c r="N175" s="6"/>
      <c r="O175" s="6">
        <v>550000</v>
      </c>
      <c r="P175" s="6">
        <f t="shared" si="43"/>
        <v>550000</v>
      </c>
    </row>
    <row r="176" spans="1:16">
      <c r="A176" s="33">
        <v>1517640</v>
      </c>
      <c r="B176" s="9" t="s">
        <v>342</v>
      </c>
      <c r="C176" s="9" t="s">
        <v>329</v>
      </c>
      <c r="D176" s="5" t="s">
        <v>328</v>
      </c>
      <c r="E176" s="6">
        <f t="shared" si="57"/>
        <v>0</v>
      </c>
      <c r="F176" s="6"/>
      <c r="G176" s="6"/>
      <c r="H176" s="6"/>
      <c r="I176" s="6"/>
      <c r="J176" s="6">
        <f t="shared" si="27"/>
        <v>7720091</v>
      </c>
      <c r="K176" s="6">
        <v>7720091</v>
      </c>
      <c r="L176" s="6"/>
      <c r="M176" s="6"/>
      <c r="N176" s="6"/>
      <c r="O176" s="6">
        <v>7720091</v>
      </c>
      <c r="P176" s="6">
        <f t="shared" si="43"/>
        <v>7720091</v>
      </c>
    </row>
    <row r="177" spans="1:16" ht="46.8">
      <c r="A177" s="33">
        <v>1518110</v>
      </c>
      <c r="B177" s="9" t="s">
        <v>247</v>
      </c>
      <c r="C177" s="9" t="s">
        <v>248</v>
      </c>
      <c r="D177" s="5" t="s">
        <v>249</v>
      </c>
      <c r="E177" s="6">
        <f t="shared" si="57"/>
        <v>0</v>
      </c>
      <c r="F177" s="6"/>
      <c r="G177" s="6"/>
      <c r="H177" s="6"/>
      <c r="I177" s="6"/>
      <c r="J177" s="6">
        <f t="shared" si="27"/>
        <v>17494778</v>
      </c>
      <c r="K177" s="6">
        <f>22333778-1000000-49000-3790000</f>
        <v>17494778</v>
      </c>
      <c r="L177" s="6"/>
      <c r="M177" s="6"/>
      <c r="N177" s="6"/>
      <c r="O177" s="6">
        <f>22333778-1000000-49000-3790000</f>
        <v>17494778</v>
      </c>
      <c r="P177" s="6">
        <f t="shared" si="43"/>
        <v>17494778</v>
      </c>
    </row>
    <row r="178" spans="1:16" ht="31.2">
      <c r="A178" s="33">
        <v>1518340</v>
      </c>
      <c r="B178" s="9" t="s">
        <v>409</v>
      </c>
      <c r="C178" s="9" t="s">
        <v>286</v>
      </c>
      <c r="D178" s="5" t="s">
        <v>287</v>
      </c>
      <c r="E178" s="6">
        <f t="shared" si="57"/>
        <v>0</v>
      </c>
      <c r="F178" s="6"/>
      <c r="G178" s="6"/>
      <c r="H178" s="6"/>
      <c r="I178" s="6"/>
      <c r="J178" s="6">
        <f t="shared" si="27"/>
        <v>348700</v>
      </c>
      <c r="K178" s="6"/>
      <c r="L178" s="6"/>
      <c r="M178" s="6"/>
      <c r="N178" s="6"/>
      <c r="O178" s="6">
        <v>348700</v>
      </c>
      <c r="P178" s="6">
        <f t="shared" si="43"/>
        <v>348700</v>
      </c>
    </row>
    <row r="179" spans="1:16" ht="62.4">
      <c r="A179" s="2" t="s">
        <v>255</v>
      </c>
      <c r="B179" s="2" t="s">
        <v>18</v>
      </c>
      <c r="C179" s="2" t="s">
        <v>18</v>
      </c>
      <c r="D179" s="3" t="s">
        <v>256</v>
      </c>
      <c r="E179" s="4">
        <f t="shared" si="57"/>
        <v>24640046</v>
      </c>
      <c r="F179" s="4">
        <f>F180</f>
        <v>4586700</v>
      </c>
      <c r="G179" s="4">
        <f t="shared" ref="G179:I179" si="65">G180</f>
        <v>3795600</v>
      </c>
      <c r="H179" s="4">
        <f t="shared" si="65"/>
        <v>0</v>
      </c>
      <c r="I179" s="4">
        <f t="shared" si="65"/>
        <v>20053346</v>
      </c>
      <c r="J179" s="4">
        <f t="shared" si="27"/>
        <v>28500</v>
      </c>
      <c r="K179" s="4">
        <f>K180</f>
        <v>28500</v>
      </c>
      <c r="L179" s="4">
        <f t="shared" ref="L179:O179" si="66">L180</f>
        <v>0</v>
      </c>
      <c r="M179" s="4">
        <f t="shared" si="66"/>
        <v>0</v>
      </c>
      <c r="N179" s="4">
        <f t="shared" si="66"/>
        <v>0</v>
      </c>
      <c r="O179" s="4">
        <f t="shared" si="66"/>
        <v>28500</v>
      </c>
      <c r="P179" s="4">
        <f t="shared" si="43"/>
        <v>24668546</v>
      </c>
    </row>
    <row r="180" spans="1:16" ht="62.4">
      <c r="A180" s="2" t="s">
        <v>257</v>
      </c>
      <c r="B180" s="2" t="s">
        <v>18</v>
      </c>
      <c r="C180" s="2" t="s">
        <v>18</v>
      </c>
      <c r="D180" s="3" t="s">
        <v>256</v>
      </c>
      <c r="E180" s="4">
        <f t="shared" si="57"/>
        <v>24640046</v>
      </c>
      <c r="F180" s="4">
        <f>SUM(F181:F187)</f>
        <v>4586700</v>
      </c>
      <c r="G180" s="4">
        <f t="shared" ref="G180:I180" si="67">SUM(G181:G187)</f>
        <v>3795600</v>
      </c>
      <c r="H180" s="4">
        <f t="shared" si="67"/>
        <v>0</v>
      </c>
      <c r="I180" s="4">
        <f t="shared" si="67"/>
        <v>20053346</v>
      </c>
      <c r="J180" s="4">
        <f>L180+O180</f>
        <v>28500</v>
      </c>
      <c r="K180" s="4">
        <f>K181+K182+K183+K184+K185+K186+K187</f>
        <v>28500</v>
      </c>
      <c r="L180" s="4">
        <f t="shared" ref="L180:O180" si="68">L181+L182+L183+L184+L185+L186+L187</f>
        <v>0</v>
      </c>
      <c r="M180" s="4">
        <f t="shared" si="68"/>
        <v>0</v>
      </c>
      <c r="N180" s="4">
        <f t="shared" si="68"/>
        <v>0</v>
      </c>
      <c r="O180" s="4">
        <f t="shared" si="68"/>
        <v>28500</v>
      </c>
      <c r="P180" s="4">
        <f t="shared" si="43"/>
        <v>24668546</v>
      </c>
    </row>
    <row r="181" spans="1:16" ht="46.8">
      <c r="A181" s="33" t="s">
        <v>258</v>
      </c>
      <c r="B181" s="33" t="s">
        <v>75</v>
      </c>
      <c r="C181" s="33" t="s">
        <v>23</v>
      </c>
      <c r="D181" s="5" t="s">
        <v>76</v>
      </c>
      <c r="E181" s="6">
        <f t="shared" si="57"/>
        <v>3882800</v>
      </c>
      <c r="F181" s="6">
        <f>3762800+120000</f>
        <v>3882800</v>
      </c>
      <c r="G181" s="6">
        <f>3675600+120000</f>
        <v>3795600</v>
      </c>
      <c r="H181" s="6">
        <v>0</v>
      </c>
      <c r="I181" s="6">
        <v>0</v>
      </c>
      <c r="J181" s="6">
        <f t="shared" si="27"/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f t="shared" si="43"/>
        <v>3882800</v>
      </c>
    </row>
    <row r="182" spans="1:16" ht="31.2">
      <c r="A182" s="33" t="s">
        <v>259</v>
      </c>
      <c r="B182" s="33" t="s">
        <v>30</v>
      </c>
      <c r="C182" s="33" t="s">
        <v>31</v>
      </c>
      <c r="D182" s="5" t="s">
        <v>32</v>
      </c>
      <c r="E182" s="6">
        <f t="shared" ref="E182:E187" si="69">F182+I182</f>
        <v>109900</v>
      </c>
      <c r="F182" s="6">
        <f>159000-49100</f>
        <v>109900</v>
      </c>
      <c r="G182" s="6">
        <v>0</v>
      </c>
      <c r="H182" s="6">
        <v>0</v>
      </c>
      <c r="I182" s="6">
        <v>0</v>
      </c>
      <c r="J182" s="6">
        <f t="shared" si="27"/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f t="shared" si="43"/>
        <v>109900</v>
      </c>
    </row>
    <row r="183" spans="1:16" ht="46.8">
      <c r="A183" s="33" t="s">
        <v>260</v>
      </c>
      <c r="B183" s="33" t="s">
        <v>236</v>
      </c>
      <c r="C183" s="33" t="s">
        <v>55</v>
      </c>
      <c r="D183" s="5" t="s">
        <v>237</v>
      </c>
      <c r="E183" s="6">
        <f t="shared" si="69"/>
        <v>250000</v>
      </c>
      <c r="F183" s="6">
        <f>146000+104000</f>
        <v>250000</v>
      </c>
      <c r="G183" s="6">
        <v>0</v>
      </c>
      <c r="H183" s="6">
        <v>0</v>
      </c>
      <c r="I183" s="6">
        <v>0</v>
      </c>
      <c r="J183" s="6">
        <f t="shared" si="27"/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f t="shared" si="43"/>
        <v>250000</v>
      </c>
    </row>
    <row r="184" spans="1:16">
      <c r="A184" s="33" t="s">
        <v>261</v>
      </c>
      <c r="B184" s="33" t="s">
        <v>262</v>
      </c>
      <c r="C184" s="33" t="s">
        <v>263</v>
      </c>
      <c r="D184" s="5" t="s">
        <v>264</v>
      </c>
      <c r="E184" s="6">
        <f t="shared" si="69"/>
        <v>194000</v>
      </c>
      <c r="F184" s="6">
        <f>200000-104000+50000+48000</f>
        <v>194000</v>
      </c>
      <c r="G184" s="6">
        <v>0</v>
      </c>
      <c r="H184" s="6">
        <v>0</v>
      </c>
      <c r="I184" s="6">
        <v>0</v>
      </c>
      <c r="J184" s="6">
        <f t="shared" si="27"/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f t="shared" si="43"/>
        <v>194000</v>
      </c>
    </row>
    <row r="185" spans="1:16" ht="46.8">
      <c r="A185" s="33" t="s">
        <v>265</v>
      </c>
      <c r="B185" s="33" t="s">
        <v>266</v>
      </c>
      <c r="C185" s="33" t="s">
        <v>267</v>
      </c>
      <c r="D185" s="5" t="s">
        <v>268</v>
      </c>
      <c r="E185" s="6">
        <f t="shared" si="69"/>
        <v>1500000</v>
      </c>
      <c r="F185" s="6">
        <v>0</v>
      </c>
      <c r="G185" s="6">
        <v>0</v>
      </c>
      <c r="H185" s="6">
        <v>0</v>
      </c>
      <c r="I185" s="6">
        <v>1500000</v>
      </c>
      <c r="J185" s="6">
        <f t="shared" si="27"/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f t="shared" ref="P185:P208" si="70">E185 + J185</f>
        <v>1500000</v>
      </c>
    </row>
    <row r="186" spans="1:16" ht="31.2">
      <c r="A186" s="33" t="s">
        <v>269</v>
      </c>
      <c r="B186" s="33" t="s">
        <v>244</v>
      </c>
      <c r="C186" s="33" t="s">
        <v>59</v>
      </c>
      <c r="D186" s="5" t="s">
        <v>245</v>
      </c>
      <c r="E186" s="6">
        <f t="shared" si="69"/>
        <v>18553346</v>
      </c>
      <c r="F186" s="6">
        <v>0</v>
      </c>
      <c r="G186" s="6">
        <v>0</v>
      </c>
      <c r="H186" s="6">
        <v>0</v>
      </c>
      <c r="I186" s="6">
        <f>18281300+187000-19400+104446</f>
        <v>18553346</v>
      </c>
      <c r="J186" s="6">
        <f t="shared" si="27"/>
        <v>28500</v>
      </c>
      <c r="K186" s="6">
        <v>28500</v>
      </c>
      <c r="L186" s="6">
        <v>0</v>
      </c>
      <c r="M186" s="6">
        <v>0</v>
      </c>
      <c r="N186" s="6">
        <v>0</v>
      </c>
      <c r="O186" s="6">
        <v>28500</v>
      </c>
      <c r="P186" s="6">
        <f t="shared" si="70"/>
        <v>18581846</v>
      </c>
    </row>
    <row r="187" spans="1:16" ht="31.2">
      <c r="A187" s="33" t="s">
        <v>270</v>
      </c>
      <c r="B187" s="33" t="s">
        <v>271</v>
      </c>
      <c r="C187" s="33" t="s">
        <v>63</v>
      </c>
      <c r="D187" s="5" t="s">
        <v>272</v>
      </c>
      <c r="E187" s="6">
        <f t="shared" si="69"/>
        <v>150000</v>
      </c>
      <c r="F187" s="6">
        <v>150000</v>
      </c>
      <c r="G187" s="6">
        <v>0</v>
      </c>
      <c r="H187" s="6">
        <v>0</v>
      </c>
      <c r="I187" s="6">
        <v>0</v>
      </c>
      <c r="J187" s="6">
        <f t="shared" si="27"/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f t="shared" si="70"/>
        <v>150000</v>
      </c>
    </row>
    <row r="188" spans="1:16" ht="46.8">
      <c r="A188" s="2" t="s">
        <v>273</v>
      </c>
      <c r="B188" s="2" t="s">
        <v>18</v>
      </c>
      <c r="C188" s="2" t="s">
        <v>18</v>
      </c>
      <c r="D188" s="3" t="s">
        <v>274</v>
      </c>
      <c r="E188" s="4">
        <f>E189</f>
        <v>29618910</v>
      </c>
      <c r="F188" s="4">
        <f>F189</f>
        <v>25473780</v>
      </c>
      <c r="G188" s="4">
        <f t="shared" ref="G188:I188" si="71">G189</f>
        <v>6121600</v>
      </c>
      <c r="H188" s="4">
        <f t="shared" si="71"/>
        <v>0</v>
      </c>
      <c r="I188" s="4">
        <f t="shared" si="71"/>
        <v>0</v>
      </c>
      <c r="J188" s="4">
        <f t="shared" si="27"/>
        <v>65747223</v>
      </c>
      <c r="K188" s="4">
        <f>K189</f>
        <v>65747223</v>
      </c>
      <c r="L188" s="4">
        <v>0</v>
      </c>
      <c r="M188" s="4">
        <v>0</v>
      </c>
      <c r="N188" s="4">
        <v>0</v>
      </c>
      <c r="O188" s="4">
        <f>O189</f>
        <v>65747223</v>
      </c>
      <c r="P188" s="4">
        <f t="shared" si="70"/>
        <v>95366133</v>
      </c>
    </row>
    <row r="189" spans="1:16" ht="46.8">
      <c r="A189" s="2" t="s">
        <v>275</v>
      </c>
      <c r="B189" s="2" t="s">
        <v>18</v>
      </c>
      <c r="C189" s="2" t="s">
        <v>18</v>
      </c>
      <c r="D189" s="3" t="s">
        <v>274</v>
      </c>
      <c r="E189" s="4">
        <f>SUM(E190:E193)+E200</f>
        <v>29618910</v>
      </c>
      <c r="F189" s="4">
        <f>F190+F191+F192+F193+F200</f>
        <v>25473780</v>
      </c>
      <c r="G189" s="4">
        <f>G190+G191+G192+G193+G200</f>
        <v>6121600</v>
      </c>
      <c r="H189" s="4">
        <f>H190+H191+H192+H193+H200</f>
        <v>0</v>
      </c>
      <c r="I189" s="4">
        <f>I190+I191+I192+I193+I200</f>
        <v>0</v>
      </c>
      <c r="J189" s="4">
        <f t="shared" ref="J189:J207" si="72">L189+O189</f>
        <v>65747223</v>
      </c>
      <c r="K189" s="4">
        <f>K190+K191+K192+K193+K200</f>
        <v>65747223</v>
      </c>
      <c r="L189" s="4">
        <f>L190+L191+L192+L193+L200</f>
        <v>0</v>
      </c>
      <c r="M189" s="4">
        <f>M190+M191+M192+M193+M200</f>
        <v>0</v>
      </c>
      <c r="N189" s="4">
        <f>N190+N191+N192+N193+N200</f>
        <v>0</v>
      </c>
      <c r="O189" s="4">
        <f>O190+O191+O192+O193+O200</f>
        <v>65747223</v>
      </c>
      <c r="P189" s="4">
        <f t="shared" si="70"/>
        <v>95366133</v>
      </c>
    </row>
    <row r="190" spans="1:16" ht="46.8">
      <c r="A190" s="33" t="s">
        <v>276</v>
      </c>
      <c r="B190" s="33" t="s">
        <v>75</v>
      </c>
      <c r="C190" s="33" t="s">
        <v>23</v>
      </c>
      <c r="D190" s="5" t="s">
        <v>76</v>
      </c>
      <c r="E190" s="6">
        <f>F190+I190</f>
        <v>6388700</v>
      </c>
      <c r="F190" s="6">
        <f>5938700+450000</f>
        <v>6388700</v>
      </c>
      <c r="G190" s="6">
        <f>5671600+450000</f>
        <v>6121600</v>
      </c>
      <c r="H190" s="6">
        <v>0</v>
      </c>
      <c r="I190" s="6">
        <v>0</v>
      </c>
      <c r="J190" s="6">
        <f t="shared" si="72"/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f t="shared" si="70"/>
        <v>6388700</v>
      </c>
    </row>
    <row r="191" spans="1:16" ht="31.2">
      <c r="A191" s="33" t="s">
        <v>277</v>
      </c>
      <c r="B191" s="33" t="s">
        <v>30</v>
      </c>
      <c r="C191" s="33" t="s">
        <v>31</v>
      </c>
      <c r="D191" s="5" t="s">
        <v>32</v>
      </c>
      <c r="E191" s="6">
        <f>F191+I191</f>
        <v>52900</v>
      </c>
      <c r="F191" s="6">
        <v>52900</v>
      </c>
      <c r="G191" s="6">
        <v>0</v>
      </c>
      <c r="H191" s="6">
        <v>0</v>
      </c>
      <c r="I191" s="6">
        <v>0</v>
      </c>
      <c r="J191" s="6">
        <f t="shared" si="72"/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f t="shared" si="70"/>
        <v>52900</v>
      </c>
    </row>
    <row r="192" spans="1:16">
      <c r="A192" s="33" t="s">
        <v>278</v>
      </c>
      <c r="B192" s="33" t="s">
        <v>279</v>
      </c>
      <c r="C192" s="33" t="s">
        <v>31</v>
      </c>
      <c r="D192" s="5" t="s">
        <v>280</v>
      </c>
      <c r="E192" s="6">
        <f>8000000-1577623-590000-157749-2000000-674628-500000-109000-197200+2000000-1000000-134600-400000+1485930</f>
        <v>4145130</v>
      </c>
      <c r="F192" s="6">
        <v>0</v>
      </c>
      <c r="G192" s="6">
        <v>0</v>
      </c>
      <c r="H192" s="6">
        <v>0</v>
      </c>
      <c r="I192" s="6">
        <v>0</v>
      </c>
      <c r="J192" s="6">
        <f t="shared" si="72"/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f t="shared" si="70"/>
        <v>4145130</v>
      </c>
    </row>
    <row r="193" spans="1:16">
      <c r="A193" s="33" t="s">
        <v>281</v>
      </c>
      <c r="B193" s="33" t="s">
        <v>282</v>
      </c>
      <c r="C193" s="33" t="s">
        <v>30</v>
      </c>
      <c r="D193" s="5" t="s">
        <v>283</v>
      </c>
      <c r="E193" s="6">
        <f>F193+I193</f>
        <v>4407500</v>
      </c>
      <c r="F193" s="6">
        <f>F195+F196+F197+F198+F199</f>
        <v>4407500</v>
      </c>
      <c r="G193" s="6">
        <f t="shared" ref="G193:O193" si="73">G195+G196+G197+G198+G199</f>
        <v>0</v>
      </c>
      <c r="H193" s="6">
        <f t="shared" si="73"/>
        <v>0</v>
      </c>
      <c r="I193" s="6">
        <f t="shared" si="73"/>
        <v>0</v>
      </c>
      <c r="J193" s="6">
        <f t="shared" si="72"/>
        <v>1800000</v>
      </c>
      <c r="K193" s="6">
        <f t="shared" si="73"/>
        <v>1800000</v>
      </c>
      <c r="L193" s="6">
        <f t="shared" si="73"/>
        <v>0</v>
      </c>
      <c r="M193" s="6">
        <f t="shared" si="73"/>
        <v>0</v>
      </c>
      <c r="N193" s="6">
        <f t="shared" si="73"/>
        <v>0</v>
      </c>
      <c r="O193" s="6">
        <f t="shared" si="73"/>
        <v>1800000</v>
      </c>
      <c r="P193" s="6">
        <f t="shared" si="70"/>
        <v>6207500</v>
      </c>
    </row>
    <row r="194" spans="1:16" s="21" customFormat="1">
      <c r="A194" s="7"/>
      <c r="B194" s="7"/>
      <c r="C194" s="7"/>
      <c r="D194" s="1" t="s">
        <v>347</v>
      </c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</row>
    <row r="195" spans="1:16" s="21" customFormat="1" ht="124.8">
      <c r="A195" s="7"/>
      <c r="B195" s="7"/>
      <c r="C195" s="7"/>
      <c r="D195" s="1" t="s">
        <v>346</v>
      </c>
      <c r="E195" s="8">
        <f t="shared" ref="E195:E200" si="74">F195+I195</f>
        <v>1570500</v>
      </c>
      <c r="F195" s="8">
        <f>1261500+309000</f>
        <v>1570500</v>
      </c>
      <c r="G195" s="8"/>
      <c r="H195" s="8"/>
      <c r="I195" s="8"/>
      <c r="J195" s="8">
        <f>L195+O195</f>
        <v>0</v>
      </c>
      <c r="K195" s="8"/>
      <c r="L195" s="8"/>
      <c r="M195" s="8"/>
      <c r="N195" s="8"/>
      <c r="O195" s="8"/>
      <c r="P195" s="8">
        <f>E195+J195</f>
        <v>1570500</v>
      </c>
    </row>
    <row r="196" spans="1:16" s="21" customFormat="1" ht="62.4">
      <c r="A196" s="7"/>
      <c r="B196" s="7"/>
      <c r="C196" s="7"/>
      <c r="D196" s="1" t="s">
        <v>348</v>
      </c>
      <c r="E196" s="8">
        <f t="shared" si="74"/>
        <v>300000</v>
      </c>
      <c r="F196" s="8">
        <v>300000</v>
      </c>
      <c r="G196" s="8"/>
      <c r="H196" s="8"/>
      <c r="I196" s="8"/>
      <c r="J196" s="8">
        <f>L196+O196</f>
        <v>0</v>
      </c>
      <c r="K196" s="8"/>
      <c r="L196" s="8"/>
      <c r="M196" s="8"/>
      <c r="N196" s="8"/>
      <c r="O196" s="8"/>
      <c r="P196" s="8">
        <f t="shared" si="70"/>
        <v>300000</v>
      </c>
    </row>
    <row r="197" spans="1:16" s="21" customFormat="1" ht="78">
      <c r="A197" s="7"/>
      <c r="B197" s="7"/>
      <c r="C197" s="7"/>
      <c r="D197" s="1" t="s">
        <v>349</v>
      </c>
      <c r="E197" s="8">
        <f t="shared" si="74"/>
        <v>2237000</v>
      </c>
      <c r="F197" s="8">
        <v>2237000</v>
      </c>
      <c r="G197" s="8"/>
      <c r="H197" s="8"/>
      <c r="I197" s="8"/>
      <c r="J197" s="8">
        <f>L197+O197</f>
        <v>0</v>
      </c>
      <c r="K197" s="8"/>
      <c r="L197" s="8"/>
      <c r="M197" s="8"/>
      <c r="N197" s="8"/>
      <c r="O197" s="8"/>
      <c r="P197" s="8">
        <f>E197+J197</f>
        <v>2237000</v>
      </c>
    </row>
    <row r="198" spans="1:16" s="21" customFormat="1" ht="78">
      <c r="A198" s="7"/>
      <c r="B198" s="7"/>
      <c r="C198" s="7"/>
      <c r="D198" s="1" t="s">
        <v>362</v>
      </c>
      <c r="E198" s="8">
        <f t="shared" si="74"/>
        <v>300000</v>
      </c>
      <c r="F198" s="8">
        <v>300000</v>
      </c>
      <c r="G198" s="8"/>
      <c r="H198" s="8"/>
      <c r="I198" s="8"/>
      <c r="J198" s="8"/>
      <c r="K198" s="8"/>
      <c r="L198" s="8"/>
      <c r="M198" s="8"/>
      <c r="N198" s="8"/>
      <c r="O198" s="8"/>
      <c r="P198" s="8">
        <f>E198+J198</f>
        <v>300000</v>
      </c>
    </row>
    <row r="199" spans="1:16" s="21" customFormat="1" ht="78">
      <c r="A199" s="7"/>
      <c r="B199" s="7"/>
      <c r="C199" s="7"/>
      <c r="D199" s="1" t="s">
        <v>343</v>
      </c>
      <c r="E199" s="8">
        <f t="shared" si="74"/>
        <v>0</v>
      </c>
      <c r="F199" s="8"/>
      <c r="G199" s="8"/>
      <c r="H199" s="8"/>
      <c r="I199" s="8"/>
      <c r="J199" s="8">
        <f>L199+O199</f>
        <v>1800000</v>
      </c>
      <c r="K199" s="8">
        <v>1800000</v>
      </c>
      <c r="L199" s="8"/>
      <c r="M199" s="8"/>
      <c r="N199" s="8"/>
      <c r="O199" s="8">
        <v>1800000</v>
      </c>
      <c r="P199" s="8">
        <f>E199+J199</f>
        <v>1800000</v>
      </c>
    </row>
    <row r="200" spans="1:16" ht="62.4">
      <c r="A200" s="33">
        <v>3719800</v>
      </c>
      <c r="B200" s="33">
        <v>9800</v>
      </c>
      <c r="C200" s="33"/>
      <c r="D200" s="5" t="s">
        <v>324</v>
      </c>
      <c r="E200" s="6">
        <f t="shared" si="74"/>
        <v>14624680</v>
      </c>
      <c r="F200" s="6">
        <f>F202+F203+F204+F205+F206+F207</f>
        <v>14624680</v>
      </c>
      <c r="G200" s="6">
        <f t="shared" ref="G200:N200" si="75">G202+G203+G204+G205+G206</f>
        <v>0</v>
      </c>
      <c r="H200" s="6">
        <f t="shared" si="75"/>
        <v>0</v>
      </c>
      <c r="I200" s="6">
        <f t="shared" si="75"/>
        <v>0</v>
      </c>
      <c r="J200" s="6">
        <f t="shared" si="72"/>
        <v>63947223</v>
      </c>
      <c r="K200" s="6">
        <f>K202+K203+K204+K205+K206+K207</f>
        <v>63947223</v>
      </c>
      <c r="L200" s="6">
        <f t="shared" si="75"/>
        <v>0</v>
      </c>
      <c r="M200" s="6">
        <f t="shared" si="75"/>
        <v>0</v>
      </c>
      <c r="N200" s="6">
        <f t="shared" si="75"/>
        <v>0</v>
      </c>
      <c r="O200" s="6">
        <f>O202+O203+O204+O205+O206+O207</f>
        <v>63947223</v>
      </c>
      <c r="P200" s="6">
        <f t="shared" si="70"/>
        <v>78571903</v>
      </c>
    </row>
    <row r="201" spans="1:16" s="21" customFormat="1">
      <c r="A201" s="7"/>
      <c r="B201" s="7"/>
      <c r="C201" s="7"/>
      <c r="D201" s="1" t="s">
        <v>347</v>
      </c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</row>
    <row r="202" spans="1:16" s="21" customFormat="1" ht="156">
      <c r="A202" s="7"/>
      <c r="B202" s="7"/>
      <c r="C202" s="7"/>
      <c r="D202" s="1" t="s">
        <v>364</v>
      </c>
      <c r="E202" s="8">
        <f t="shared" ref="E202:E207" si="76">F202+I202</f>
        <v>11648280</v>
      </c>
      <c r="F202" s="8">
        <f>190000+1000000+1290000+545334+1000000+2000000+295600+2377680+2949666</f>
        <v>11648280</v>
      </c>
      <c r="G202" s="8"/>
      <c r="H202" s="8"/>
      <c r="I202" s="8"/>
      <c r="J202" s="8">
        <f t="shared" si="72"/>
        <v>44247223</v>
      </c>
      <c r="K202" s="8">
        <f>1300000+6800000+840000+1062000+4750000+1943963+2204400+5202404+4100000+6000000+10044456</f>
        <v>44247223</v>
      </c>
      <c r="L202" s="8"/>
      <c r="M202" s="8"/>
      <c r="N202" s="8"/>
      <c r="O202" s="8">
        <f>1300000+6800000+840000+1062000+4750000+1943963+2204400+5202404+4100000+6000000+10044456</f>
        <v>44247223</v>
      </c>
      <c r="P202" s="8">
        <f t="shared" si="70"/>
        <v>55895503</v>
      </c>
    </row>
    <row r="203" spans="1:16" s="21" customFormat="1" ht="78">
      <c r="A203" s="7"/>
      <c r="B203" s="7"/>
      <c r="C203" s="7"/>
      <c r="D203" s="1" t="s">
        <v>343</v>
      </c>
      <c r="E203" s="8">
        <f t="shared" si="76"/>
        <v>0</v>
      </c>
      <c r="F203" s="8"/>
      <c r="G203" s="8"/>
      <c r="H203" s="8"/>
      <c r="I203" s="8"/>
      <c r="J203" s="8">
        <f t="shared" si="72"/>
        <v>16200000</v>
      </c>
      <c r="K203" s="8">
        <f>5000000+3200000+8000000</f>
        <v>16200000</v>
      </c>
      <c r="L203" s="8"/>
      <c r="M203" s="8"/>
      <c r="N203" s="8"/>
      <c r="O203" s="8">
        <f>5000000+3200000+8000000</f>
        <v>16200000</v>
      </c>
      <c r="P203" s="8">
        <f t="shared" si="70"/>
        <v>16200000</v>
      </c>
    </row>
    <row r="204" spans="1:16" s="21" customFormat="1" ht="62.4">
      <c r="A204" s="7"/>
      <c r="B204" s="7"/>
      <c r="C204" s="7"/>
      <c r="D204" s="1" t="s">
        <v>344</v>
      </c>
      <c r="E204" s="8">
        <f t="shared" si="76"/>
        <v>976400</v>
      </c>
      <c r="F204" s="8">
        <f>950000+26400</f>
        <v>976400</v>
      </c>
      <c r="G204" s="8"/>
      <c r="H204" s="8"/>
      <c r="I204" s="8"/>
      <c r="J204" s="8">
        <f t="shared" si="72"/>
        <v>1550000</v>
      </c>
      <c r="K204" s="8">
        <v>1550000</v>
      </c>
      <c r="L204" s="8"/>
      <c r="M204" s="8"/>
      <c r="N204" s="8"/>
      <c r="O204" s="8">
        <v>1550000</v>
      </c>
      <c r="P204" s="8">
        <f t="shared" si="70"/>
        <v>2526400</v>
      </c>
    </row>
    <row r="205" spans="1:16" s="21" customFormat="1" ht="78">
      <c r="A205" s="7"/>
      <c r="B205" s="7"/>
      <c r="C205" s="7"/>
      <c r="D205" s="1" t="s">
        <v>345</v>
      </c>
      <c r="E205" s="8">
        <f t="shared" si="76"/>
        <v>2000000</v>
      </c>
      <c r="F205" s="8">
        <v>2000000</v>
      </c>
      <c r="G205" s="8"/>
      <c r="H205" s="8"/>
      <c r="I205" s="8"/>
      <c r="J205" s="8">
        <f t="shared" si="72"/>
        <v>0</v>
      </c>
      <c r="K205" s="8"/>
      <c r="L205" s="8"/>
      <c r="M205" s="8"/>
      <c r="N205" s="8"/>
      <c r="O205" s="8"/>
      <c r="P205" s="8">
        <f t="shared" si="70"/>
        <v>2000000</v>
      </c>
    </row>
    <row r="206" spans="1:16" s="21" customFormat="1" ht="62.4">
      <c r="A206" s="7"/>
      <c r="B206" s="7"/>
      <c r="C206" s="7"/>
      <c r="D206" s="1" t="s">
        <v>363</v>
      </c>
      <c r="E206" s="8">
        <f t="shared" si="76"/>
        <v>0</v>
      </c>
      <c r="F206" s="8"/>
      <c r="G206" s="8"/>
      <c r="H206" s="8"/>
      <c r="I206" s="8"/>
      <c r="J206" s="8">
        <f t="shared" si="72"/>
        <v>950000</v>
      </c>
      <c r="K206" s="8">
        <v>950000</v>
      </c>
      <c r="L206" s="8"/>
      <c r="M206" s="8"/>
      <c r="N206" s="8"/>
      <c r="O206" s="8">
        <v>950000</v>
      </c>
      <c r="P206" s="8">
        <f t="shared" si="70"/>
        <v>950000</v>
      </c>
    </row>
    <row r="207" spans="1:16" s="21" customFormat="1" ht="46.8">
      <c r="A207" s="7"/>
      <c r="B207" s="7"/>
      <c r="C207" s="7"/>
      <c r="D207" s="1" t="s">
        <v>420</v>
      </c>
      <c r="E207" s="8">
        <f t="shared" si="76"/>
        <v>0</v>
      </c>
      <c r="F207" s="8"/>
      <c r="G207" s="8"/>
      <c r="H207" s="8"/>
      <c r="I207" s="8"/>
      <c r="J207" s="8">
        <f t="shared" si="72"/>
        <v>1000000</v>
      </c>
      <c r="K207" s="8">
        <v>1000000</v>
      </c>
      <c r="L207" s="8"/>
      <c r="M207" s="8"/>
      <c r="N207" s="8"/>
      <c r="O207" s="8">
        <v>1000000</v>
      </c>
      <c r="P207" s="8">
        <f t="shared" si="70"/>
        <v>1000000</v>
      </c>
    </row>
    <row r="208" spans="1:16">
      <c r="A208" s="2" t="s">
        <v>285</v>
      </c>
      <c r="B208" s="2" t="s">
        <v>285</v>
      </c>
      <c r="C208" s="2" t="s">
        <v>285</v>
      </c>
      <c r="D208" s="10" t="s">
        <v>284</v>
      </c>
      <c r="E208" s="4">
        <f>F208+I208+E192</f>
        <v>996274187.93000007</v>
      </c>
      <c r="F208" s="4">
        <f>F19+F56+F90+F110+F115+F127+F136+F162+F179+F188</f>
        <v>862062391.69000006</v>
      </c>
      <c r="G208" s="4">
        <f>G19+G56+G90+G110+G115+G127+G136+G162+G179+G188</f>
        <v>540323573.04999995</v>
      </c>
      <c r="H208" s="4">
        <f>H19+H56+H90+H110+H115+H127+H136+H162+H179+H188</f>
        <v>43388604</v>
      </c>
      <c r="I208" s="4">
        <f>I19+I56+I90+I110+I115+I127+I136+I162+I179+I188</f>
        <v>130066666.24000001</v>
      </c>
      <c r="J208" s="4">
        <f>L208+O208</f>
        <v>404509918.85000002</v>
      </c>
      <c r="K208" s="4">
        <f>K19+K56+K90+K110+K115+K127+K136+K162+K179+K188</f>
        <v>381396752.12</v>
      </c>
      <c r="L208" s="4">
        <f>L19+L56+L90+L110+L115+L127+L136+L162+L179+L188</f>
        <v>17953500</v>
      </c>
      <c r="M208" s="4">
        <f>M19+M56+M90+M110+M115+M127+M136+M162+M179+M188</f>
        <v>525100</v>
      </c>
      <c r="N208" s="4">
        <f>N19+N56+N90+N110+N115+N127+N136+N162+N179+N188</f>
        <v>0</v>
      </c>
      <c r="O208" s="4">
        <f>O19+O56+O90+O110+O115+O127+O136+O162+O179+O188</f>
        <v>386556418.85000002</v>
      </c>
      <c r="P208" s="4">
        <f t="shared" si="70"/>
        <v>1400784106.7800002</v>
      </c>
    </row>
    <row r="210" spans="1:16" s="15" customFormat="1" ht="18">
      <c r="A210" s="11"/>
      <c r="B210" s="11"/>
      <c r="C210" s="12" t="s">
        <v>301</v>
      </c>
      <c r="D210" s="13" t="s">
        <v>302</v>
      </c>
      <c r="E210" s="14">
        <f t="shared" ref="E210:O210" si="77">E21+E26+E27+E58+E59+E92+E93+E112+E117+E118+E129+E130+E138+E139+E140+E164+E165+E181+E182+E190+E191</f>
        <v>135534471</v>
      </c>
      <c r="F210" s="14">
        <f t="shared" si="77"/>
        <v>135534471</v>
      </c>
      <c r="G210" s="14">
        <f t="shared" si="77"/>
        <v>112523000</v>
      </c>
      <c r="H210" s="14">
        <f t="shared" si="77"/>
        <v>6071760</v>
      </c>
      <c r="I210" s="14">
        <f t="shared" si="77"/>
        <v>0</v>
      </c>
      <c r="J210" s="14">
        <f t="shared" si="77"/>
        <v>1238600</v>
      </c>
      <c r="K210" s="14">
        <f t="shared" si="77"/>
        <v>1100000</v>
      </c>
      <c r="L210" s="14">
        <f t="shared" si="77"/>
        <v>138600</v>
      </c>
      <c r="M210" s="14">
        <f t="shared" si="77"/>
        <v>0</v>
      </c>
      <c r="N210" s="14">
        <f t="shared" si="77"/>
        <v>0</v>
      </c>
      <c r="O210" s="14">
        <f t="shared" si="77"/>
        <v>1100000</v>
      </c>
      <c r="P210" s="14">
        <f>E210+J210</f>
        <v>136773071</v>
      </c>
    </row>
    <row r="211" spans="1:16" s="15" customFormat="1" ht="18">
      <c r="A211" s="11"/>
      <c r="B211" s="11"/>
      <c r="C211" s="12" t="s">
        <v>303</v>
      </c>
      <c r="D211" s="13" t="s">
        <v>304</v>
      </c>
      <c r="E211" s="14">
        <f>E60+E61+E62+E63+E64+E65+E66+E67+E68+E69+E70+E71+E72+E73+E74+E78+E82+E83+E84+E119</f>
        <v>430634147.99000001</v>
      </c>
      <c r="F211" s="14">
        <f t="shared" ref="F211:O211" si="78">F60+F61+F62+F63+F64+F65+F66+F67+F68+F69+F70+F71+F72+F73+F74+F78+F82+F83+F84+F119</f>
        <v>430568147.99000001</v>
      </c>
      <c r="G211" s="14">
        <f t="shared" si="78"/>
        <v>349895779.99000001</v>
      </c>
      <c r="H211" s="14">
        <f t="shared" si="78"/>
        <v>33155361</v>
      </c>
      <c r="I211" s="14">
        <f t="shared" si="78"/>
        <v>66000</v>
      </c>
      <c r="J211" s="14">
        <f t="shared" si="78"/>
        <v>36284123</v>
      </c>
      <c r="K211" s="14">
        <f t="shared" si="78"/>
        <v>15394904</v>
      </c>
      <c r="L211" s="14">
        <f t="shared" si="78"/>
        <v>17325000</v>
      </c>
      <c r="M211" s="14">
        <f t="shared" si="78"/>
        <v>495100</v>
      </c>
      <c r="N211" s="14">
        <f t="shared" si="78"/>
        <v>0</v>
      </c>
      <c r="O211" s="14">
        <f t="shared" si="78"/>
        <v>18959123</v>
      </c>
      <c r="P211" s="14">
        <f t="shared" ref="P211:P219" si="79">E211+J211</f>
        <v>466918270.99000001</v>
      </c>
    </row>
    <row r="212" spans="1:16" s="15" customFormat="1" ht="18">
      <c r="A212" s="11"/>
      <c r="B212" s="11"/>
      <c r="C212" s="12" t="s">
        <v>305</v>
      </c>
      <c r="D212" s="13" t="s">
        <v>306</v>
      </c>
      <c r="E212" s="14">
        <f t="shared" ref="E212:O212" si="80">E28+E29+E30+E31+E166</f>
        <v>47493779</v>
      </c>
      <c r="F212" s="14">
        <f t="shared" si="80"/>
        <v>47493779</v>
      </c>
      <c r="G212" s="14">
        <f t="shared" si="80"/>
        <v>0</v>
      </c>
      <c r="H212" s="14">
        <f t="shared" si="80"/>
        <v>0</v>
      </c>
      <c r="I212" s="14">
        <f t="shared" si="80"/>
        <v>0</v>
      </c>
      <c r="J212" s="14">
        <f t="shared" si="80"/>
        <v>9446776</v>
      </c>
      <c r="K212" s="14">
        <f t="shared" si="80"/>
        <v>9446776</v>
      </c>
      <c r="L212" s="14">
        <f t="shared" si="80"/>
        <v>0</v>
      </c>
      <c r="M212" s="14">
        <f t="shared" si="80"/>
        <v>0</v>
      </c>
      <c r="N212" s="14">
        <f t="shared" si="80"/>
        <v>0</v>
      </c>
      <c r="O212" s="14">
        <f t="shared" si="80"/>
        <v>9446776</v>
      </c>
      <c r="P212" s="14">
        <f t="shared" si="79"/>
        <v>56940555</v>
      </c>
    </row>
    <row r="213" spans="1:16" s="15" customFormat="1" ht="31.8">
      <c r="A213" s="11"/>
      <c r="B213" s="11"/>
      <c r="C213" s="12" t="s">
        <v>307</v>
      </c>
      <c r="D213" s="13" t="s">
        <v>308</v>
      </c>
      <c r="E213" s="39">
        <f t="shared" ref="E213:O213" si="81">E32+E85+E86+E94+E95+E96+E97+E98+E99+E100+E101+E102+E103+E104+E105+E106+E107+E108+E113+E120+E131+E141</f>
        <v>97808388.060000002</v>
      </c>
      <c r="F213" s="14">
        <f t="shared" si="81"/>
        <v>97808388.060000002</v>
      </c>
      <c r="G213" s="14">
        <f t="shared" si="81"/>
        <v>25301493.059999999</v>
      </c>
      <c r="H213" s="14">
        <f t="shared" si="81"/>
        <v>650600</v>
      </c>
      <c r="I213" s="14">
        <f t="shared" si="81"/>
        <v>0</v>
      </c>
      <c r="J213" s="14">
        <f t="shared" si="81"/>
        <v>8660247</v>
      </c>
      <c r="K213" s="14">
        <f t="shared" si="81"/>
        <v>8603847</v>
      </c>
      <c r="L213" s="14">
        <f t="shared" si="81"/>
        <v>0</v>
      </c>
      <c r="M213" s="14">
        <f t="shared" si="81"/>
        <v>0</v>
      </c>
      <c r="N213" s="14">
        <f t="shared" si="81"/>
        <v>0</v>
      </c>
      <c r="O213" s="14">
        <f t="shared" si="81"/>
        <v>8660247</v>
      </c>
      <c r="P213" s="14">
        <f t="shared" si="79"/>
        <v>106468635.06</v>
      </c>
    </row>
    <row r="214" spans="1:16" s="15" customFormat="1" ht="18">
      <c r="A214" s="11"/>
      <c r="B214" s="11"/>
      <c r="C214" s="12" t="s">
        <v>309</v>
      </c>
      <c r="D214" s="13" t="s">
        <v>310</v>
      </c>
      <c r="E214" s="14">
        <f t="shared" ref="E214:O214" si="82">E121+E122+E123+E124+E125</f>
        <v>29641900</v>
      </c>
      <c r="F214" s="14">
        <f t="shared" si="82"/>
        <v>29641900</v>
      </c>
      <c r="G214" s="14">
        <f t="shared" si="82"/>
        <v>24290200</v>
      </c>
      <c r="H214" s="14">
        <f t="shared" si="82"/>
        <v>2559900</v>
      </c>
      <c r="I214" s="14">
        <f t="shared" si="82"/>
        <v>0</v>
      </c>
      <c r="J214" s="14">
        <f t="shared" si="82"/>
        <v>470000</v>
      </c>
      <c r="K214" s="14">
        <f t="shared" si="82"/>
        <v>190000</v>
      </c>
      <c r="L214" s="14">
        <f t="shared" si="82"/>
        <v>280000</v>
      </c>
      <c r="M214" s="14">
        <f t="shared" si="82"/>
        <v>30000</v>
      </c>
      <c r="N214" s="14">
        <f t="shared" si="82"/>
        <v>0</v>
      </c>
      <c r="O214" s="14">
        <f t="shared" si="82"/>
        <v>190000</v>
      </c>
      <c r="P214" s="14">
        <f t="shared" si="79"/>
        <v>30111900</v>
      </c>
    </row>
    <row r="215" spans="1:16" s="15" customFormat="1" ht="18">
      <c r="A215" s="11"/>
      <c r="B215" s="11"/>
      <c r="C215" s="12" t="s">
        <v>311</v>
      </c>
      <c r="D215" s="13" t="s">
        <v>312</v>
      </c>
      <c r="E215" s="14">
        <f t="shared" ref="E215:O215" si="83">E87+E132+E133+E134+E135</f>
        <v>14546391</v>
      </c>
      <c r="F215" s="14">
        <f t="shared" si="83"/>
        <v>14546391</v>
      </c>
      <c r="G215" s="14">
        <f t="shared" si="83"/>
        <v>9340000</v>
      </c>
      <c r="H215" s="14">
        <f t="shared" si="83"/>
        <v>770480</v>
      </c>
      <c r="I215" s="14">
        <f t="shared" si="83"/>
        <v>0</v>
      </c>
      <c r="J215" s="14">
        <f t="shared" si="83"/>
        <v>0</v>
      </c>
      <c r="K215" s="14">
        <f t="shared" si="83"/>
        <v>0</v>
      </c>
      <c r="L215" s="14">
        <f t="shared" si="83"/>
        <v>0</v>
      </c>
      <c r="M215" s="14">
        <f t="shared" si="83"/>
        <v>0</v>
      </c>
      <c r="N215" s="14">
        <f t="shared" si="83"/>
        <v>0</v>
      </c>
      <c r="O215" s="14">
        <f t="shared" si="83"/>
        <v>0</v>
      </c>
      <c r="P215" s="14">
        <f t="shared" si="79"/>
        <v>14546391</v>
      </c>
    </row>
    <row r="216" spans="1:16" s="15" customFormat="1" ht="18">
      <c r="A216" s="11"/>
      <c r="B216" s="11"/>
      <c r="C216" s="12" t="s">
        <v>313</v>
      </c>
      <c r="D216" s="13" t="s">
        <v>314</v>
      </c>
      <c r="E216" s="14">
        <f t="shared" ref="E216:O216" si="84">E33+E114+E142+E143+E144+E145+E146+E147+E167+E168+E169+E170+E183</f>
        <v>89094518.24000001</v>
      </c>
      <c r="F216" s="14">
        <f t="shared" si="84"/>
        <v>30315200</v>
      </c>
      <c r="G216" s="14">
        <f t="shared" si="84"/>
        <v>0</v>
      </c>
      <c r="H216" s="14">
        <f t="shared" si="84"/>
        <v>0</v>
      </c>
      <c r="I216" s="14">
        <f t="shared" si="84"/>
        <v>58779318.240000002</v>
      </c>
      <c r="J216" s="14">
        <f t="shared" si="84"/>
        <v>36365836.759999998</v>
      </c>
      <c r="K216" s="14">
        <f t="shared" si="84"/>
        <v>36365836.759999998</v>
      </c>
      <c r="L216" s="14">
        <f t="shared" si="84"/>
        <v>0</v>
      </c>
      <c r="M216" s="14">
        <f t="shared" si="84"/>
        <v>0</v>
      </c>
      <c r="N216" s="14">
        <f t="shared" si="84"/>
        <v>0</v>
      </c>
      <c r="O216" s="14">
        <f t="shared" si="84"/>
        <v>36365836.759999998</v>
      </c>
      <c r="P216" s="14">
        <f t="shared" si="79"/>
        <v>125460355</v>
      </c>
    </row>
    <row r="217" spans="1:16" s="15" customFormat="1" ht="18">
      <c r="A217" s="11"/>
      <c r="B217" s="11"/>
      <c r="C217" s="12" t="s">
        <v>315</v>
      </c>
      <c r="D217" s="13" t="s">
        <v>316</v>
      </c>
      <c r="E217" s="14">
        <f>E37+E38+E39+E46+E47+E88+E109+E126+E148+E149+E150+E151+E152+E153+E154+E171+E172+E173+E174+E176+E184+E185+E186</f>
        <v>97350988</v>
      </c>
      <c r="F217" s="14">
        <f>F37+F38+F39+F46+F47+F88+F109+F126+F148+F149+F150+F151+F152+F153+F154+F171+F172+F173+F174+F176+F184+F185+F186</f>
        <v>26638640</v>
      </c>
      <c r="G217" s="14">
        <f>G37+G38+G39+G46+G47+G88+G109+G126+G148+G149+G150+G151+G152+G153+G154+G171+G172+G173+G174+G176+G184+G185+G186</f>
        <v>0</v>
      </c>
      <c r="H217" s="14">
        <f>H37+H38+H39+H46+H47+H88+H109+H126+H148+H149+H150+H151+H152+H153+H154+H171+H172+H173+H174+H176+H184+H185+H186</f>
        <v>0</v>
      </c>
      <c r="I217" s="14">
        <f>I37+I38+I39+I46+I47+I88+I109+I126+I148+I149+I150+I151+I152+I153+I154+I171+I172+I173+I174+I176+I184+I185+I186</f>
        <v>70712348</v>
      </c>
      <c r="J217" s="14">
        <f>J37+J38+J39+J46+J47+J88+J109+J126+J148+J149+J150+J151+J152+J153+J154+J171+J172+J173+J174+J175+J176+J184+J185+J186</f>
        <v>212558582.72999999</v>
      </c>
      <c r="K217" s="14">
        <f t="shared" ref="K217:O217" si="85">K37+K38+K39+K46+K47+K88+K109+K126+K148+K149+K150+K151+K152+K153+K154+K171+K172+K173+K174+K175+K176+K184+K185+K186</f>
        <v>211518235</v>
      </c>
      <c r="L217" s="14">
        <f t="shared" si="85"/>
        <v>0</v>
      </c>
      <c r="M217" s="14">
        <f t="shared" si="85"/>
        <v>0</v>
      </c>
      <c r="N217" s="14">
        <f t="shared" si="85"/>
        <v>0</v>
      </c>
      <c r="O217" s="14">
        <f t="shared" si="85"/>
        <v>212558582.72999999</v>
      </c>
      <c r="P217" s="14">
        <f>E217+J217</f>
        <v>309909570.73000002</v>
      </c>
    </row>
    <row r="218" spans="1:16" s="16" customFormat="1" ht="18">
      <c r="A218" s="11"/>
      <c r="B218" s="11"/>
      <c r="C218" s="12" t="s">
        <v>317</v>
      </c>
      <c r="D218" s="13" t="s">
        <v>325</v>
      </c>
      <c r="E218" s="14">
        <f>E48+E49+E50+E51+E52+E53+E54+E55+E89+E156+E157+E158+E160+E161+E155+E159+E177+E178+E187+E192</f>
        <v>35137424.640000001</v>
      </c>
      <c r="F218" s="14">
        <f t="shared" ref="F218:O218" si="86">F48+F49+F50+F51+F52+F53+F54+F55+F89+F156+F157+F158+F160+F161+F155+F159+F177+F178+F187+F192</f>
        <v>30483294.640000001</v>
      </c>
      <c r="G218" s="14">
        <f t="shared" si="86"/>
        <v>18973100</v>
      </c>
      <c r="H218" s="14">
        <f t="shared" si="86"/>
        <v>180503</v>
      </c>
      <c r="I218" s="14">
        <f t="shared" si="86"/>
        <v>509000</v>
      </c>
      <c r="J218" s="14">
        <f t="shared" si="86"/>
        <v>33738530.359999999</v>
      </c>
      <c r="K218" s="14">
        <f t="shared" si="86"/>
        <v>33029930.359999999</v>
      </c>
      <c r="L218" s="14">
        <f t="shared" si="86"/>
        <v>209900</v>
      </c>
      <c r="M218" s="14">
        <f t="shared" si="86"/>
        <v>0</v>
      </c>
      <c r="N218" s="14">
        <f t="shared" si="86"/>
        <v>0</v>
      </c>
      <c r="O218" s="14">
        <f t="shared" si="86"/>
        <v>33528630.359999999</v>
      </c>
      <c r="P218" s="14">
        <f t="shared" si="79"/>
        <v>68875955</v>
      </c>
    </row>
    <row r="219" spans="1:16" ht="18">
      <c r="A219" s="11"/>
      <c r="B219" s="11"/>
      <c r="C219" s="12" t="s">
        <v>318</v>
      </c>
      <c r="D219" s="13" t="s">
        <v>319</v>
      </c>
      <c r="E219" s="14">
        <f t="shared" ref="E219:O219" si="87">E193+E200</f>
        <v>19032180</v>
      </c>
      <c r="F219" s="14">
        <f t="shared" si="87"/>
        <v>19032180</v>
      </c>
      <c r="G219" s="14">
        <f t="shared" si="87"/>
        <v>0</v>
      </c>
      <c r="H219" s="14">
        <f t="shared" si="87"/>
        <v>0</v>
      </c>
      <c r="I219" s="14">
        <f t="shared" si="87"/>
        <v>0</v>
      </c>
      <c r="J219" s="14">
        <f t="shared" si="87"/>
        <v>65747223</v>
      </c>
      <c r="K219" s="14">
        <f t="shared" si="87"/>
        <v>65747223</v>
      </c>
      <c r="L219" s="14">
        <f t="shared" si="87"/>
        <v>0</v>
      </c>
      <c r="M219" s="14">
        <f t="shared" si="87"/>
        <v>0</v>
      </c>
      <c r="N219" s="14">
        <f t="shared" si="87"/>
        <v>0</v>
      </c>
      <c r="O219" s="14">
        <f t="shared" si="87"/>
        <v>65747223</v>
      </c>
      <c r="P219" s="14">
        <f t="shared" si="79"/>
        <v>84779403</v>
      </c>
    </row>
    <row r="220" spans="1:16">
      <c r="A220" s="18"/>
      <c r="B220" s="18"/>
      <c r="C220" s="18"/>
      <c r="D220" s="18" t="s">
        <v>16</v>
      </c>
      <c r="E220" s="19">
        <f>SUM(E210:E219)</f>
        <v>996274187.92999995</v>
      </c>
      <c r="F220" s="19">
        <f>SUM(F210:F219)</f>
        <v>862062391.68999994</v>
      </c>
      <c r="G220" s="19">
        <f>SUM(G210:G219)</f>
        <v>540323573.04999995</v>
      </c>
      <c r="H220" s="19">
        <f t="shared" ref="H220:O220" si="88">SUM(H210:H219)</f>
        <v>43388604</v>
      </c>
      <c r="I220" s="19">
        <f t="shared" si="88"/>
        <v>130066666.24000001</v>
      </c>
      <c r="J220" s="19">
        <f t="shared" si="88"/>
        <v>404509918.85000002</v>
      </c>
      <c r="K220" s="19">
        <f>SUM(K210:K219)</f>
        <v>381396752.12</v>
      </c>
      <c r="L220" s="19">
        <f t="shared" si="88"/>
        <v>17953500</v>
      </c>
      <c r="M220" s="19">
        <f t="shared" si="88"/>
        <v>525100</v>
      </c>
      <c r="N220" s="19">
        <f t="shared" si="88"/>
        <v>0</v>
      </c>
      <c r="O220" s="19">
        <f t="shared" si="88"/>
        <v>386556418.85000002</v>
      </c>
      <c r="P220" s="19">
        <f>E220+J220</f>
        <v>1400784106.78</v>
      </c>
    </row>
    <row r="221" spans="1:16" ht="11.4" customHeight="1"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</row>
    <row r="222" spans="1:16">
      <c r="D222" s="17" t="s">
        <v>295</v>
      </c>
      <c r="E222" s="20"/>
      <c r="F222" s="20"/>
      <c r="G222" s="20"/>
      <c r="H222" s="20"/>
      <c r="I222" s="20" t="s">
        <v>296</v>
      </c>
      <c r="J222" s="20"/>
      <c r="K222" s="20"/>
      <c r="L222" s="20"/>
      <c r="M222" s="20"/>
      <c r="N222" s="20"/>
      <c r="O222" s="20"/>
      <c r="P222" s="20"/>
    </row>
    <row r="223" spans="1:16">
      <c r="E223" s="38"/>
    </row>
    <row r="228" spans="15:15">
      <c r="O228" s="17" t="s">
        <v>391</v>
      </c>
    </row>
  </sheetData>
  <mergeCells count="22">
    <mergeCell ref="J15:J17"/>
    <mergeCell ref="K15:K17"/>
    <mergeCell ref="L15:L17"/>
    <mergeCell ref="M15:N15"/>
    <mergeCell ref="M16:M17"/>
    <mergeCell ref="N16:N17"/>
    <mergeCell ref="A10:P10"/>
    <mergeCell ref="A11:P11"/>
    <mergeCell ref="A14:A17"/>
    <mergeCell ref="B14:B17"/>
    <mergeCell ref="C14:C17"/>
    <mergeCell ref="D14:D17"/>
    <mergeCell ref="E14:I14"/>
    <mergeCell ref="E15:E17"/>
    <mergeCell ref="F15:F17"/>
    <mergeCell ref="G15:H15"/>
    <mergeCell ref="O15:O17"/>
    <mergeCell ref="P14:P17"/>
    <mergeCell ref="G16:G17"/>
    <mergeCell ref="H16:H17"/>
    <mergeCell ref="I15:I17"/>
    <mergeCell ref="J14:O14"/>
  </mergeCells>
  <pageMargins left="0.19685039370078741" right="0.19685039370078741" top="0.39370078740157483" bottom="0.39370078740157483" header="0" footer="0"/>
  <pageSetup paperSize="9" scale="47" fitToHeight="50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Admin</cp:lastModifiedBy>
  <cp:lastPrinted>2024-10-27T12:01:02Z</cp:lastPrinted>
  <dcterms:created xsi:type="dcterms:W3CDTF">2023-12-16T13:37:11Z</dcterms:created>
  <dcterms:modified xsi:type="dcterms:W3CDTF">2024-10-31T08:10:12Z</dcterms:modified>
</cp:coreProperties>
</file>