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228"/>
  <workbookPr defaultThemeVersion="124226"/>
  <mc:AlternateContent xmlns:mc="http://schemas.openxmlformats.org/markup-compatibility/2006">
    <mc:Choice Requires="x15">
      <x15ac:absPath xmlns:x15ac="http://schemas.microsoft.com/office/spreadsheetml/2010/11/ac" url="Z:\Оксана документы\1 ДОКУМЕНТИ\8 созыв\53 сесія буде\6 Зміни Здоров'я населення\"/>
    </mc:Choice>
  </mc:AlternateContent>
  <xr:revisionPtr revIDLastSave="0" documentId="13_ncr:1_{ACF2D7E1-7AF9-44BD-B7C7-BEFAC7A06E31}" xr6:coauthVersionLast="47" xr6:coauthVersionMax="47" xr10:uidLastSave="{00000000-0000-0000-0000-000000000000}"/>
  <bookViews>
    <workbookView xWindow="-108" yWindow="-108" windowWidth="23256" windowHeight="12576" firstSheet="1" activeTab="1" xr2:uid="{00000000-000D-0000-FFFF-FFFF00000000}"/>
  </bookViews>
  <sheets>
    <sheet name="поточ_кап" sheetId="2" state="hidden" r:id="rId1"/>
    <sheet name="2024 зі змінами" sheetId="7" r:id="rId2"/>
  </sheets>
  <definedNames>
    <definedName name="_xlnm.Print_Titles" localSheetId="1">'2024 зі змінами'!$7:$10</definedName>
    <definedName name="_xlnm.Print_Area" localSheetId="1">'2024 зі змінами'!$A$1:$L$101</definedName>
    <definedName name="_xlnm.Print_Area" localSheetId="0">поточ_кап!$A$1:$T$77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76" i="7" l="1"/>
  <c r="J77" i="7"/>
  <c r="J68" i="7" l="1"/>
  <c r="J62" i="7" l="1"/>
  <c r="J61" i="7"/>
  <c r="J88" i="7"/>
  <c r="J45" i="7" l="1"/>
  <c r="J43" i="7"/>
  <c r="J42" i="7"/>
  <c r="J94" i="7" l="1"/>
  <c r="F94" i="7" s="1"/>
  <c r="J64" i="7"/>
  <c r="F64" i="7" s="1"/>
  <c r="J63" i="7"/>
  <c r="F63" i="7" s="1"/>
  <c r="F49" i="7"/>
  <c r="J48" i="7"/>
  <c r="J47" i="7" s="1"/>
  <c r="J36" i="7"/>
  <c r="J26" i="7"/>
  <c r="J29" i="7"/>
  <c r="J15" i="7"/>
  <c r="J59" i="7" l="1"/>
  <c r="I26" i="7"/>
  <c r="J58" i="7"/>
  <c r="F93" i="7" l="1"/>
  <c r="J57" i="7"/>
  <c r="J60" i="7"/>
  <c r="F92" i="7"/>
  <c r="J54" i="7" l="1"/>
  <c r="F40" i="7"/>
  <c r="F29" i="7"/>
  <c r="J20" i="7"/>
  <c r="J46" i="7"/>
  <c r="K41" i="7" l="1"/>
  <c r="G47" i="7"/>
  <c r="I47" i="7"/>
  <c r="I41" i="7" s="1"/>
  <c r="H48" i="7"/>
  <c r="F48" i="7" s="1"/>
  <c r="H47" i="7" l="1"/>
  <c r="F47" i="7" s="1"/>
  <c r="F62" i="7"/>
  <c r="J30" i="7" l="1"/>
  <c r="F37" i="7" l="1"/>
  <c r="F38" i="7"/>
  <c r="F39" i="7"/>
  <c r="J32" i="7"/>
  <c r="J33" i="7"/>
  <c r="J83" i="7"/>
  <c r="F89" i="7"/>
  <c r="F90" i="7"/>
  <c r="F91" i="7"/>
  <c r="F36" i="7"/>
  <c r="F35" i="7"/>
  <c r="F56" i="7" l="1"/>
  <c r="J85" i="7" l="1"/>
  <c r="J19" i="7" l="1"/>
  <c r="F88" i="7"/>
  <c r="F96" i="7"/>
  <c r="F86" i="7"/>
  <c r="F85" i="7"/>
  <c r="F84" i="7"/>
  <c r="F83" i="7"/>
  <c r="F81" i="7"/>
  <c r="F80" i="7"/>
  <c r="F79" i="7"/>
  <c r="F78" i="7"/>
  <c r="F77" i="7"/>
  <c r="F76" i="7"/>
  <c r="F74" i="7"/>
  <c r="F73" i="7"/>
  <c r="F71" i="7"/>
  <c r="F70" i="7"/>
  <c r="F69" i="7"/>
  <c r="F68" i="7"/>
  <c r="F67" i="7"/>
  <c r="F60" i="7"/>
  <c r="F59" i="7"/>
  <c r="F57" i="7"/>
  <c r="F53" i="7"/>
  <c r="F52" i="7"/>
  <c r="F34" i="7"/>
  <c r="F33" i="7"/>
  <c r="F32" i="7"/>
  <c r="F31" i="7"/>
  <c r="F28" i="7"/>
  <c r="F27" i="7"/>
  <c r="F24" i="7"/>
  <c r="F22" i="7"/>
  <c r="F21" i="7"/>
  <c r="F18" i="7"/>
  <c r="F75" i="7" l="1"/>
  <c r="F19" i="7"/>
  <c r="J12" i="7"/>
  <c r="F61" i="7"/>
  <c r="K97" i="7"/>
  <c r="J82" i="7"/>
  <c r="F82" i="7" s="1"/>
  <c r="J87" i="7"/>
  <c r="F87" i="7" s="1"/>
  <c r="J75" i="7" l="1"/>
  <c r="I75" i="7"/>
  <c r="I30" i="7"/>
  <c r="F30" i="7" s="1"/>
  <c r="I12" i="7" l="1"/>
  <c r="J41" i="7" l="1"/>
  <c r="J97" i="7" l="1"/>
  <c r="I58" i="7"/>
  <c r="I54" i="7" s="1"/>
  <c r="F58" i="7" l="1"/>
  <c r="H55" i="7"/>
  <c r="F55" i="7" l="1"/>
  <c r="H54" i="7"/>
  <c r="F54" i="7" s="1"/>
  <c r="I51" i="7"/>
  <c r="I97" i="7" s="1"/>
  <c r="H51" i="7" l="1"/>
  <c r="H46" i="7"/>
  <c r="F46" i="7" s="1"/>
  <c r="H45" i="7"/>
  <c r="H44" i="7"/>
  <c r="F44" i="7" s="1"/>
  <c r="H43" i="7"/>
  <c r="H42" i="7"/>
  <c r="H15" i="7"/>
  <c r="H41" i="7" l="1"/>
  <c r="F42" i="7"/>
  <c r="H50" i="7"/>
  <c r="G51" i="7" l="1"/>
  <c r="F51" i="7" s="1"/>
  <c r="G50" i="7"/>
  <c r="F50" i="7" s="1"/>
  <c r="G26" i="7"/>
  <c r="F26" i="7" s="1"/>
  <c r="G25" i="7"/>
  <c r="F25" i="7" s="1"/>
  <c r="G23" i="7"/>
  <c r="F23" i="7" s="1"/>
  <c r="G72" i="7"/>
  <c r="F72" i="7" s="1"/>
  <c r="G66" i="7"/>
  <c r="F66" i="7" s="1"/>
  <c r="G45" i="7"/>
  <c r="F45" i="7" s="1"/>
  <c r="G43" i="7"/>
  <c r="G20" i="7"/>
  <c r="F20" i="7" s="1"/>
  <c r="G17" i="7"/>
  <c r="F17" i="7" s="1"/>
  <c r="G16" i="7"/>
  <c r="F16" i="7" s="1"/>
  <c r="G15" i="7"/>
  <c r="F15" i="7" s="1"/>
  <c r="H14" i="7"/>
  <c r="H12" i="7" s="1"/>
  <c r="H97" i="7" s="1"/>
  <c r="G14" i="7"/>
  <c r="G13" i="7"/>
  <c r="G41" i="7" l="1"/>
  <c r="F41" i="7" s="1"/>
  <c r="F14" i="7"/>
  <c r="F13" i="7"/>
  <c r="G12" i="7"/>
  <c r="F12" i="7" s="1"/>
  <c r="F43" i="7"/>
  <c r="J75" i="2" l="1"/>
  <c r="J74" i="2"/>
  <c r="J70" i="2"/>
  <c r="T68" i="2"/>
  <c r="R68" i="2"/>
  <c r="O68" i="2"/>
  <c r="G67" i="2"/>
  <c r="G66" i="2"/>
  <c r="G65" i="2"/>
  <c r="G64" i="2"/>
  <c r="G63" i="2"/>
  <c r="G62" i="2"/>
  <c r="G61" i="2"/>
  <c r="G58" i="2"/>
  <c r="G56" i="2"/>
  <c r="G55" i="2"/>
  <c r="G54" i="2"/>
  <c r="G53" i="2"/>
  <c r="G52" i="2"/>
  <c r="G51" i="2"/>
  <c r="G50" i="2"/>
  <c r="G49" i="2"/>
  <c r="G48" i="2"/>
  <c r="R47" i="2"/>
  <c r="O47" i="2"/>
  <c r="M47" i="2"/>
  <c r="M68" i="2" s="1"/>
  <c r="J47" i="2"/>
  <c r="J71" i="2" s="1"/>
  <c r="J72" i="2" s="1"/>
  <c r="G46" i="2"/>
  <c r="G45" i="2"/>
  <c r="G44" i="2"/>
  <c r="G42" i="2"/>
  <c r="G40" i="2"/>
  <c r="G39" i="2"/>
  <c r="G37" i="2"/>
  <c r="G35" i="2"/>
  <c r="G34" i="2"/>
  <c r="G33" i="2"/>
  <c r="G31" i="2"/>
  <c r="G30" i="2"/>
  <c r="G29" i="2"/>
  <c r="G28" i="2"/>
  <c r="G27" i="2"/>
  <c r="G26" i="2"/>
  <c r="G25" i="2"/>
  <c r="G23" i="2"/>
  <c r="G22" i="2"/>
  <c r="G18" i="2"/>
  <c r="G17" i="2"/>
  <c r="G13" i="2"/>
  <c r="G12" i="2"/>
  <c r="G10" i="2"/>
  <c r="G7" i="2"/>
  <c r="G6" i="2"/>
  <c r="J76" i="2" l="1"/>
  <c r="G47" i="2"/>
  <c r="G68" i="2" s="1"/>
  <c r="J69" i="2"/>
  <c r="J68" i="2"/>
  <c r="G97" i="7" l="1"/>
  <c r="F97" i="7" s="1"/>
</calcChain>
</file>

<file path=xl/sharedStrings.xml><?xml version="1.0" encoding="utf-8"?>
<sst xmlns="http://schemas.openxmlformats.org/spreadsheetml/2006/main" count="638" uniqueCount="381">
  <si>
    <t>№ з/п</t>
  </si>
  <si>
    <t>Найменування заходу</t>
  </si>
  <si>
    <t>Відповідальні за виконання</t>
  </si>
  <si>
    <t>Строки виконання</t>
  </si>
  <si>
    <t>Джерело фінансу-вання</t>
  </si>
  <si>
    <t>Орієнтовний обсяг фінансування  (грн.)</t>
  </si>
  <si>
    <t>Всього</t>
  </si>
  <si>
    <t>1.1.</t>
  </si>
  <si>
    <t>1.2.</t>
  </si>
  <si>
    <t>Міський бюджет</t>
  </si>
  <si>
    <t>2.1.</t>
  </si>
  <si>
    <t>2.2.</t>
  </si>
  <si>
    <t>2.3.</t>
  </si>
  <si>
    <t>3.2.</t>
  </si>
  <si>
    <t>Забезпечення дієтхарчуванням дітей до 2-х років з малозабезпечених сімей та постраждалих від аварії на ЧАЕС</t>
  </si>
  <si>
    <t>УСП, МОЗУ</t>
  </si>
  <si>
    <t>4.1.</t>
  </si>
  <si>
    <t>5.1.</t>
  </si>
  <si>
    <t>5.2.</t>
  </si>
  <si>
    <t>7.1.</t>
  </si>
  <si>
    <t>7.2.</t>
  </si>
  <si>
    <t>7.3.</t>
  </si>
  <si>
    <t>8.1.</t>
  </si>
  <si>
    <t>9.1.</t>
  </si>
  <si>
    <t>10.1.</t>
  </si>
  <si>
    <t xml:space="preserve">Забезпечення вільного  та анонімного доступу до консультування та безоплатного тестування на ВІЛ різних категорій населення, в тому числі у хворих на туберкульоз, на базі діючих акредитованих лабораторій діагностики СНІДу для чого забезпечити закупівлю тест-систем для діагностики ВІЛ/СНІДу </t>
  </si>
  <si>
    <t>11.1.</t>
  </si>
  <si>
    <t xml:space="preserve"> Переоснащення стерилізаційного обладнання ІБЛ на  ВТ (сухожарові шафи, автоклави)</t>
  </si>
  <si>
    <t>12.1.</t>
  </si>
  <si>
    <t>13.1.</t>
  </si>
  <si>
    <t>Дооснащення  відділення  анестезіології з палатами інтенсивної терапії та операційного блоку наркозно-дихальним, слідкуючим та реанімаційним обладнанням</t>
  </si>
  <si>
    <t>Дооснащення акушерського відділення обладнанням:</t>
  </si>
  <si>
    <t>Пульсоксиметр з капнографом та комплектом датчиків для новонароджених - 2 шт.</t>
  </si>
  <si>
    <t xml:space="preserve"> Кардіотокограф - 2 шт.</t>
  </si>
  <si>
    <t>Лампа для фототерапії - 2 шт.</t>
  </si>
  <si>
    <t>Настінний дозатор кисню зі зволоженням та підігрівом - 6 шт.</t>
  </si>
  <si>
    <t>Відкрита реанімаційна система для виходжування новонароджених</t>
  </si>
  <si>
    <t xml:space="preserve">Забезпечення структурних підрозділів ІБЛ на ВТ оргтехнікою </t>
  </si>
  <si>
    <t>Стаціонар</t>
  </si>
  <si>
    <t> Міський бюджет</t>
  </si>
  <si>
    <t xml:space="preserve">ДЗ  ІБЛ на ВТ МОЗ України </t>
  </si>
  <si>
    <t xml:space="preserve">Виконавчі органи Іллічівської міської ради ДЗ  ІБЛ на ВТ МОЗ України </t>
  </si>
  <si>
    <t>Фінансове управління ІМР Міськвиконком ДЗ ІБЛ на ВТ МОЗ України, неурядові організації</t>
  </si>
  <si>
    <t>Фінансое управління ІМР,  Міськвиконком, ДЗ ІБЛ на ВТ МОЗ України</t>
  </si>
  <si>
    <t xml:space="preserve">Фінансове управління Іллічівської міської ради                  </t>
  </si>
  <si>
    <t>Фінансове управління Іллічівської міської ради, ДЗ ІБЛ на ВТ МОЗ України</t>
  </si>
  <si>
    <t>Підготовка лікарні до осінньо-зимового періоду та переведення її на автономне теплопостачання</t>
  </si>
  <si>
    <t>Фінансове управління ІМР, Стоматологічна  поліклініка</t>
  </si>
  <si>
    <t>Фінансове управління ІМР, ДЗ ІБЛ на ВТ МОЗ України, ЦСЕС на ВТ, МОЗ</t>
  </si>
  <si>
    <t>Забезпечення фібринолітичними препаратами для надання невідкладної допомоги при гострих коронарних синдромах та проведення сучасної медикаментозної терапії</t>
  </si>
  <si>
    <t>Забезпечення породіль рекомбінантним                          VІІ –а  фактором згортання крові. (Пабал, Октоплекс та інші) та засобами лікування дихальних розладів у недоношених новонароджених (куросурф та ін.)</t>
  </si>
  <si>
    <t>Дооснащення відділень терапевтичного, хірургічного профілю</t>
  </si>
  <si>
    <t>Іллічівська міська рада,                       ДЗ  ІБЛ на ВТ МОЗ України</t>
  </si>
  <si>
    <t>Дооснащення поліклініки № 1 сучасним мамографом</t>
  </si>
  <si>
    <t>Дооснащення лабораторним обладнанням та реактивами</t>
  </si>
  <si>
    <t>Проведення профілактичних оглядів та диспансерного нагляду за дітьми і підлітками, реалізації ефективних скринінгових програм, виявлення найбільш поширеної патології у дітей і підлітків (обстеження призовників на гепатити  В, С, захворювання легенів - рентген-плівка і хімреактиви)</t>
  </si>
  <si>
    <t>Забезпечити  своєчасну діагностику туберкульозу і довести відсоток хворих на туберкульоз, яким діагноз встановлено за допомогою рентгенологічного обстеження, до 50%, для  чого придбати:  Рентген-плівку  і хімреактиви.</t>
  </si>
  <si>
    <t>Фінансове управління ІМР  ДЗ ІБЛ на ВТ МОЗ України</t>
  </si>
  <si>
    <t>у т. ч. по роках, 2016-2020</t>
  </si>
  <si>
    <t>2016-2020</t>
  </si>
  <si>
    <r>
      <t>1.</t>
    </r>
    <r>
      <rPr>
        <b/>
        <sz val="13"/>
        <color indexed="8"/>
        <rFont val="Times New Roman"/>
        <family val="1"/>
        <charset val="204"/>
      </rPr>
      <t xml:space="preserve"> </t>
    </r>
    <r>
      <rPr>
        <sz val="13"/>
        <color indexed="8"/>
        <rFont val="Times New Roman"/>
        <family val="1"/>
        <charset val="204"/>
      </rPr>
      <t>Зниження показників материнської та перинатальної смертності, смертності немовлят</t>
    </r>
  </si>
  <si>
    <t>2. Поліпшення стану здоров’я дітей та підлітків, зниження рівня їх інвалідизації, смертності немовлят, дітей  та підлітків</t>
  </si>
  <si>
    <t>3.  Зниження рівня захворюваності, інвалідності, смертності та  травматизму дорослого населення</t>
  </si>
  <si>
    <t>Придбання кисню медичного</t>
  </si>
  <si>
    <t>Упровадження стоматологічних технологій (придбання апарату УЗВ)</t>
  </si>
  <si>
    <t>Проведення лікувально-оздоровчої роботи серед юнаків допризивного та призовного віку, медичного забезпечення призову та приписки.</t>
  </si>
  <si>
    <t xml:space="preserve">Забезпечення закупівлі імунобіологічних препаратів, лікувально-діагностичних сивороток та імуноглобулінів для проведення щеплень населенню за епідемічними показниками                                       </t>
  </si>
  <si>
    <t>Забезпечення проведення мікробіологічного та епідеміологічного моніторингу в операційних, хірургічних, травматологічних відділеннях, ВА з ПІТ, пологовому відділенні</t>
  </si>
  <si>
    <t>Фінансове управління ІМР Міськвиконком ДЗ ІБЛ на ВТ МОЗ України, лабораторний центр ДСЕС на ВТ</t>
  </si>
  <si>
    <t xml:space="preserve">Фінансове управління ІМР Міськвиконком ДЗ ІБЛ на ВТ МОЗ України, </t>
  </si>
  <si>
    <t>Дооснащення відділень хірургічного профілю обладнанням</t>
  </si>
  <si>
    <t xml:space="preserve">пульсоксиметр  </t>
  </si>
  <si>
    <t>Апарат наркозно-дихальний для дітей до 6-ти років "Фаза-9"</t>
  </si>
  <si>
    <t>Неврологічне відділення (капітальний ремонт)</t>
  </si>
  <si>
    <t>Капітальний ремонт травматологічного відділення</t>
  </si>
  <si>
    <t>Капітальний ремонт акушерського відділення</t>
  </si>
  <si>
    <t>Поточний ремонт приміщень поліклініки № 1</t>
  </si>
  <si>
    <t>Поточний ремонт дезінфекційного відділення</t>
  </si>
  <si>
    <t>Придбання прального обладнання для забезпечення санітарно-гігієнічних норм відділень лікарні</t>
  </si>
  <si>
    <t>РАЗОМ ПО ПРОГРАМІ</t>
  </si>
  <si>
    <t>Придбання  дітям-інвалідам дієтичного харчування  (Тетрафен) згідно з чинним законодавством</t>
  </si>
  <si>
    <t xml:space="preserve">монітор поліфункціональний для новонароджених (АД, ЧСС, ЧД,ЕКГ,SpO2t) з комплектами відповідних манжеток та датчиків,  монітор реанімаційний та анестезіологічний для контролю ряду фізіологічних параметрів    </t>
  </si>
  <si>
    <r>
      <t>Забезпечення профілактики лікування, оздоровлення жінок щодо захворювання на ТОRSH-інфекцію</t>
    </r>
    <r>
      <rPr>
        <sz val="13"/>
        <rFont val="Times New Roman"/>
        <family val="1"/>
        <charset val="204"/>
      </rPr>
      <t xml:space="preserve"> </t>
    </r>
  </si>
  <si>
    <t>Проведення щорічних цільових профілактичних оглядів жіночого населення  для раннього виявлення онкопатології з обов’язковим цитологічним обстеженням (придбання щіточок для профілактичного цитологічного обстеження  жіночого населення міста)</t>
  </si>
  <si>
    <t>5. Зниження захворюваності, смертності, інвалідності від злоякісних новоутворень</t>
  </si>
  <si>
    <t>4. Зниження захворюваності, інвалідності та смертності від  серцево-судинних та судинно-мозкових захворювань</t>
  </si>
  <si>
    <t>Проведення вірусологічних обстежень на базі  ДУ "Одеський обласний лабораторний центр Держсанепідслужби України"</t>
  </si>
  <si>
    <t>Придбання Цито-тестів для діагностики ротавірусної інфекції</t>
  </si>
  <si>
    <t>3.1.</t>
  </si>
  <si>
    <t>6. Поступове зниження рівня стоматологічної захворюваності</t>
  </si>
  <si>
    <t>6.1.</t>
  </si>
  <si>
    <t>6.3.</t>
  </si>
  <si>
    <t>6.5.</t>
  </si>
  <si>
    <t>6.6.</t>
  </si>
  <si>
    <t>6.7.</t>
  </si>
  <si>
    <t>7. Імунопрофілактика та захист населення від інфекційних хвороб</t>
  </si>
  <si>
    <t>8. Забезпечення профілактики ВІЛ-інфекції, лікування, догляд та підтримка ВІЛ-інфікованих і хворих на СНІД</t>
  </si>
  <si>
    <t>9. Профілактика внутрішньолікарняного інфікування пацієнтів і медперсоналу</t>
  </si>
  <si>
    <t>9.2.</t>
  </si>
  <si>
    <t>10.  Заходи протидії захворюванню на туберкульоз</t>
  </si>
  <si>
    <t>11.2.</t>
  </si>
  <si>
    <t>11.3.</t>
  </si>
  <si>
    <t>11.4.</t>
  </si>
  <si>
    <t>11.4.1.</t>
  </si>
  <si>
    <t>11.4.2.</t>
  </si>
  <si>
    <t>11.4.3.</t>
  </si>
  <si>
    <t>11.4.4.</t>
  </si>
  <si>
    <t>11.4.5.</t>
  </si>
  <si>
    <t>11.4.6.</t>
  </si>
  <si>
    <t>11.4.7.</t>
  </si>
  <si>
    <t>11.4.8.</t>
  </si>
  <si>
    <t>11.4.9.</t>
  </si>
  <si>
    <t>12.  Створення сучасної системи інформаційного забезпечення в сфері охорони здоров’я</t>
  </si>
  <si>
    <t>13. Заходи, необхідні для створення у лікарні умов роботи, які відповідають санітарно-гігієнічним нормативам</t>
  </si>
  <si>
    <t>13.2.</t>
  </si>
  <si>
    <t>13.3.</t>
  </si>
  <si>
    <t>13.4.</t>
  </si>
  <si>
    <t>13.5.</t>
  </si>
  <si>
    <t>13.6.</t>
  </si>
  <si>
    <t>13.7.</t>
  </si>
  <si>
    <t xml:space="preserve">Придбання лікарських засобів для громадян, які лікуються на стаціонарному відділені лікарні та зареєстровані на території Іллічівської міської ради і є членами благодійної організації "Лікарняна каса м. Іллічівська" </t>
  </si>
  <si>
    <t>11.  Дооснащення лікувально-діагностичним обладнанням структурних підрозділів Іллічівська басейнова лікарня на водному транспорті</t>
  </si>
  <si>
    <t>Кошти спонсорів</t>
  </si>
  <si>
    <t>Забезпечення проведення щорічної дворазової планової санації порожнини рота, профілактику та лікування зубо-щелепних аномалій дітей та підлітків.</t>
  </si>
  <si>
    <t>Забезпечення   планової  терапевтичної  і хірургічної   санації УВВ ІВВ, УБД, УВ, тимчасово переміщених осіб у регіоні та учасників АТО.</t>
  </si>
  <si>
    <t>Впровадження регіональної програми профілактики та лікування стоматологічних захворювань у дітей-інвалідів та сиріт м. Іллічівська</t>
  </si>
  <si>
    <t>6.4</t>
  </si>
  <si>
    <t>Створення єдиної системи інформаційного забезпечення з використанням оргтехніки та мережі інтернет (три ком`ютери у комплекті)</t>
  </si>
  <si>
    <t>6.2</t>
  </si>
  <si>
    <t>Зміцнення матеріально-технічної бази лікувально-профілактичних закладів стоматологічного профілю (автоклави,камери "Панмед", устаткування стоматологічні, крісла стоматологічні, компресори безмасляні)</t>
  </si>
  <si>
    <r>
      <rPr>
        <b/>
        <sz val="13"/>
        <color indexed="8"/>
        <rFont val="Calibri"/>
        <family val="2"/>
        <charset val="204"/>
      </rPr>
      <t>поточні</t>
    </r>
    <r>
      <rPr>
        <sz val="13"/>
        <color indexed="8"/>
        <rFont val="Calibri"/>
        <family val="2"/>
        <charset val="204"/>
      </rPr>
      <t xml:space="preserve"> трансферти органам держуправління (2620)</t>
    </r>
  </si>
  <si>
    <r>
      <rPr>
        <b/>
        <sz val="13"/>
        <color indexed="8"/>
        <rFont val="Calibri"/>
        <family val="2"/>
        <charset val="204"/>
      </rPr>
      <t xml:space="preserve">капітальні </t>
    </r>
    <r>
      <rPr>
        <sz val="13"/>
        <color indexed="8"/>
        <rFont val="Calibri"/>
        <family val="2"/>
        <charset val="204"/>
      </rPr>
      <t>трансферти органам держуправління (3220)</t>
    </r>
  </si>
  <si>
    <t>ДЗ ІБЛ на ВТ</t>
  </si>
  <si>
    <t>ДЗ Стоматполікліника</t>
  </si>
  <si>
    <t>у т.ч. : разом проверка</t>
  </si>
  <si>
    <t>1.3.</t>
  </si>
  <si>
    <t>1.4.</t>
  </si>
  <si>
    <t>РАЗОМ ПО ЗАХОДАМ</t>
  </si>
  <si>
    <t xml:space="preserve">Забезпечення надання медичної допомоги дітям (учням)  у закладах освіти </t>
  </si>
  <si>
    <t>Придбання лікарських засобів, медичних виробів та/або медичного обладнання, робіт та послуг, необхідних для виконання заходів, спрямованих на запобігання виникнення та поширення, локалізацію та ліквідацію спалахів, епідемій та пандемій коронавірусної хвороби (COVID-19)</t>
  </si>
  <si>
    <t>1.5.</t>
  </si>
  <si>
    <t>1.6.</t>
  </si>
  <si>
    <t>Утримання медичних комісій та забезпечення проведення медичного обстеження громадян на придатність за станом здоров'я до військової служби у закладах охорони здоров'я за направленням міського територіального центру комплектування та соціальної підтримки</t>
  </si>
  <si>
    <t>Надання одноразової адресної допомоги жителям Чорноморської територіальної громади, хворим на  COVID-19, для КТ обстеження  органів грудної клітини</t>
  </si>
  <si>
    <t>Термін виконання, роки</t>
  </si>
  <si>
    <t> Очікувані результати</t>
  </si>
  <si>
    <t>1.</t>
  </si>
  <si>
    <t>Забезпечення відшкодування фактичних витрат на виплату та доставку пенсій, призначених на пільгових умовах</t>
  </si>
  <si>
    <t>Проведення своєчасних розрахунків по відшкодуванню пільгових пенсій</t>
  </si>
  <si>
    <t>Проведення своєчасних розрахунків по комунальним платежам</t>
  </si>
  <si>
    <t xml:space="preserve">Проведення своєчасних розрахунків по відшкодуванню пільгового відпуску лікарських  та технічних засобів </t>
  </si>
  <si>
    <t>Забезпечення лікарні медикаментами та виробами медичного призначення</t>
  </si>
  <si>
    <t>2.</t>
  </si>
  <si>
    <t>Виконання державного завдання по призову</t>
  </si>
  <si>
    <t>3.</t>
  </si>
  <si>
    <t>Джерело фінансування</t>
  </si>
  <si>
    <t> Всього</t>
  </si>
  <si>
    <t>в т. ч. за роками</t>
  </si>
  <si>
    <t>Бюджет Чорноморської міської територіальної громади</t>
  </si>
  <si>
    <t>Доплата медичним та іншим працівникам Комунального некомерційного підприємства "Чорноморська лікарня" Чорноморської міської ради Одеського району  Одеської області, які безпосередньо зайняті  ліквідацією захворювання серед людей на коронавірусну хворобу та яка встановлюється на  період виконання заходів, спрямованих на запобігання виникненню і поширенню, локалізацію та ліквідацію спалахів, епідемій та пандемій коронавірусної хвороби (COVID-19)</t>
  </si>
  <si>
    <t>2021-2025</t>
  </si>
  <si>
    <t>Забезпечення оплати поточних видатків комунального некомерційного підприємства, які не будуть долучені до програми медичних гарантій (покриття вартості комунальних послуг та енергоносіїв)</t>
  </si>
  <si>
    <t xml:space="preserve">Забезпечення надання медичної допомоги дітям (учням) в закладах освіти </t>
  </si>
  <si>
    <t>Матеріальна підтримка медичних та інших працівників в умовах пандемії COVID-19</t>
  </si>
  <si>
    <t>Забезпечення надання населенню безперебійної стоматологічної  допомоги</t>
  </si>
  <si>
    <t>Обов'язкове особисте страхування працівників відомчої та місцевої пожежної охорони, членів добровільних пожежних дружин</t>
  </si>
  <si>
    <t xml:space="preserve">Надання фінансової підтримки комунальному некомерційному підприємству "Стоматологічна поліклініка міста Чорноморська" Чорноморської міської ради Одеського району Одеської області  всього,                                                                            в т. ч.:                            </t>
  </si>
  <si>
    <t>Головний розпорядник/ Відповідальний виконавець</t>
  </si>
  <si>
    <t>Соціальне забезпечення (виплата пільгових пенсій  рентгенолаборантам)</t>
  </si>
  <si>
    <t>Частина І "Заходи, необхідні для підтримки комунальних некомерційних підприємств галузі охорони здоров’я та надання медичних послуг понад обсяг, передбачений програмою державних гарантій медичного обслуговування населення Чорноморської міської територіальної громади, а також імунопрофілактики та захисту населення від інфекційних хвороб"</t>
  </si>
  <si>
    <t>Оновлення матеріально-технічної бази Комунального некомерційного підприємства "Чорноморська лікарня" Чорноморської міської ради Одеського району Одеської області, в тому числі для відділення екстреної медичної допомоги</t>
  </si>
  <si>
    <t>Капітальний ремонт низьковольтних розподільчих силових щитів та монтажу додаткових силових ліній електропроводки в поліклініці № 1 та дитячій поліклініці (блок А, блок Б) Комунального некомерційного підприємства "Чорноморська лікарня" Чорноморської міської ради Одеського району Одеської області за адресою: м.Чорноморськ, вул.1-го Травня, 1, літ "А"</t>
  </si>
  <si>
    <t>Реконструкція приймального відділення КНП "Чорноморська лікарня" Чорноморської  міської ради Одеського району  Одеської області під відділення екстреної медичної допомоги, за адресою: Одеська область, м.Чорноморськ, вул. Віталія Шума, 4</t>
  </si>
  <si>
    <t xml:space="preserve">Недопущення аварійної ситуації </t>
  </si>
  <si>
    <t xml:space="preserve">Оновлення матеріально-технічної бази Комунального некомерційного підприємства "Стоматологічна поліклініка міста Чорноморська" Чорноморської міської ради Одеського району Одеської області </t>
  </si>
  <si>
    <t>Придбання сучасного медичного обладнання для надання стоматологічної допомоги</t>
  </si>
  <si>
    <t>Створення сучасного  приймального відділення в опорній  лікарні</t>
  </si>
  <si>
    <t>Частина ІІІ "Імунопрофілактика та захист населення від інфекційних хвороб"</t>
  </si>
  <si>
    <t>Придбання медикаментів та виробів медичного призначення для комунального  некомерційного  підприємства  "Чорноморська лікарня" Чорноморської міської ради Одеського району Одеської області</t>
  </si>
  <si>
    <t>Доукомплектування робочих місць сучасною комп’ютерною та іншою оргтехнікою, придбання медичного обладнання, інвентаря і предметів довгострокового користування</t>
  </si>
  <si>
    <t xml:space="preserve">Приведення до належного технічного стану будівель </t>
  </si>
  <si>
    <t xml:space="preserve">Приведення до належного протипожежного стану будівлі лікарні </t>
  </si>
  <si>
    <t>Забезпечення відшкодування фактичних витрат на виплату безоплатного і пільгового відпуску лікарських  засобів  за рецептами лікарів  у разі амбулаторного лікування окремих груп населення та за певними категоріями захворювань, забезпечення осіб з інвалідністю, дітей з інвалідністю, інших окремих категорій населення медичними виробами та іншими засобами</t>
  </si>
  <si>
    <t>1.7.</t>
  </si>
  <si>
    <t>Відділ охорони здоров’я Чорноморської міської ради Одеського району  Одеської області;      
Виконавчий комітет Чорноморської міської ради Одеського району Одеської області;                                                           Комунальне некомерційне підприємство "Чорноморська лікарня" Чорноморської міської ради Одеського району Одеської області</t>
  </si>
  <si>
    <t>Відділ охорони здоров’я Чорноморської міської ради Одеського району  Одеської області;   
Виконавчий комітет Чорноморської міської ради Одеського району Одеської області;                                                              Комунальне некомерційне підприємство "Чорноморська лікарня" Чорноморської міської ради Одеського району Одеської області</t>
  </si>
  <si>
    <t>Відділ охорони здоров’я Чорноморської міської ради Одеського району  Одеської області;  
Управління капітального будівництва Чорноморської міської ради Одеського району Одеської області;                                                                  Комунальне некомерційне підприємство "Чорноморська лікарня" Чорноморської міської ради Одеського району Одеської області</t>
  </si>
  <si>
    <t>1.8.</t>
  </si>
  <si>
    <t>Відділ охорони здоров’я Чорноморської міської ради Одеського району  Одеської області; 
Виконавчий комітет Чорноморської міської ради Одеського району Одеської області;
Комунальне некомерційне підприємство "Чорноморська лікарня" Чорноморської міської ради Одеського району Одеської області</t>
  </si>
  <si>
    <t>Проведення капітальних ремонтів приміщень, заміна вікон в приміщеннях КНП "Чорноморська лікарня" Чорноморської міської ради Одеської області</t>
  </si>
  <si>
    <t>Приведення до належного технічного стану приміщень</t>
  </si>
  <si>
    <t>Капітальний ремонт с заміною трьох ліфтів у поліклініці КНП "Чорноморська лікарня" Чорноморської міської ради Одеського району Одеської області за адресою: м.Чорноморськ, вул.1-го Травня, 1</t>
  </si>
  <si>
    <t>Надання фінансової підтримки комунальному некомерційному підприємству "Чорноморська лікарня" Чорноморської міської ради Одеського району Одеської області всього,
 в тому числі:</t>
  </si>
  <si>
    <t>Відділ охорони здоров’я Чорноморської міської ради Одеського району  Одеської області;    
Виконавчий комітет Чорноморської міської ради Одеського району Одеської області;
Комунальне некомерційне підприємство "Чорноморська лікарня" Чорноморської міської ради Одеського району Одеської області</t>
  </si>
  <si>
    <t>Відділ охорони здоров’я Чорноморської міської ради Одеського району  Одеської області;
Виконавчий комітет Чорноморської міської ради Одеського району Одеської області; 
Комунальне некомерційне підприємство "Чорноморська лікарня" Чорноморської міської ради Одеського району Одеської області</t>
  </si>
  <si>
    <t>Відділ охорони здоров’я Чорноморської міської ради Одеського району  Одеської області;   
Виконавчий комітет Чорноморської міської ради Одеського району Одеської області;
Комунальне некомерційне підприємство "Чорноморська лікарня" Чорноморської міської ради Одеського району Одеської області</t>
  </si>
  <si>
    <t>Відділ охорони здоров’я Чорноморської міської ради Одеського району  Одеської області;      
Виконавчий комітет Чорноморської міської ради Одеського району Одеської області; 
Комунальне некомерційне підприємство "Чорноморська лікарня" Чорноморської міської ради Одеського району Одеської області</t>
  </si>
  <si>
    <t>Відділ охорони здоров’я Чорноморської міської ради Одеського району  Одеської області;        
Виконавчий комітет Чорноморської міської ради Одеського району Одеської області;
Комунальне некомерційне підприємство "Чорноморська лікарня" Чорноморської міської ради Одеського району Одеської області</t>
  </si>
  <si>
    <t xml:space="preserve">
Виконавчий комітет Чорноморської міської ради Одеського району Одеської області;
Комунальне некомерційне підприємство "Чорноморська лікарня" Чорноморської міської ради Одеського району Одеської області</t>
  </si>
  <si>
    <t>Відділ охорони здоров’я Чорноморської міської ради Одеського району  Одеської області;     
Виконавчий комітет Чорноморської міської ради Одеського району Одеської області;
Комунальне некомерційне підприємство "Чорноморська лікарня" Чорноморської міської ради Одеського району Одеської області</t>
  </si>
  <si>
    <t>Відділ охорони здоров’я Чорноморської міської ради Одеського району  Одеської області;   
Виконавчий комітет Чорноморської міської ради Одеського району Одеської області;
Комунальне некомерційне підприємство "Стоматологічна поліклініка міста Чорноморська" Чорноморської міської ради Одеського району Одеської області</t>
  </si>
  <si>
    <t>Відділ охорони здоров’я Чорноморської міської ради Одеського району  Одеської області;
Виконавчий комітет Чорноморської міської ради Одеського району Одеської області;
Комунальне некомерційне підприємство "Чорноморська лікарня" Чорноморської міської ради Одеського району Одеської області</t>
  </si>
  <si>
    <t xml:space="preserve">Відділ охорони здоров’я Чорноморської міської ради Одеського району  Одеської області;   
Виконавчий комітет Чорноморської міської ради Одеського району Одеської області;
Комунальне некомерційне підприємство "Стоматологічна поліклініка міста Чорноморська" Чорноморської міської ради Одеського району Одеської області </t>
  </si>
  <si>
    <t>Відділ охорони здоров’я Чорноморської міської ради Одеського району  Одеської області;       
Управління капітального будівництва Чорноморської міської ради Одеського району Одеської області;
Комунальне некомерційне підприємство "Чорноморська лікарня" Чорноморської міської ради Одеського району Одеської області</t>
  </si>
  <si>
    <t>Відділ охорони здоров’я Чорноморської міської ради Одеського району  Одеської області;
Комунальне некомерційне підприємство "Чорноморська лікарня" Чорноморської міської ради Одеського району Одеської області</t>
  </si>
  <si>
    <t>Відділ охорони здоров’я Чорноморської міської ради Одеського району  Одеської області;    
Управління капітального будівництва Чорноморської міської ради Одеського району Одеської області;
Комунальне некомерційне підприємство "Чорноморська лікарня" Чорноморської міської ради Одеського району Одеської області</t>
  </si>
  <si>
    <t>Виконавчий комітет Чорноморської міської ради Одеського району Одеської області;
Комунальне некомерційне підприємство "Чорноморська лікарня" Чорноморської міської ради Одеського району Одеської області</t>
  </si>
  <si>
    <t xml:space="preserve">Відділ охорони здоров’я Чорноморської міської ради Одеського району  Одеської області;     
Виконавчий комітет Чорноморської міської ради Одеського району Одеської області;
Комунальне некомерційне підприємство "Стоматологічна поліклініка міста Чорноморська" Чорноморської міської ради Одеського району Одеської області </t>
  </si>
  <si>
    <t xml:space="preserve">
Виконавчий комітет Чорноморської міської ради Одеського району Одеської області;
Комунальне некомерційне підприємство "Стоматологічна поліклініка міста Чорноморська" Чорноморської міської ради Одеського району Одеської області </t>
  </si>
  <si>
    <t xml:space="preserve">Відділ охорони здоров'я Чорноморської міської ради Одеського району Одеської області;      
Виконавчий комітет Чорноморської міської ради Одеського району Одеської області;
Комунальне некомерційне підприємство "Чорноморська лікарня" Чорноморської міської ради Одеського району  Одеської області                                                                        </t>
  </si>
  <si>
    <t>2021-2022</t>
  </si>
  <si>
    <t xml:space="preserve">
Виконавчий комітет Чорноморської міської ради Одеського району Одеської області;
Комунальне некомерційне підприємство "Чорноморський міський центр первинної медико-санітарної допомоги" Чорноморської міської ради Одеського району Одеської області</t>
  </si>
  <si>
    <t>Підвищення  рівня  медичного  обслуговування населення,  впровадження  нових  підходів  в  організації  роботи  закладів  охорони здоров’я  та  їх  фінансового  забезпечення,  завершення  процедури  реорганізації закладу  охорони  здоров’я</t>
  </si>
  <si>
    <t>1.9.</t>
  </si>
  <si>
    <t>Висвітлення діяльності підприємства в засобах масової інформації</t>
  </si>
  <si>
    <t>Орієнтовний обсяг фінансування  (грн)</t>
  </si>
  <si>
    <t>Страхування окремої категорії працівників відповідно до законодавства</t>
  </si>
  <si>
    <t xml:space="preserve">Забезпечення лікарні медикаментами та виробами медичного призначення </t>
  </si>
  <si>
    <t xml:space="preserve">Надання безоплатного або пільгового зубопротезування окремим категоріям громадян </t>
  </si>
  <si>
    <t>Підготовка підприємства до опалювального періоду</t>
  </si>
  <si>
    <t>Забезпечення  лікарськими  засобами, медичними виробами  та/або медичним обладнанням, роботами  та послугами, необхідними для виконання заходів, спрямованих на запобігання виникнення та поширення, локалізацію та ліквідацію спалахів, епідемій та пандемій коронавірусної хвороби (COVID-19)</t>
  </si>
  <si>
    <t>Надання стоматологічної  допомоги населенню</t>
  </si>
  <si>
    <t>Фінансова підтримка комунального некомерційного підприємства "Стоматологічна поліклініка міста Чорноморська" Чорноморської міської ради Одеського району Одеської області на висвітлення діяльності підприємства</t>
  </si>
  <si>
    <t>Частина ІІ "Перелік заходів розвитку комунальних некомерційних підприємств галузі охорони здоров'я"</t>
  </si>
  <si>
    <t>Забезпечення надання населенню безперебійної медичної  допомоги</t>
  </si>
  <si>
    <t>Соціальна підтримка громадян</t>
  </si>
  <si>
    <t>2021*</t>
  </si>
  <si>
    <t>Управління соціальної політики Чорноморської міської ради Одеського району Одеської області; 
Відділ охорони здоров'я Чорноморської міської ради Одеського району Одеської області;
Виконавчий комітет Чорноморської міської ради Одеського району Одеської області;
КНП "Чорноморська лікарня" Чорноморської міської ради Одеського району  Одеської області</t>
  </si>
  <si>
    <t>1.10.</t>
  </si>
  <si>
    <t>Забезпечення надання населенню безперебійної медичної  допомоги в особливий період</t>
  </si>
  <si>
    <t>Забезпечення стабільної роботи КНП "Чорноморська лікарня" в особливий період, в т.ч. придбання пально-мастильних матеріалів для забезпечення роботи джерел резервного живлення</t>
  </si>
  <si>
    <t>Виконавчий комітет Чорноморської міської ради Одеського району Одеської області;
Комунальне некомерційне підприємство "Стоматологічна поліклініка міста Чорноморська" Чорноморської міської ради Одеського району Одеської області</t>
  </si>
  <si>
    <t>Забезпечення безперебійної роботи підприємства</t>
  </si>
  <si>
    <t xml:space="preserve">Придбання джерела безперервного живлення для забезпечення безперебійної роботи Комунального некомерційного підприємства "Стоматологічна поліклініка міста Чорноморська" Чорноморської міської ради Одеського району Одеської області </t>
  </si>
  <si>
    <t>до рішення Чорноморської міської ради</t>
  </si>
  <si>
    <t>Забезпечення покращеного харчування військовослужбовців, які проходять лікування в комунальному некомерційному підприємстві "Чорноморська лікарня" Чорноморської міської ради Одеського району Одеської області</t>
  </si>
  <si>
    <t>Забезпечення лікарні  продуктами харчування</t>
  </si>
  <si>
    <t xml:space="preserve">Забезпечення належного технічного стану </t>
  </si>
  <si>
    <t>Забезпечення лікарні  продуктами харчування, продуктами дитячого харчування, спеціальним продуктом харчування для пільгових груп населення</t>
  </si>
  <si>
    <t>1.11.</t>
  </si>
  <si>
    <t>1.12.</t>
  </si>
  <si>
    <t>1.13.</t>
  </si>
  <si>
    <t>1.14.</t>
  </si>
  <si>
    <t>1.15.</t>
  </si>
  <si>
    <t>1.16.</t>
  </si>
  <si>
    <t>2.4.</t>
  </si>
  <si>
    <t>2.5.</t>
  </si>
  <si>
    <t>4.</t>
  </si>
  <si>
    <t>5.</t>
  </si>
  <si>
    <t>6.</t>
  </si>
  <si>
    <t>7.</t>
  </si>
  <si>
    <t>8.</t>
  </si>
  <si>
    <t>9.</t>
  </si>
  <si>
    <t>2.6</t>
  </si>
  <si>
    <t>2022*</t>
  </si>
  <si>
    <t>10.</t>
  </si>
  <si>
    <t>2022-2023</t>
  </si>
  <si>
    <t>Бюджет Чорноморської міської територіальної громади, 
Інші субвенції з місцевого бюджету</t>
  </si>
  <si>
    <t>11.</t>
  </si>
  <si>
    <t>Управління капітального будівництва Чорноморської міської ради Одеського району Одеської області
Комунальне некомерційне підприємство "Чорноморська лікарня" Чорноморської міської ради Одеського району Одеської області</t>
  </si>
  <si>
    <t>Заходи з енергозбереження</t>
  </si>
  <si>
    <t>Забезпечення енергоефективності використання будівель, економія споживання енергоресурсів</t>
  </si>
  <si>
    <t xml:space="preserve">Проведення вірусологічних, мікробіологічних та бактеріологічних  обстежень/досліджень </t>
  </si>
  <si>
    <t>Проведення своєчасних розрахунків з комунальних платежів</t>
  </si>
  <si>
    <t>Придбання органічних та неорганічних хімічних речовин, лікарських засобів, медичних виробів та/або медичного обладнання, послуг, необхідних для проведення вірусологічних, мікробіологічних та бактеріологічних  обстежень/досліджень на базі ДУ "Лабораторний центр  Міністерства охорони здоров`я України   на водному транспорті" та придбання діагностичних наборів для проведення досліджень на COVID-19, вірусів грипу та вірусів іншої етіології, деззасобів, витратних матеріалів, тощо для відбору та обстеження хворих та працівників закладів освіти  Чорноморської міської ради Одеського району Одеської області на мікробіологічні, бактеріологічні та вірусологічні дослідження</t>
  </si>
  <si>
    <t>1.14.1.</t>
  </si>
  <si>
    <t>1.14.2.</t>
  </si>
  <si>
    <t xml:space="preserve">Створення та модернізація належної  матеріально-технічної бази, оплата послуг (крім комунальних) для підтримки діяльності комунального некомерційного підприємства "Чорноморська лікарня" Чорноморської міської ради Одеського району  Одеської області, в т.ч.:
</t>
  </si>
  <si>
    <t>Придбання медикаментів, медичного майна, лабораторних реактивів, розхідних матеріалів та медичного обладнання для надання медичних послуг понад обсяг, передбачений програмою державних гарантій медичного обслуговування населення Чорноморської міської територіальної громади, в т. ч. для надання медичної допомоги при стаціонарному лікуванні військовослужбовців та цивільних осіб, постраждалих внаслідок воєнних дій</t>
  </si>
  <si>
    <t xml:space="preserve">монтаж структурованих кабельних систем інтернет доступу (25 станцій, 1, 2, 3 поверх, роумінг) з улаштуванням обладнання за адресою: м.Чорноморськ, вул.В.Шума, 4 </t>
  </si>
  <si>
    <t>Фінансове управління Чорноморської міської ради Одеського району Одеської області;
Державна установа "Лабораторний центр Міністерства охорони здоров'я України на водному транспорті";
 Відокремлений підрозділ на водному транспорті ДУ "Одеський обласний центр контролю та профілактики хвороб МОЗ України";
Відокремлений підрозділ санітарної охорони територій та на видах транспорту ДУ "Одеський обласний центр контролю та профілактики хвороб МОЗ України"</t>
  </si>
  <si>
    <t>Відновлення елементів благоустрою - поточний ремонт твердого покриття вимощення на об'єкті КНП "Чорноморська лікарня" Чорноморської міської ради Одеського району Одеської області за адресою:
м. Чорноморськ, вул. В.Шума,4</t>
  </si>
  <si>
    <t>Відновлення елементів благоустрою - поточний ремонт твердого покриття доріг та тротуарів на об'єкті КНП "Чорноморська лікарня" Чорноморської міської ради Одеського району Одеської області за адресою:
м. Чорноморськ, вул. В.Шума,4</t>
  </si>
  <si>
    <t>12.</t>
  </si>
  <si>
    <t>13.</t>
  </si>
  <si>
    <t>Відновлення благоустрою території лікарні по завершенню виконання робіт по протипожежній безпеці</t>
  </si>
  <si>
    <t>Бюджет Чорноморської міської територіальної громади
Субвенції з інших бюджетів</t>
  </si>
  <si>
    <t>Надання медичних послуг населенню</t>
  </si>
  <si>
    <t>Надання первинної медичної допомоги  населенню Чорноморської міської територіальної громади</t>
  </si>
  <si>
    <t>Надання фінансової підтримки комунальному некомерційному підприємству "Чорноморський міський центр первинної медико-санітарної допомоги" Чорноморської міської ради Одеського району Одеської області, в т. ч.:</t>
  </si>
  <si>
    <t>6.2.</t>
  </si>
  <si>
    <t>Капітальний ремонт внутрішніх мереж електропостачання поліклініки із встановленням пристрою безперебійного електроживлення на базі дизельної електростанції для будівлі поліклініки КНП "Чорноморська лікарня" Чорноморської міської ради Одеського району Одеської області за адресою: м. Чорноморськ, вул. 1 Травня, буд. 1</t>
  </si>
  <si>
    <t>Забезпечення умов  належного технічного стану для укладання договору з НСЗУ</t>
  </si>
  <si>
    <t>14.</t>
  </si>
  <si>
    <t>Поточний ремонт приміщення травматологічного відділення КНП "Чорноморська лікарня" Чорноморської міської ради Одеського району Одеської області за адресою: м. Чорноморськ, вул. В. Шума, 4</t>
  </si>
  <si>
    <t>15.</t>
  </si>
  <si>
    <t>16.</t>
  </si>
  <si>
    <t>Управління капітального будівництва Чорноморської міської ради Одеського району Одеської області;
Комунальне некомерційне підприємство "Чорноморський міський центр первинної медико-санітарної допомоги" Чорноморської міської ради Одеського району Одеської області</t>
  </si>
  <si>
    <t>10.1</t>
  </si>
  <si>
    <t>10.2</t>
  </si>
  <si>
    <t>10.3</t>
  </si>
  <si>
    <t>Капітальний ремонт вбиральні відділення сімейної медицини поліклініки №1 КНП "Чорноморський міський центр первинної медико-санітарної допомоги", розташованої за адресою: Одеська область, Одеський район, м. Чорноморськ, селище Олександрівка, вулиця Перемоги, 64</t>
  </si>
  <si>
    <t xml:space="preserve">Капітальний ремонт по заміні трубопроводу централізованого опалення КНП "Чорноморська лікарня" Чорноморської міської ради Одеського району Одеської області за адресою: м.Чорноморськ, вул. В.Шума, 4 </t>
  </si>
  <si>
    <t xml:space="preserve">монтаж структурованих кабельних систем інтернет доступу (СКС-99 робочих місць), монтаж системи інтернет доступу на обладнання MIKROTIK,система Gigabit Ethernet 1000 Мбит, за адресою м.Чорноморськ, вул. 1 Травня, 1 </t>
  </si>
  <si>
    <t>Начальник фінансового управління                                                                                                                                                            Ольга ЯКОВЕНКО</t>
  </si>
  <si>
    <t>Забезпечення продуктами харчування, продуктами дитячого харчування, спеціальним продуктом харчування для пільгових груп населення</t>
  </si>
  <si>
    <t>1.17.</t>
  </si>
  <si>
    <t>Відновлення  мереж водопостачання та водовідведення</t>
  </si>
  <si>
    <t xml:space="preserve">Виконавчий комітет Чорноморської міської ради Одеського району Одеської області;
Комунальне некомерційне підприємство "Чорноморська лікарня" Чорноморської міської ради Одеського району Одеської області
</t>
  </si>
  <si>
    <t>17.</t>
  </si>
  <si>
    <t>Облаштування реабілітаційного відділення згідно вимог НСЗУ</t>
  </si>
  <si>
    <t>Поточний ремонт вводу водопроводу на будівлю психо-наркологічного відділення КНП "Чорноморська лікарня" Чорноморської міської ради Одеського району Одеської області за адресою: м. Чорноморськ, вул. Хантадзе, 6</t>
  </si>
  <si>
    <t>Безоплатне та пільгове зубопротезування окремих пільгових категорій громадян Чорноморської міської територіальної громади (учасників бойових дій та членів їх сімей, членів сімей загиблих, учасників війни, осіб з інвалідністю внаслідок війни, осіб з інвалідністю, дітей з інвалідністю, осіб з інвалідністю з дитинства, почесних донорів України, ветеранів праці, осіб, які постраждали внаслідок Чорнобильської катастрофи та віднесені до 1 та 2 категорій, дітей з багатодітних сімей, пенсіонерів, внутрішньо переміщених осіб, які мають вище наведений статус)</t>
  </si>
  <si>
    <t>придбання кондиціонерів</t>
  </si>
  <si>
    <t>Придбання  кондиціонерів та їх встановлення  у приміщеннях лікарні КНП "Чорноморська лікарня" Чорноморської міської ради Одеського району Одеської області, всього:
в т.ч.:</t>
  </si>
  <si>
    <t>Придбання продуктів харчування для хворих, які перебувають на стаціонарному лікуванні у відділеннях лікарні.
Забезпечення безкоштовними продуктами дитячого харчування дітей перших двох років життя із малозабезпечених сімей, дітей, народжених ВІЛ–інфікованими матерями, спеціальним  продуктом харчування для хворих на фенілкетонурію</t>
  </si>
  <si>
    <t>18.</t>
  </si>
  <si>
    <t xml:space="preserve">Оновлення матеріально-технічної бази Комунального некомерційного підприємства "Чорноморський міський центр первинної медико-санітарної допомоги" Чорноморської міської ради Одеського району Одеської області </t>
  </si>
  <si>
    <t>Реконструкція електричних мереж, в частині встановлення сонячної електростанції на даху будівлі КНП "Чорноморська лікарня" Чорноморської міської ради Одеського району Одеської області за адресою: м. Чорноморськ, вул. Віталія Шума, 4, літ. А</t>
  </si>
  <si>
    <t>2023*</t>
  </si>
  <si>
    <t>2023-2024</t>
  </si>
  <si>
    <t>2022-2024</t>
  </si>
  <si>
    <t>2021-2024</t>
  </si>
  <si>
    <t xml:space="preserve">Капітальний ремонт з заміною вікон та заходами з енергозбереження в будівлі поліклініки КНП "Чорноморська лікарня" ЧМР, за адресою: вул. 1 Травня, буд.1, м.Чорноморськ, Одеського району, Одеської області </t>
  </si>
  <si>
    <t xml:space="preserve">Капітальний ремонт з заміною вікон та заходами з енергозбереження в будівлі КНП "Чорноморська лікарня" ЧМР, за адресою: вул. Віталія Шума, буд.4, м.Чорноморськ, Одеського району, Одеської області </t>
  </si>
  <si>
    <t>встановлення кондиціонерів у будівлях головного корпусу літ. "А" та інфекційного корпусу літ "Б" КНП "Чорноморська лікарня"  Одеського району Одеської області" за адресою: Одеська обл., м. Чорноморськ, вул. В. Шума,4</t>
  </si>
  <si>
    <t>Реконструкція приміщень дитячого відділення з прибудовою ліфта із ліфтовим холом до головного корпусу  Комунального некомерційного підприємства "Чорноморська лікарня" Чорноморської міської ради Одеського району Одеської області за адресою: м. Чорноморськ, вул. Віталія Шума, 4</t>
  </si>
  <si>
    <t xml:space="preserve">Капітальний ремонт системи  протипожежного захисту: системи пожежної сигналізації, системи оповіщення та управління евакуацією людей на об'єкті Комунального некомерційного підприємства "Чорноморська лікарня" Чорноморської міської ради  Одеського району Одеської області за адресою: м.Чорноморськ, вул. В.Шума, 4. Коригування </t>
  </si>
  <si>
    <t>Укомплектування робочих місць сучасною комп’ютерною та іншою оргтехнікою</t>
  </si>
  <si>
    <t>Реконструкція частини приміщень акушерського відділення головного корпусу Комунального некомерційного підприємства  "Чорноморська лікарня" Чорноморської міської ради Одеського району Одеської області під гінекологічне відділення за адресою:  м. Чорноморськ, вул. Віталія Шума, 4</t>
  </si>
  <si>
    <t>19.</t>
  </si>
  <si>
    <t>Приведення до належного технічного стану приміщень, виконання вимог НСЗУ</t>
  </si>
  <si>
    <t>Реконструкція системи забезпечення медичним киснем лікарняних ліжок частини приміщень акушерського відділення Комунального некомерційного підприємства  "Чорноморська лікарня" Чорноморської міської ради Одеського району Одеської області за адресою:  68004, Одеська обл., м. Чорноморськ, вул. Віталія Шума, буд. 4, літ. "А"</t>
  </si>
  <si>
    <t>Надання стоматологічної  допомоги дорослому та дитячому населенню Чорноморської міської територіальної громади:
- надання ургентної стоматологічної допомоги пільговим категоріям населення та дітям цілодобово;
- надання терапевтичної та хірургічної стоматологічної допомоги пільговим категоріям населення;
- планова стоматологічна допомога, профілактичні огляди дітям  до 18 років;
- рентгенологічне дослідження пільговим категоріям населення.
Пільгові категорії, визначені в пункті 2.1.</t>
  </si>
  <si>
    <t>20.</t>
  </si>
  <si>
    <t>Підготовка до опалювального періоду будівель та споруд, мереж опалення та водопостачання  КНП "Чорноморська лікарня" Чорноморської міської ради Одеської області</t>
  </si>
  <si>
    <t>Придбання медикаментів, медичного обладнання та приладдя для надання медичних послуг понад обсяг, передбачений програмою державних гарантій медичного обслуговування населення Чорноморської міської територіальної громади, в т. ч. придбання  доз туберкуліну для постановки проби Манту дітям, які своєчасно не отримали вакцину БЦЖ (проти туберкульозу)</t>
  </si>
  <si>
    <t>Придбання медичного обладнання та приладдя для надання медичних послуг понад обсяг, передбачений програмою державних гарантій медичного обслуговування населення Чорноморської міської територіальної громади</t>
  </si>
  <si>
    <t>Забезпечення Чорноморського міського центру первинної медико-санітарної допомоги  медичним обладнанням та приладдям</t>
  </si>
  <si>
    <t>Забезпечення Чорноморського міського центру первинної медико-санітарної допомоги медикаментами, медичним обладнанням та приладдям</t>
  </si>
  <si>
    <t xml:space="preserve">Оплата праці працівників КНП "Чорноморський міський центр первинної медико-санітарної допомоги", які виконують функції денного стаціонару </t>
  </si>
  <si>
    <t>Створення умов для лікування, відновлення та реабілітації осіб, які постраждали внаслідок збройної агресії Російської Федерації проти України (Придбання обладнання, ліжок функціональних  для облаштування реабілітаційного відділення КНП "Чорноморська лікарня" Чорноморської міської ради Одеського району Одеської області за адресою: м. Чорноморськ, вул. В. Шума, 4)</t>
  </si>
  <si>
    <t xml:space="preserve">*  2021-2023 роки -  зазначені видатки згідно зі звітом про виконання бюджету за відповідний рік </t>
  </si>
  <si>
    <r>
      <t>VI.  Заходи Міської програми "Здоров'я населення Чорноморської міської територіальної громади на 2021-2025 роки</t>
    </r>
    <r>
      <rPr>
        <b/>
        <sz val="12"/>
        <color theme="1"/>
        <rFont val="Calibri"/>
        <family val="2"/>
        <charset val="204"/>
      </rPr>
      <t>"</t>
    </r>
    <r>
      <rPr>
        <b/>
        <sz val="12"/>
        <color theme="1"/>
        <rFont val="Times New Roman"/>
        <family val="1"/>
        <charset val="204"/>
      </rPr>
      <t>, необхідні для розвитку, підтримки комунальних некомерційних підприємств галузі охорони здоров’я та надання медичних послуг понад обсяг, передбачений програмою державних гарантій медичного обслуговування населення Чорноморської міської територіальної громади, а також імунопрофілактики та захисту населення від інфекційних хвороб</t>
    </r>
  </si>
  <si>
    <t>Додаток 2</t>
  </si>
  <si>
    <t>1.18.</t>
  </si>
  <si>
    <t>Технічне обслуговування системи пожежної сигналізації КНП "Чорноморська лікарня" Чорноморської міської ради Одеського району Одеської області за адресою: м. Чорноморськ, вул. В. Шума, 4 та вул. 1 Травня, 1</t>
  </si>
  <si>
    <t>1.19.</t>
  </si>
  <si>
    <t>Поточний ремонт приміщення акушерського відділення КНП "Чорноморська лікарня" Чорноморської міської ради Одеського району Одеської області за адресою: м.Чорноморськ, вул.В.Шума, 4, літ.А</t>
  </si>
  <si>
    <t>21.</t>
  </si>
  <si>
    <t>22.</t>
  </si>
  <si>
    <t>23.</t>
  </si>
  <si>
    <t>1.20.</t>
  </si>
  <si>
    <t>1.21.</t>
  </si>
  <si>
    <t>1.22.</t>
  </si>
  <si>
    <t>Виготовлення проектно-кошторисної документації по об'єкту "Капітальний ремонт (заміна) ліфту пасажирського для лікувально-профілактичних установ, реєстраційний №6342, у будівлі стаціонару літ."А", встановленого біля відділення анестезіології з палатами інтенсивної терапії Комунального некомерційного підприємства "Чорноморська лікарня" Чорноморської міської ради Одеського району Одеської області за адресою: 68004, Одеська область, Одеський район, м.Чорноморськ, вул.Віталія Шума, 4"</t>
  </si>
  <si>
    <t>Виготовлення проектно-кошторисної документації по об'єкту "Капітальний ремонт (заміна) ліфту пасажирського для лікувально-профілактичних установ, реєстраційний №6379, у будівлі стаціонару літ."А", встановленого біля акушерського відділення Комунального некомерційного підприємства "Чорноморська лікарня" Чорноморської міської ради Одеського району Одеської області за адресою: 68004, Одеська область, Одеський район, м.Чорноморськ, вул.Віталія Шума, 4"</t>
  </si>
  <si>
    <t>Виготовлення проектно-кошторисної документації по об'єкту "Капітальний ремонт приміщень поліклініки на 3-му поверсі за адресою: Одеська область, Одеський район, м.Чорноморськ, вул.1 Травня, 1"</t>
  </si>
  <si>
    <t>Поточний ремонт ганку морга зі встановленням пандусу для доступу осіб з інвалідністю та інших мало мобільних груп населення КНП "Чорноморська лікарня" Чорноморської міської ради Одеського району Одеської області головного корпусу літ."В" за адресою: м.Чорноморськ, вул.Віталія Шума, 4</t>
  </si>
  <si>
    <t>Поточний ремонт ганку медичного складу зі встановленням пандусу для доступу осіб з інвалідністю та інших мало мобільних груп населення КНП "Чорноморська лікарня" Чорноморської міської ради Одеського району Одеської області літ. "Г" за адресою: м.Чорноморськ, вул.Віталія Шума, 4</t>
  </si>
  <si>
    <t>Поточний ремонт ганку запасного виходу з акушерського відділення зі встановленням пандусу для доступу осіб з інвалідністю та інших мало мобільних груп населення КНП "Чорноморська лікарня" Чорноморської міської ради Одеського району Одеської області літ. "А" за адресою: м.Чорноморськ, вул.Віталія Шума, 4</t>
  </si>
  <si>
    <t>6.8</t>
  </si>
  <si>
    <t>Забезпечення безперебійної роботи підприємства, надання своєчасної та якісної медичної допомоги населенню</t>
  </si>
  <si>
    <t xml:space="preserve">Фінансова підтримка комунальному некомерційному підприємству "Чорноморський міський центр первинної медико-санітарної допомоги" Чорноморської міської ради Одеського району Одеської області на висвітлення діяльності підприємства </t>
  </si>
  <si>
    <t>Виконавчий комітет Чорноморської міської ради Одеського району Одеської області;
Комунальне некомерційне підприємство "Чорноморський міський центр первинної медико-санітарної допомоги" Чорноморської міської ради Одеського району Одеської області</t>
  </si>
  <si>
    <t>Забезпечення безкоштовними продуктами дитячого харчування дітей перших двох років життя із малозабезпечених сімей, дітей, народжених ВІЛ–інфікованими матерями, спеціальним  продуктом харчування для хворих на фенілкетонурію та муковісцидоз</t>
  </si>
  <si>
    <t>придбання пально-мастильних матеріалів для забезпечення роботи джерел резервного живлення</t>
  </si>
  <si>
    <t>Забезпечення стабільної роботи КНП "Стоматологічна поліклініка міста Чорноморська" в особливий період, в т.ч.:</t>
  </si>
  <si>
    <t>виконання робіт по встановленню та підключенню генератора</t>
  </si>
  <si>
    <t>1.14.3</t>
  </si>
  <si>
    <t>придбання джерел безперебійного живлення та картриджів</t>
  </si>
  <si>
    <t>1.23</t>
  </si>
  <si>
    <t>Поточний ремонт тамбуру та ганку евакуаційного (запасного) виходу триповерхової будівлі головного корпусу літ."А" з встановлення пандусу для доступу осіб з інвалідністю та інших мало мобільних груп населення до гінекологічного, хірургічного, кардіологічного, терапевтичного, акушерського відділень КНП "Чорноморська лікарня" Чорноморської міської ради Одеського району Одеської області за адресою: 68004, Одеська область, Одеський район, м.Чорноморськ, вул.Віталія Шума, 4</t>
  </si>
  <si>
    <t>24.</t>
  </si>
  <si>
    <t>Капітальний ремонт (заміна) ліфту пасажирського для лікувально-профілактичних установ, реєстраційний № 6342, у будівлі стаціонару Літ."А" встановленого біля відділення АcПІТ Комунального некомерційного підприємства "Чорноморська лікарня" Чорноморської міської ради Одеського району Одеської області за адресою: 68004, Одеська область, Одеський район, м.Чорноморськ, вул.Віталія Шума, 4 (літ. "А")</t>
  </si>
  <si>
    <t>Модернізація та створення належної матеріально-технічної бази для забезпечення безперебійної роботи  комунального некомерційного підприємства "Чорноморський міський центр первинної медико-санітарної допомоги" Чорноморської міської ради Одеського району Одеської  області, в т.ч. придбання комп'ютерної техніки, кондиціонерів</t>
  </si>
  <si>
    <t>25.</t>
  </si>
  <si>
    <t xml:space="preserve">Фінансова підтримка комунальному некомерційному  підприємству "Чорноморська лікарня" Чорноморської міської ради Одеського району Одеської області на висвітлення діяльності підприємства та оплату інших послуг, пов'язаних з обслуговуванням програмного забезпечення </t>
  </si>
  <si>
    <t>2022 - 2024</t>
  </si>
  <si>
    <t>6.9</t>
  </si>
  <si>
    <t>Забезпечення стабільної роботи комунального некомерційного підприємства "Чорноморський міський центр первинної медико-санітарної допомоги" Чорноморської міської ради Одеського району Одеської  області в особливий період, в т.ч. придбання пально-мастильних матеріалів для забезпечення роботи джерел резервного живлення</t>
  </si>
  <si>
    <t>6.10</t>
  </si>
  <si>
    <t>26.</t>
  </si>
  <si>
    <t xml:space="preserve">Виконавчий комітет Чорноморської міської ради Одеського району Одеської області;
Комунальне некомерційне підприємство "Стоматологічна поліклініка міста Чорноморська" Чорноморської міської ради Одеського району Одеської області </t>
  </si>
  <si>
    <t>Забезпечення Стоматологічної поліклініки  медичним обладнанням та приладдям</t>
  </si>
  <si>
    <t>2.6.1</t>
  </si>
  <si>
    <t>2.6.2</t>
  </si>
  <si>
    <t>Покращення  матеріально-технічної бази лікарні (постільна білизна, твердий інвентар, джерела безперебійного живлення, картриджі), в тому числі придбання медичного обладнання та інвентарю, меблів для відділення екстреної медичної допомоги. Оплата послуг для підтримки діяльності підприємства.
Модернізація єдиної системи інтернету</t>
  </si>
  <si>
    <t xml:space="preserve">Придбання медичного обладнання, предметів та матеріалів для  стабільної роботи комунального некомерційного підприємства "Чорноморський міський центр первинної медико-санітарної допомоги" Чорноморської міської ради Одеського району Одеської  області  </t>
  </si>
  <si>
    <t>Придбання та встановлення пристрою безперебійного електроживлення на базі дизельної електростанції з капітальним ремонтом внутрішніх мереж електропостачання у будівлі відділення сімейної медицини за адресою: вул.Перемоги, буд.64, селище Олександрівка, м.Чорноморськ, Одеський район, Одеська область</t>
  </si>
  <si>
    <t>від__________2024   №_______- VIII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</si>
</sst>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 _₴_-;\-* #,##0.00\ _₴_-;_-* &quot;-&quot;??\ _₴_-;_-@_-"/>
    <numFmt numFmtId="165" formatCode="_-* #,##0.00\ _₽_-;\-* #,##0.00\ _₽_-;_-* &quot;-&quot;??\ _₽_-;_-@_-"/>
    <numFmt numFmtId="166" formatCode="#,##0.0"/>
    <numFmt numFmtId="167" formatCode="#,##0.000"/>
  </numFmts>
  <fonts count="36" x14ac:knownFonts="1">
    <font>
      <sz val="11"/>
      <color theme="1"/>
      <name val="Calibri"/>
      <family val="2"/>
      <charset val="204"/>
      <scheme val="minor"/>
    </font>
    <font>
      <sz val="10"/>
      <color theme="1"/>
      <name val="Calibri"/>
      <family val="2"/>
      <charset val="204"/>
      <scheme val="minor"/>
    </font>
    <font>
      <b/>
      <sz val="13"/>
      <color indexed="8"/>
      <name val="Times New Roman"/>
      <family val="1"/>
      <charset val="204"/>
    </font>
    <font>
      <sz val="13"/>
      <color indexed="8"/>
      <name val="Times New Roman"/>
      <family val="1"/>
      <charset val="204"/>
    </font>
    <font>
      <sz val="13"/>
      <name val="Times New Roman"/>
      <family val="1"/>
      <charset val="204"/>
    </font>
    <font>
      <i/>
      <sz val="13"/>
      <name val="Times New Roman"/>
      <family val="1"/>
      <charset val="204"/>
    </font>
    <font>
      <sz val="13"/>
      <color indexed="8"/>
      <name val="Calibri"/>
      <family val="2"/>
      <charset val="204"/>
    </font>
    <font>
      <b/>
      <sz val="13"/>
      <color indexed="8"/>
      <name val="Calibri"/>
      <family val="2"/>
      <charset val="204"/>
    </font>
    <font>
      <sz val="13"/>
      <color theme="1"/>
      <name val="Calibri"/>
      <family val="2"/>
      <charset val="204"/>
      <scheme val="minor"/>
    </font>
    <font>
      <sz val="13"/>
      <color rgb="FF000000"/>
      <name val="Times New Roman"/>
      <family val="1"/>
      <charset val="204"/>
    </font>
    <font>
      <sz val="13"/>
      <color theme="1"/>
      <name val="Times New Roman"/>
      <family val="1"/>
      <charset val="204"/>
    </font>
    <font>
      <b/>
      <sz val="13"/>
      <color theme="1"/>
      <name val="Times New Roman"/>
      <family val="1"/>
      <charset val="204"/>
    </font>
    <font>
      <i/>
      <sz val="13"/>
      <color theme="1"/>
      <name val="Times New Roman"/>
      <family val="1"/>
      <charset val="204"/>
    </font>
    <font>
      <i/>
      <sz val="13"/>
      <color rgb="FF000000"/>
      <name val="Times New Roman"/>
      <family val="1"/>
      <charset val="204"/>
    </font>
    <font>
      <sz val="14"/>
      <color theme="1"/>
      <name val="Times New Roman"/>
      <family val="1"/>
      <charset val="204"/>
    </font>
    <font>
      <i/>
      <sz val="13"/>
      <color theme="1"/>
      <name val="Calibri"/>
      <family val="2"/>
      <charset val="204"/>
      <scheme val="minor"/>
    </font>
    <font>
      <b/>
      <sz val="13"/>
      <color rgb="FF000000"/>
      <name val="Times New Roman"/>
      <family val="1"/>
      <charset val="204"/>
    </font>
    <font>
      <b/>
      <sz val="13"/>
      <color theme="1"/>
      <name val="Calibri"/>
      <family val="2"/>
      <charset val="204"/>
      <scheme val="minor"/>
    </font>
    <font>
      <b/>
      <i/>
      <sz val="13"/>
      <color theme="1"/>
      <name val="Calibri"/>
      <family val="2"/>
      <charset val="204"/>
      <scheme val="minor"/>
    </font>
    <font>
      <b/>
      <sz val="18"/>
      <color theme="1"/>
      <name val="Times New Roman"/>
      <family val="1"/>
      <charset val="204"/>
    </font>
    <font>
      <b/>
      <sz val="12"/>
      <color theme="1"/>
      <name val="Times New Roman"/>
      <family val="1"/>
      <charset val="204"/>
    </font>
    <font>
      <b/>
      <sz val="9.5"/>
      <color theme="1"/>
      <name val="Times New Roman"/>
      <family val="1"/>
      <charset val="204"/>
    </font>
    <font>
      <b/>
      <sz val="11"/>
      <color theme="1"/>
      <name val="Calibri"/>
      <family val="2"/>
      <charset val="204"/>
      <scheme val="minor"/>
    </font>
    <font>
      <sz val="11"/>
      <color theme="1"/>
      <name val="Times New Roman"/>
      <family val="1"/>
      <charset val="204"/>
    </font>
    <font>
      <sz val="10"/>
      <name val="Helv"/>
      <charset val="204"/>
    </font>
    <font>
      <sz val="12"/>
      <color theme="1"/>
      <name val="Times New Roman"/>
      <family val="1"/>
      <charset val="204"/>
    </font>
    <font>
      <sz val="12"/>
      <color theme="1"/>
      <name val="Calibri"/>
      <family val="2"/>
      <charset val="204"/>
      <scheme val="minor"/>
    </font>
    <font>
      <sz val="11"/>
      <color theme="1"/>
      <name val="Calibri"/>
      <family val="2"/>
      <charset val="204"/>
      <scheme val="minor"/>
    </font>
    <font>
      <sz val="14"/>
      <color theme="1"/>
      <name val="Calibri"/>
      <family val="2"/>
      <charset val="204"/>
      <scheme val="minor"/>
    </font>
    <font>
      <sz val="18"/>
      <color theme="1"/>
      <name val="Calibri"/>
      <family val="2"/>
      <charset val="204"/>
      <scheme val="minor"/>
    </font>
    <font>
      <b/>
      <sz val="12"/>
      <color theme="1"/>
      <name val="Calibri"/>
      <family val="2"/>
      <charset val="204"/>
    </font>
    <font>
      <i/>
      <sz val="12"/>
      <color theme="1"/>
      <name val="Calibri"/>
      <family val="2"/>
      <charset val="204"/>
      <scheme val="minor"/>
    </font>
    <font>
      <sz val="16"/>
      <color theme="1"/>
      <name val="Times New Roman"/>
      <family val="1"/>
      <charset val="204"/>
    </font>
    <font>
      <sz val="10"/>
      <color indexed="8"/>
      <name val="Arial"/>
      <family val="2"/>
      <charset val="204"/>
    </font>
    <font>
      <i/>
      <sz val="12"/>
      <color theme="1"/>
      <name val="Times New Roman"/>
      <family val="1"/>
      <charset val="204"/>
    </font>
    <font>
      <sz val="11"/>
      <color indexed="8"/>
      <name val="Calibri"/>
      <family val="2"/>
      <charset val="204"/>
    </font>
  </fonts>
  <fills count="11">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FFFF"/>
        <bgColor indexed="64"/>
      </patternFill>
    </fill>
    <fill>
      <patternFill patternType="solid">
        <fgColor theme="5" tint="0.79998168889431442"/>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theme="6" tint="0.59999389629810485"/>
        <bgColor indexed="64"/>
      </patternFill>
    </fill>
    <fill>
      <patternFill patternType="solid">
        <fgColor rgb="FFBFBFBF"/>
        <bgColor indexed="64"/>
      </patternFill>
    </fill>
    <fill>
      <patternFill patternType="solid">
        <fgColor rgb="FFD9D9D9"/>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s>
  <cellStyleXfs count="6">
    <xf numFmtId="0" fontId="0" fillId="0" borderId="0"/>
    <xf numFmtId="0" fontId="1" fillId="0" borderId="0"/>
    <xf numFmtId="0" fontId="24" fillId="0" borderId="0"/>
    <xf numFmtId="165" fontId="27" fillId="0" borderId="0" applyFont="0" applyFill="0" applyBorder="0" applyAlignment="0" applyProtection="0"/>
    <xf numFmtId="0" fontId="33" fillId="0" borderId="0"/>
    <xf numFmtId="0" fontId="35" fillId="0" borderId="0"/>
  </cellStyleXfs>
  <cellXfs count="273">
    <xf numFmtId="0" fontId="0" fillId="0" borderId="0" xfId="0"/>
    <xf numFmtId="0" fontId="8" fillId="0" borderId="0" xfId="0" applyFont="1"/>
    <xf numFmtId="166" fontId="9" fillId="0" borderId="1" xfId="0" applyNumberFormat="1" applyFont="1" applyBorder="1" applyAlignment="1">
      <alignment vertical="center" wrapText="1"/>
    </xf>
    <xf numFmtId="0" fontId="10" fillId="0" borderId="1" xfId="0" applyFont="1" applyBorder="1" applyAlignment="1">
      <alignment horizontal="center" vertical="top" wrapText="1"/>
    </xf>
    <xf numFmtId="0" fontId="9" fillId="0" borderId="1" xfId="0" applyFont="1" applyBorder="1" applyAlignment="1">
      <alignment vertical="center" wrapText="1"/>
    </xf>
    <xf numFmtId="166" fontId="9" fillId="2" borderId="1" xfId="0" applyNumberFormat="1" applyFont="1" applyFill="1" applyBorder="1" applyAlignment="1">
      <alignment vertical="center" wrapText="1"/>
    </xf>
    <xf numFmtId="0" fontId="10" fillId="0" borderId="1" xfId="0" applyFont="1" applyBorder="1" applyAlignment="1">
      <alignment vertical="center" wrapText="1"/>
    </xf>
    <xf numFmtId="0" fontId="8" fillId="3" borderId="0" xfId="0" applyFont="1" applyFill="1"/>
    <xf numFmtId="0" fontId="9" fillId="2" borderId="1" xfId="0" applyFont="1" applyFill="1" applyBorder="1" applyAlignment="1">
      <alignment vertical="center" wrapText="1"/>
    </xf>
    <xf numFmtId="166" fontId="10" fillId="2" borderId="1" xfId="0" applyNumberFormat="1" applyFont="1" applyFill="1" applyBorder="1" applyAlignment="1">
      <alignment vertical="center" wrapText="1"/>
    </xf>
    <xf numFmtId="166" fontId="9" fillId="0" borderId="1" xfId="0" applyNumberFormat="1" applyFont="1" applyBorder="1" applyAlignment="1">
      <alignment horizontal="center" wrapText="1"/>
    </xf>
    <xf numFmtId="0" fontId="10" fillId="2" borderId="1" xfId="0" applyFont="1" applyFill="1" applyBorder="1" applyAlignment="1">
      <alignment vertical="top" wrapText="1"/>
    </xf>
    <xf numFmtId="0" fontId="10" fillId="4" borderId="1" xfId="0" applyFont="1" applyFill="1" applyBorder="1" applyAlignment="1">
      <alignment horizontal="center" vertical="center" wrapText="1"/>
    </xf>
    <xf numFmtId="0" fontId="11" fillId="4" borderId="1" xfId="0" applyFont="1" applyFill="1" applyBorder="1" applyAlignment="1">
      <alignment vertical="top" wrapText="1"/>
    </xf>
    <xf numFmtId="0" fontId="11" fillId="4" borderId="1" xfId="0" applyFont="1" applyFill="1" applyBorder="1" applyAlignment="1">
      <alignment horizontal="center" vertical="top" wrapText="1"/>
    </xf>
    <xf numFmtId="0" fontId="8" fillId="0" borderId="0" xfId="0" applyFont="1" applyAlignment="1">
      <alignment horizontal="center" vertical="center"/>
    </xf>
    <xf numFmtId="0" fontId="8" fillId="0" borderId="0" xfId="0" applyFont="1" applyAlignment="1">
      <alignment vertical="top"/>
    </xf>
    <xf numFmtId="0" fontId="8" fillId="0" borderId="0" xfId="0" applyFont="1" applyAlignment="1">
      <alignment horizontal="center" vertical="top"/>
    </xf>
    <xf numFmtId="0" fontId="9" fillId="0" borderId="1" xfId="0" applyFont="1" applyBorder="1" applyAlignment="1">
      <alignment horizontal="center" vertical="top" wrapText="1"/>
    </xf>
    <xf numFmtId="0" fontId="10" fillId="0" borderId="1" xfId="0" applyFont="1" applyBorder="1" applyAlignment="1">
      <alignment horizontal="right" vertical="center" wrapText="1"/>
    </xf>
    <xf numFmtId="0" fontId="8" fillId="3" borderId="0" xfId="0" applyFont="1" applyFill="1" applyAlignment="1">
      <alignment vertical="top"/>
    </xf>
    <xf numFmtId="4" fontId="9" fillId="2" borderId="1" xfId="0" applyNumberFormat="1" applyFont="1" applyFill="1" applyBorder="1" applyAlignment="1">
      <alignment vertical="center" wrapText="1"/>
    </xf>
    <xf numFmtId="0" fontId="9" fillId="2" borderId="1" xfId="0" applyFont="1" applyFill="1" applyBorder="1" applyAlignment="1">
      <alignment horizontal="center" vertical="top" wrapText="1"/>
    </xf>
    <xf numFmtId="0" fontId="8" fillId="5" borderId="0" xfId="0" applyFont="1" applyFill="1"/>
    <xf numFmtId="0" fontId="8" fillId="6" borderId="0" xfId="0" applyFont="1" applyFill="1"/>
    <xf numFmtId="0" fontId="10" fillId="2" borderId="1" xfId="0" applyFont="1" applyFill="1" applyBorder="1" applyAlignment="1">
      <alignment horizontal="left" vertical="top" wrapText="1"/>
    </xf>
    <xf numFmtId="166" fontId="9" fillId="2" borderId="1" xfId="0" applyNumberFormat="1" applyFont="1" applyFill="1" applyBorder="1" applyAlignment="1">
      <alignment wrapText="1"/>
    </xf>
    <xf numFmtId="49" fontId="10" fillId="2" borderId="1" xfId="0" applyNumberFormat="1" applyFont="1" applyFill="1" applyBorder="1" applyAlignment="1">
      <alignment horizontal="center" vertical="center" wrapText="1"/>
    </xf>
    <xf numFmtId="0" fontId="10" fillId="2" borderId="1" xfId="0" applyFont="1" applyFill="1" applyBorder="1" applyAlignment="1">
      <alignment horizontal="left" vertical="center" wrapText="1"/>
    </xf>
    <xf numFmtId="0" fontId="9" fillId="0" borderId="1" xfId="0" applyFont="1" applyBorder="1" applyAlignment="1">
      <alignment horizontal="left" vertical="center" wrapText="1"/>
    </xf>
    <xf numFmtId="0" fontId="10" fillId="2" borderId="1" xfId="0" applyFont="1" applyFill="1" applyBorder="1" applyAlignment="1">
      <alignment vertical="center" wrapText="1"/>
    </xf>
    <xf numFmtId="0" fontId="8" fillId="0" borderId="1" xfId="0" applyFont="1" applyBorder="1" applyAlignment="1">
      <alignment horizontal="center" vertical="center"/>
    </xf>
    <xf numFmtId="0" fontId="9" fillId="2" borderId="1" xfId="0" applyFont="1" applyFill="1" applyBorder="1" applyAlignment="1">
      <alignment horizontal="left" vertical="center" wrapText="1"/>
    </xf>
    <xf numFmtId="0" fontId="9" fillId="0" borderId="1" xfId="0" applyFont="1" applyBorder="1" applyAlignment="1">
      <alignment horizontal="left" vertical="top" wrapText="1"/>
    </xf>
    <xf numFmtId="4" fontId="8" fillId="0" borderId="1" xfId="0" applyNumberFormat="1" applyFont="1" applyBorder="1"/>
    <xf numFmtId="0" fontId="12" fillId="2" borderId="1" xfId="0" applyFont="1" applyFill="1" applyBorder="1" applyAlignment="1">
      <alignment vertical="center" wrapText="1"/>
    </xf>
    <xf numFmtId="0" fontId="13" fillId="0" borderId="1" xfId="0" applyFont="1" applyBorder="1" applyAlignment="1">
      <alignment horizontal="center" vertical="center" wrapText="1"/>
    </xf>
    <xf numFmtId="0" fontId="12" fillId="0" borderId="1" xfId="0" applyFont="1" applyBorder="1" applyAlignment="1">
      <alignment vertical="top" wrapText="1"/>
    </xf>
    <xf numFmtId="0" fontId="12" fillId="2" borderId="1" xfId="0" applyFont="1" applyFill="1" applyBorder="1" applyAlignment="1">
      <alignment vertical="top" wrapText="1"/>
    </xf>
    <xf numFmtId="166" fontId="11" fillId="0" borderId="1" xfId="0" applyNumberFormat="1" applyFont="1" applyBorder="1" applyAlignment="1">
      <alignment horizontal="center"/>
    </xf>
    <xf numFmtId="49" fontId="14" fillId="0" borderId="1" xfId="0" applyNumberFormat="1" applyFont="1" applyBorder="1" applyAlignment="1">
      <alignment vertical="center" wrapText="1"/>
    </xf>
    <xf numFmtId="49" fontId="9" fillId="0" borderId="1" xfId="0" applyNumberFormat="1" applyFont="1" applyBorder="1" applyAlignment="1">
      <alignment horizontal="center" vertical="center" wrapText="1"/>
    </xf>
    <xf numFmtId="166" fontId="13" fillId="2" borderId="1" xfId="0" applyNumberFormat="1" applyFont="1" applyFill="1" applyBorder="1" applyAlignment="1">
      <alignment vertical="center" wrapText="1"/>
    </xf>
    <xf numFmtId="0" fontId="8" fillId="0" borderId="2" xfId="0" applyFont="1" applyBorder="1" applyAlignment="1">
      <alignment horizontal="center" vertical="center"/>
    </xf>
    <xf numFmtId="0" fontId="8" fillId="0" borderId="3" xfId="0" applyFont="1" applyBorder="1" applyAlignment="1">
      <alignment vertical="top"/>
    </xf>
    <xf numFmtId="0" fontId="8" fillId="0" borderId="3" xfId="0" applyFont="1" applyBorder="1" applyAlignment="1">
      <alignment horizontal="center" vertical="top"/>
    </xf>
    <xf numFmtId="0" fontId="8" fillId="0" borderId="3" xfId="0" applyFont="1" applyBorder="1" applyAlignment="1">
      <alignment horizontal="center" vertical="center"/>
    </xf>
    <xf numFmtId="0" fontId="8" fillId="0" borderId="3" xfId="0" applyFont="1" applyBorder="1"/>
    <xf numFmtId="0" fontId="8" fillId="0" borderId="4" xfId="0" applyFont="1" applyBorder="1"/>
    <xf numFmtId="4" fontId="15" fillId="0" borderId="1" xfId="0" applyNumberFormat="1" applyFont="1" applyBorder="1"/>
    <xf numFmtId="0" fontId="4" fillId="0" borderId="1" xfId="0" applyFont="1" applyBorder="1" applyAlignment="1">
      <alignment horizontal="left" vertical="center" wrapText="1"/>
    </xf>
    <xf numFmtId="0" fontId="10" fillId="2" borderId="1" xfId="0" applyFont="1" applyFill="1" applyBorder="1" applyAlignment="1">
      <alignment horizontal="center" vertical="center" wrapText="1"/>
    </xf>
    <xf numFmtId="166" fontId="9" fillId="0" borderId="1" xfId="0" applyNumberFormat="1" applyFont="1" applyBorder="1" applyAlignment="1">
      <alignment horizontal="center" vertical="center" wrapText="1"/>
    </xf>
    <xf numFmtId="0" fontId="9" fillId="2"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0" fillId="0" borderId="1" xfId="0" applyFont="1" applyBorder="1" applyAlignment="1">
      <alignment horizontal="center" vertical="center" wrapText="1"/>
    </xf>
    <xf numFmtId="0" fontId="9" fillId="0" borderId="1" xfId="0" applyFont="1" applyBorder="1" applyAlignment="1">
      <alignment horizontal="center" vertical="center" wrapText="1"/>
    </xf>
    <xf numFmtId="166" fontId="9" fillId="2" borderId="1" xfId="0" applyNumberFormat="1" applyFont="1" applyFill="1" applyBorder="1" applyAlignment="1">
      <alignment horizontal="center" vertical="center" wrapText="1"/>
    </xf>
    <xf numFmtId="166" fontId="10" fillId="2" borderId="1" xfId="0" applyNumberFormat="1" applyFont="1" applyFill="1" applyBorder="1" applyAlignment="1">
      <alignment horizontal="center" vertical="center" wrapText="1"/>
    </xf>
    <xf numFmtId="4" fontId="10" fillId="2" borderId="1" xfId="0" applyNumberFormat="1" applyFont="1" applyFill="1" applyBorder="1" applyAlignment="1">
      <alignment horizontal="center" vertical="center" wrapText="1"/>
    </xf>
    <xf numFmtId="4" fontId="9" fillId="2" borderId="1" xfId="0" applyNumberFormat="1" applyFont="1" applyFill="1" applyBorder="1" applyAlignment="1">
      <alignment horizontal="center" vertical="center" wrapText="1"/>
    </xf>
    <xf numFmtId="0" fontId="16" fillId="7" borderId="1" xfId="0" applyFont="1" applyFill="1" applyBorder="1" applyAlignment="1">
      <alignment horizontal="center" wrapText="1"/>
    </xf>
    <xf numFmtId="0" fontId="9" fillId="2" borderId="1" xfId="0" applyFont="1" applyFill="1" applyBorder="1" applyAlignment="1">
      <alignment vertical="top" wrapText="1"/>
    </xf>
    <xf numFmtId="0" fontId="9" fillId="0" borderId="1" xfId="0" applyFont="1" applyBorder="1" applyAlignment="1">
      <alignment vertical="top" wrapText="1"/>
    </xf>
    <xf numFmtId="166" fontId="10" fillId="0" borderId="1" xfId="0" applyNumberFormat="1" applyFont="1" applyBorder="1" applyAlignment="1">
      <alignment horizontal="center" vertical="center" wrapText="1"/>
    </xf>
    <xf numFmtId="4" fontId="10" fillId="0" borderId="1" xfId="0" applyNumberFormat="1" applyFont="1" applyBorder="1" applyAlignment="1">
      <alignment horizontal="center" vertical="center" wrapText="1"/>
    </xf>
    <xf numFmtId="166" fontId="8" fillId="2" borderId="1" xfId="0" applyNumberFormat="1" applyFont="1" applyFill="1" applyBorder="1" applyAlignment="1">
      <alignment horizontal="center" vertical="center"/>
    </xf>
    <xf numFmtId="0" fontId="11" fillId="4" borderId="1" xfId="0" applyFont="1" applyFill="1" applyBorder="1" applyAlignment="1">
      <alignment horizontal="center" vertical="center" wrapText="1"/>
    </xf>
    <xf numFmtId="4" fontId="10" fillId="0" borderId="1" xfId="0" applyNumberFormat="1" applyFont="1" applyBorder="1" applyAlignment="1">
      <alignment horizontal="center" vertical="center"/>
    </xf>
    <xf numFmtId="0" fontId="10" fillId="0" borderId="0" xfId="0" applyFont="1" applyAlignment="1">
      <alignment vertical="center"/>
    </xf>
    <xf numFmtId="0" fontId="8" fillId="5" borderId="0" xfId="0" applyFont="1" applyFill="1" applyAlignment="1">
      <alignment horizontal="center" vertical="center"/>
    </xf>
    <xf numFmtId="0" fontId="8" fillId="5" borderId="1" xfId="0" applyFont="1" applyFill="1" applyBorder="1"/>
    <xf numFmtId="0" fontId="8" fillId="8" borderId="0" xfId="0" applyFont="1" applyFill="1" applyAlignment="1">
      <alignment horizontal="center" vertical="center"/>
    </xf>
    <xf numFmtId="0" fontId="8" fillId="8" borderId="1" xfId="0" applyFont="1" applyFill="1" applyBorder="1"/>
    <xf numFmtId="0" fontId="8" fillId="8" borderId="0" xfId="0" applyFont="1" applyFill="1"/>
    <xf numFmtId="0" fontId="11" fillId="0" borderId="0" xfId="0" applyFont="1" applyAlignment="1">
      <alignment vertical="center"/>
    </xf>
    <xf numFmtId="0" fontId="17" fillId="0" borderId="0" xfId="0" applyFont="1" applyAlignment="1">
      <alignment vertical="center"/>
    </xf>
    <xf numFmtId="0" fontId="18" fillId="0" borderId="0" xfId="0" applyFont="1"/>
    <xf numFmtId="0" fontId="8" fillId="2" borderId="0" xfId="0" applyFont="1" applyFill="1" applyAlignment="1">
      <alignment horizontal="center" vertical="center"/>
    </xf>
    <xf numFmtId="0" fontId="19" fillId="2" borderId="0" xfId="0" applyFont="1" applyFill="1" applyAlignment="1">
      <alignment vertical="center"/>
    </xf>
    <xf numFmtId="0" fontId="23" fillId="2" borderId="0" xfId="0" applyFont="1" applyFill="1"/>
    <xf numFmtId="4" fontId="28" fillId="2" borderId="0" xfId="0" applyNumberFormat="1" applyFont="1" applyFill="1"/>
    <xf numFmtId="0" fontId="28" fillId="2" borderId="0" xfId="0" applyFont="1" applyFill="1"/>
    <xf numFmtId="4" fontId="29" fillId="2" borderId="0" xfId="0" applyNumberFormat="1" applyFont="1" applyFill="1"/>
    <xf numFmtId="0" fontId="29" fillId="2" borderId="0" xfId="0" applyFont="1" applyFill="1"/>
    <xf numFmtId="165" fontId="0" fillId="2" borderId="0" xfId="3" applyFont="1" applyFill="1"/>
    <xf numFmtId="165" fontId="28" fillId="2" borderId="0" xfId="3" applyFont="1" applyFill="1"/>
    <xf numFmtId="0" fontId="28" fillId="2" borderId="0" xfId="0" applyFont="1" applyFill="1" applyAlignment="1">
      <alignment horizontal="center"/>
    </xf>
    <xf numFmtId="1" fontId="23" fillId="2" borderId="0" xfId="0" applyNumberFormat="1" applyFont="1" applyFill="1"/>
    <xf numFmtId="1" fontId="28" fillId="2" borderId="0" xfId="0" applyNumberFormat="1" applyFont="1" applyFill="1"/>
    <xf numFmtId="4" fontId="26" fillId="2" borderId="0" xfId="0" applyNumberFormat="1" applyFont="1" applyFill="1"/>
    <xf numFmtId="0" fontId="26" fillId="2" borderId="0" xfId="0" applyFont="1" applyFill="1"/>
    <xf numFmtId="0" fontId="25" fillId="2" borderId="1" xfId="0" applyFont="1" applyFill="1" applyBorder="1" applyAlignment="1">
      <alignment vertical="center" wrapText="1"/>
    </xf>
    <xf numFmtId="3" fontId="26" fillId="2" borderId="0" xfId="0" applyNumberFormat="1" applyFont="1" applyFill="1"/>
    <xf numFmtId="0" fontId="22" fillId="2" borderId="0" xfId="0" applyFont="1" applyFill="1"/>
    <xf numFmtId="1" fontId="21" fillId="2" borderId="1" xfId="0" applyNumberFormat="1" applyFont="1" applyFill="1" applyBorder="1"/>
    <xf numFmtId="0" fontId="22" fillId="2" borderId="1" xfId="0" applyFont="1" applyFill="1" applyBorder="1"/>
    <xf numFmtId="1" fontId="14" fillId="2" borderId="0" xfId="0" applyNumberFormat="1" applyFont="1" applyFill="1"/>
    <xf numFmtId="0" fontId="14" fillId="2" borderId="0" xfId="0" applyFont="1" applyFill="1" applyAlignment="1">
      <alignment horizontal="center" vertical="center" wrapText="1"/>
    </xf>
    <xf numFmtId="4" fontId="14" fillId="2" borderId="0" xfId="0" applyNumberFormat="1" applyFont="1" applyFill="1" applyAlignment="1">
      <alignment vertical="center" wrapText="1"/>
    </xf>
    <xf numFmtId="167" fontId="14" fillId="2" borderId="0" xfId="0" applyNumberFormat="1" applyFont="1" applyFill="1" applyAlignment="1">
      <alignment vertical="center" wrapText="1"/>
    </xf>
    <xf numFmtId="3" fontId="14" fillId="2" borderId="0" xfId="0" applyNumberFormat="1" applyFont="1" applyFill="1" applyAlignment="1">
      <alignment vertical="center" wrapText="1"/>
    </xf>
    <xf numFmtId="1" fontId="25" fillId="2" borderId="0" xfId="0" applyNumberFormat="1" applyFont="1" applyFill="1"/>
    <xf numFmtId="0" fontId="25" fillId="2" borderId="0" xfId="0" applyFont="1" applyFill="1"/>
    <xf numFmtId="165" fontId="26" fillId="2" borderId="0" xfId="3" applyFont="1" applyFill="1"/>
    <xf numFmtId="4" fontId="11" fillId="2" borderId="1" xfId="0" applyNumberFormat="1" applyFont="1" applyFill="1" applyBorder="1" applyAlignment="1">
      <alignment horizontal="center" vertical="center" wrapText="1"/>
    </xf>
    <xf numFmtId="0" fontId="31" fillId="2" borderId="0" xfId="0" applyFont="1" applyFill="1"/>
    <xf numFmtId="0" fontId="25" fillId="2" borderId="1" xfId="4" quotePrefix="1" applyFont="1" applyFill="1" applyBorder="1" applyAlignment="1">
      <alignment vertical="center" wrapText="1"/>
    </xf>
    <xf numFmtId="165" fontId="23" fillId="2" borderId="0" xfId="3" applyFont="1" applyFill="1"/>
    <xf numFmtId="165" fontId="19" fillId="2" borderId="0" xfId="3" applyFont="1" applyFill="1" applyAlignment="1">
      <alignment vertical="center"/>
    </xf>
    <xf numFmtId="165" fontId="31" fillId="2" borderId="0" xfId="3" applyFont="1" applyFill="1"/>
    <xf numFmtId="165" fontId="22" fillId="2" borderId="0" xfId="3" applyFont="1" applyFill="1"/>
    <xf numFmtId="165" fontId="25" fillId="2" borderId="0" xfId="3" applyFont="1" applyFill="1"/>
    <xf numFmtId="164" fontId="28" fillId="2" borderId="0" xfId="0" applyNumberFormat="1" applyFont="1" applyFill="1"/>
    <xf numFmtId="1" fontId="20" fillId="2" borderId="1" xfId="0" applyNumberFormat="1" applyFont="1" applyFill="1" applyBorder="1" applyAlignment="1">
      <alignment horizontal="center" wrapText="1"/>
    </xf>
    <xf numFmtId="0" fontId="20" fillId="2" borderId="1" xfId="0" applyFont="1" applyFill="1" applyBorder="1" applyAlignment="1">
      <alignment horizontal="center" wrapText="1"/>
    </xf>
    <xf numFmtId="165" fontId="11" fillId="2" borderId="0" xfId="3" applyFont="1" applyFill="1" applyAlignment="1">
      <alignment vertical="center" wrapText="1"/>
    </xf>
    <xf numFmtId="0" fontId="11" fillId="2" borderId="0" xfId="0" applyFont="1" applyFill="1" applyAlignment="1">
      <alignment vertical="center" wrapText="1"/>
    </xf>
    <xf numFmtId="4" fontId="25" fillId="2" borderId="1" xfId="0" applyNumberFormat="1" applyFont="1" applyFill="1" applyBorder="1" applyAlignment="1">
      <alignment horizontal="center" vertical="center" wrapText="1"/>
    </xf>
    <xf numFmtId="3" fontId="25" fillId="2" borderId="1" xfId="0" applyNumberFormat="1" applyFont="1" applyFill="1" applyBorder="1" applyAlignment="1">
      <alignment horizontal="center" vertical="center" wrapText="1"/>
    </xf>
    <xf numFmtId="49" fontId="25" fillId="2" borderId="1" xfId="0" applyNumberFormat="1" applyFont="1" applyFill="1" applyBorder="1" applyAlignment="1">
      <alignment horizontal="center" vertical="center" wrapText="1"/>
    </xf>
    <xf numFmtId="49" fontId="34" fillId="2" borderId="1" xfId="0" applyNumberFormat="1" applyFont="1" applyFill="1" applyBorder="1" applyAlignment="1">
      <alignment horizontal="center" vertical="center" wrapText="1"/>
    </xf>
    <xf numFmtId="0" fontId="34" fillId="2" borderId="1" xfId="0" applyFont="1" applyFill="1" applyBorder="1" applyAlignment="1">
      <alignment horizontal="left" vertical="center" wrapText="1"/>
    </xf>
    <xf numFmtId="4" fontId="34" fillId="2" borderId="1" xfId="0" applyNumberFormat="1" applyFont="1" applyFill="1" applyBorder="1" applyAlignment="1">
      <alignment horizontal="center" vertical="center" wrapText="1"/>
    </xf>
    <xf numFmtId="0" fontId="34" fillId="2" borderId="1" xfId="0" applyFont="1" applyFill="1" applyBorder="1" applyAlignment="1">
      <alignment horizontal="center" vertical="center" wrapText="1"/>
    </xf>
    <xf numFmtId="165" fontId="25" fillId="2" borderId="1" xfId="3" applyFont="1" applyFill="1" applyBorder="1" applyAlignment="1">
      <alignment horizontal="center" vertical="center" wrapText="1"/>
    </xf>
    <xf numFmtId="3" fontId="25" fillId="2" borderId="1" xfId="0" applyNumberFormat="1" applyFont="1" applyFill="1" applyBorder="1" applyAlignment="1">
      <alignment vertical="center" wrapText="1"/>
    </xf>
    <xf numFmtId="4" fontId="25" fillId="2" borderId="1" xfId="0" applyNumberFormat="1" applyFont="1" applyFill="1" applyBorder="1" applyAlignment="1">
      <alignment vertical="center" wrapText="1"/>
    </xf>
    <xf numFmtId="1" fontId="25" fillId="2" borderId="1" xfId="2" applyNumberFormat="1" applyFont="1" applyFill="1" applyBorder="1" applyAlignment="1">
      <alignment horizontal="left" vertical="center" wrapText="1"/>
    </xf>
    <xf numFmtId="4" fontId="25" fillId="2" borderId="1" xfId="0" applyNumberFormat="1" applyFont="1" applyFill="1" applyBorder="1" applyAlignment="1">
      <alignment horizontal="right" vertical="center" wrapText="1"/>
    </xf>
    <xf numFmtId="2" fontId="25" fillId="2" borderId="1" xfId="0" applyNumberFormat="1" applyFont="1" applyFill="1" applyBorder="1" applyAlignment="1">
      <alignment horizontal="center" vertical="center" wrapText="1"/>
    </xf>
    <xf numFmtId="3" fontId="34" fillId="2" borderId="1" xfId="0" applyNumberFormat="1" applyFont="1" applyFill="1" applyBorder="1" applyAlignment="1">
      <alignment horizontal="center" vertical="center" wrapText="1"/>
    </xf>
    <xf numFmtId="0" fontId="32" fillId="2" borderId="0" xfId="0" applyFont="1" applyFill="1"/>
    <xf numFmtId="0" fontId="32" fillId="2" borderId="0" xfId="0" applyFont="1" applyFill="1" applyAlignment="1">
      <alignment vertical="center"/>
    </xf>
    <xf numFmtId="165" fontId="32" fillId="2" borderId="0" xfId="3" applyFont="1" applyFill="1"/>
    <xf numFmtId="0" fontId="20" fillId="2" borderId="1" xfId="0" applyFont="1" applyFill="1" applyBorder="1" applyAlignment="1">
      <alignment horizontal="center" vertical="center" wrapText="1"/>
    </xf>
    <xf numFmtId="1" fontId="25" fillId="2" borderId="1" xfId="0" applyNumberFormat="1" applyFont="1" applyFill="1" applyBorder="1" applyAlignment="1">
      <alignment horizontal="center" vertical="center" wrapText="1"/>
    </xf>
    <xf numFmtId="0" fontId="25" fillId="2" borderId="1" xfId="0" applyFont="1" applyFill="1" applyBorder="1" applyAlignment="1">
      <alignment horizontal="left" vertical="center" wrapText="1"/>
    </xf>
    <xf numFmtId="0" fontId="25" fillId="2" borderId="1" xfId="0" applyFont="1" applyFill="1" applyBorder="1" applyAlignment="1">
      <alignment horizontal="center" vertical="center" wrapText="1"/>
    </xf>
    <xf numFmtId="1" fontId="0" fillId="2" borderId="0" xfId="0" applyNumberFormat="1" applyFill="1"/>
    <xf numFmtId="0" fontId="0" fillId="2" borderId="0" xfId="0" applyFill="1"/>
    <xf numFmtId="0" fontId="25" fillId="2" borderId="9" xfId="5" applyFont="1" applyFill="1" applyBorder="1" applyAlignment="1">
      <alignment horizontal="left" vertical="center" wrapText="1"/>
    </xf>
    <xf numFmtId="4" fontId="0" fillId="2" borderId="0" xfId="0" applyNumberFormat="1" applyFill="1"/>
    <xf numFmtId="4" fontId="17" fillId="0" borderId="3" xfId="0" applyNumberFormat="1" applyFont="1" applyBorder="1" applyAlignment="1">
      <alignment horizontal="center"/>
    </xf>
    <xf numFmtId="0" fontId="17" fillId="0" borderId="3" xfId="0" applyFont="1" applyBorder="1" applyAlignment="1">
      <alignment horizontal="center"/>
    </xf>
    <xf numFmtId="49" fontId="8" fillId="5" borderId="0" xfId="0" applyNumberFormat="1" applyFont="1" applyFill="1" applyAlignment="1">
      <alignment horizontal="center" vertical="center" wrapText="1"/>
    </xf>
    <xf numFmtId="49" fontId="8" fillId="8" borderId="0" xfId="0" applyNumberFormat="1" applyFont="1" applyFill="1" applyAlignment="1">
      <alignment horizontal="center" vertical="center" wrapText="1"/>
    </xf>
    <xf numFmtId="4" fontId="18" fillId="0" borderId="8" xfId="0" applyNumberFormat="1" applyFont="1" applyBorder="1" applyAlignment="1">
      <alignment horizontal="center"/>
    </xf>
    <xf numFmtId="0" fontId="18" fillId="0" borderId="8" xfId="0" applyFont="1" applyBorder="1" applyAlignment="1">
      <alignment horizontal="center"/>
    </xf>
    <xf numFmtId="0" fontId="8" fillId="5" borderId="1" xfId="0" applyFont="1" applyFill="1" applyBorder="1" applyAlignment="1">
      <alignment horizontal="center"/>
    </xf>
    <xf numFmtId="4" fontId="8" fillId="5" borderId="1" xfId="0" applyNumberFormat="1" applyFont="1" applyFill="1" applyBorder="1" applyAlignment="1">
      <alignment horizontal="center"/>
    </xf>
    <xf numFmtId="0" fontId="8" fillId="0" borderId="3" xfId="0" applyFont="1" applyBorder="1" applyAlignment="1">
      <alignment horizontal="center"/>
    </xf>
    <xf numFmtId="0" fontId="8" fillId="8" borderId="1" xfId="0" applyFont="1" applyFill="1" applyBorder="1" applyAlignment="1">
      <alignment horizontal="center"/>
    </xf>
    <xf numFmtId="166" fontId="8" fillId="8" borderId="1" xfId="0" applyNumberFormat="1" applyFont="1" applyFill="1" applyBorder="1" applyAlignment="1">
      <alignment horizontal="center"/>
    </xf>
    <xf numFmtId="166" fontId="10" fillId="2" borderId="7" xfId="0" applyNumberFormat="1" applyFont="1" applyFill="1" applyBorder="1" applyAlignment="1">
      <alignment horizontal="center" vertical="center" wrapText="1"/>
    </xf>
    <xf numFmtId="0" fontId="0" fillId="0" borderId="9" xfId="0" applyBorder="1"/>
    <xf numFmtId="166" fontId="9" fillId="5" borderId="7" xfId="0" applyNumberFormat="1" applyFont="1" applyFill="1" applyBorder="1" applyAlignment="1">
      <alignment horizontal="center" vertical="center" wrapText="1"/>
    </xf>
    <xf numFmtId="166" fontId="9" fillId="5" borderId="8" xfId="0" applyNumberFormat="1" applyFont="1" applyFill="1" applyBorder="1" applyAlignment="1">
      <alignment horizontal="center" vertical="center" wrapText="1"/>
    </xf>
    <xf numFmtId="166" fontId="9" fillId="5" borderId="9" xfId="0" applyNumberFormat="1" applyFont="1" applyFill="1" applyBorder="1" applyAlignment="1">
      <alignment horizontal="center" vertical="center" wrapText="1"/>
    </xf>
    <xf numFmtId="166" fontId="9" fillId="2" borderId="7" xfId="0" applyNumberFormat="1" applyFont="1" applyFill="1" applyBorder="1" applyAlignment="1">
      <alignment horizontal="center" vertical="center" wrapText="1"/>
    </xf>
    <xf numFmtId="166" fontId="9" fillId="2" borderId="9" xfId="0" applyNumberFormat="1" applyFont="1" applyFill="1" applyBorder="1" applyAlignment="1">
      <alignment horizontal="center" vertical="center" wrapText="1"/>
    </xf>
    <xf numFmtId="166" fontId="9" fillId="2" borderId="8" xfId="0" applyNumberFormat="1" applyFont="1" applyFill="1" applyBorder="1" applyAlignment="1">
      <alignment horizontal="center" vertical="center" wrapText="1"/>
    </xf>
    <xf numFmtId="166" fontId="10" fillId="5" borderId="7" xfId="0" applyNumberFormat="1" applyFont="1" applyFill="1" applyBorder="1" applyAlignment="1">
      <alignment horizontal="center" vertical="center" wrapText="1"/>
    </xf>
    <xf numFmtId="0" fontId="0" fillId="5" borderId="8" xfId="0" applyFill="1" applyBorder="1"/>
    <xf numFmtId="0" fontId="0" fillId="5" borderId="9" xfId="0" applyFill="1" applyBorder="1"/>
    <xf numFmtId="0" fontId="0" fillId="0" borderId="8" xfId="0" applyBorder="1"/>
    <xf numFmtId="4" fontId="9" fillId="2" borderId="1" xfId="0" applyNumberFormat="1" applyFont="1" applyFill="1" applyBorder="1" applyAlignment="1">
      <alignment horizontal="center" vertical="center" wrapText="1"/>
    </xf>
    <xf numFmtId="4" fontId="9" fillId="5" borderId="1" xfId="0" applyNumberFormat="1" applyFont="1" applyFill="1" applyBorder="1" applyAlignment="1">
      <alignment horizontal="center" vertical="center" wrapText="1"/>
    </xf>
    <xf numFmtId="0" fontId="9" fillId="9" borderId="1" xfId="0" applyFont="1" applyFill="1" applyBorder="1" applyAlignment="1">
      <alignment horizontal="center" wrapText="1"/>
    </xf>
    <xf numFmtId="16" fontId="9" fillId="0" borderId="1" xfId="0" applyNumberFormat="1" applyFont="1" applyBorder="1" applyAlignment="1">
      <alignment horizontal="center" vertical="center" wrapText="1"/>
    </xf>
    <xf numFmtId="0" fontId="9" fillId="0" borderId="1" xfId="0" applyFont="1" applyBorder="1" applyAlignment="1">
      <alignment vertical="top" wrapText="1"/>
    </xf>
    <xf numFmtId="0" fontId="16" fillId="10" borderId="1" xfId="0" applyFont="1" applyFill="1" applyBorder="1" applyAlignment="1">
      <alignment horizontal="center" vertical="center" wrapText="1"/>
    </xf>
    <xf numFmtId="0" fontId="16" fillId="10" borderId="7" xfId="0" applyFont="1" applyFill="1" applyBorder="1" applyAlignment="1">
      <alignment horizontal="center" wrapText="1"/>
    </xf>
    <xf numFmtId="0" fontId="16" fillId="10" borderId="2" xfId="0" applyFont="1" applyFill="1" applyBorder="1" applyAlignment="1">
      <alignment horizontal="center" wrapText="1"/>
    </xf>
    <xf numFmtId="0" fontId="16" fillId="10" borderId="3" xfId="0" applyFont="1" applyFill="1" applyBorder="1" applyAlignment="1">
      <alignment horizontal="center" wrapText="1"/>
    </xf>
    <xf numFmtId="0" fontId="16" fillId="10" borderId="4" xfId="0" applyFont="1" applyFill="1" applyBorder="1" applyAlignment="1">
      <alignment horizontal="center" wrapText="1"/>
    </xf>
    <xf numFmtId="0" fontId="16" fillId="10" borderId="11" xfId="0" applyFont="1" applyFill="1" applyBorder="1" applyAlignment="1">
      <alignment horizontal="center" wrapText="1"/>
    </xf>
    <xf numFmtId="0" fontId="16" fillId="10" borderId="10" xfId="0" applyFont="1" applyFill="1" applyBorder="1" applyAlignment="1">
      <alignment horizontal="center" wrapText="1"/>
    </xf>
    <xf numFmtId="0" fontId="16" fillId="10" borderId="12" xfId="0" applyFont="1" applyFill="1" applyBorder="1" applyAlignment="1">
      <alignment horizontal="center" wrapText="1"/>
    </xf>
    <xf numFmtId="0" fontId="16" fillId="10" borderId="8" xfId="0" applyFont="1" applyFill="1" applyBorder="1" applyAlignment="1">
      <alignment horizontal="center" wrapText="1"/>
    </xf>
    <xf numFmtId="0" fontId="16" fillId="10" borderId="9" xfId="0" applyFont="1" applyFill="1" applyBorder="1" applyAlignment="1">
      <alignment horizontal="center" wrapText="1"/>
    </xf>
    <xf numFmtId="0" fontId="16" fillId="7" borderId="7" xfId="0" applyFont="1" applyFill="1" applyBorder="1" applyAlignment="1">
      <alignment horizontal="center" wrapText="1"/>
    </xf>
    <xf numFmtId="0" fontId="16" fillId="7" borderId="8" xfId="0" applyFont="1" applyFill="1" applyBorder="1" applyAlignment="1">
      <alignment horizontal="center" wrapText="1"/>
    </xf>
    <xf numFmtId="0" fontId="16" fillId="7" borderId="9" xfId="0" applyFont="1" applyFill="1" applyBorder="1" applyAlignment="1">
      <alignment horizontal="center" wrapText="1"/>
    </xf>
    <xf numFmtId="166" fontId="9" fillId="0" borderId="2" xfId="0" applyNumberFormat="1" applyFont="1" applyBorder="1" applyAlignment="1">
      <alignment horizontal="center" vertical="center" wrapText="1"/>
    </xf>
    <xf numFmtId="166" fontId="9" fillId="0" borderId="3" xfId="0" applyNumberFormat="1" applyFont="1" applyBorder="1" applyAlignment="1">
      <alignment horizontal="center" vertical="center" wrapText="1"/>
    </xf>
    <xf numFmtId="166" fontId="9" fillId="0" borderId="4" xfId="0" applyNumberFormat="1" applyFont="1" applyBorder="1" applyAlignment="1">
      <alignment horizontal="center" vertical="center" wrapText="1"/>
    </xf>
    <xf numFmtId="166" fontId="9" fillId="0" borderId="11" xfId="0" applyNumberFormat="1" applyFont="1" applyBorder="1" applyAlignment="1">
      <alignment horizontal="center" vertical="center" wrapText="1"/>
    </xf>
    <xf numFmtId="166" fontId="9" fillId="0" borderId="10" xfId="0" applyNumberFormat="1" applyFont="1" applyBorder="1" applyAlignment="1">
      <alignment horizontal="center" vertical="center" wrapText="1"/>
    </xf>
    <xf numFmtId="166" fontId="9" fillId="0" borderId="12" xfId="0" applyNumberFormat="1" applyFont="1" applyBorder="1" applyAlignment="1">
      <alignment horizontal="center" vertical="center" wrapText="1"/>
    </xf>
    <xf numFmtId="166" fontId="9" fillId="5" borderId="2" xfId="0" applyNumberFormat="1" applyFont="1" applyFill="1" applyBorder="1" applyAlignment="1">
      <alignment horizontal="center" vertical="center" wrapText="1"/>
    </xf>
    <xf numFmtId="166" fontId="9" fillId="5" borderId="3" xfId="0" applyNumberFormat="1" applyFont="1" applyFill="1" applyBorder="1" applyAlignment="1">
      <alignment horizontal="center" vertical="center" wrapText="1"/>
    </xf>
    <xf numFmtId="166" fontId="9" fillId="5" borderId="4" xfId="0" applyNumberFormat="1" applyFont="1" applyFill="1" applyBorder="1" applyAlignment="1">
      <alignment horizontal="center" vertical="center" wrapText="1"/>
    </xf>
    <xf numFmtId="166" fontId="9" fillId="5" borderId="11" xfId="0" applyNumberFormat="1" applyFont="1" applyFill="1" applyBorder="1" applyAlignment="1">
      <alignment horizontal="center" vertical="center" wrapText="1"/>
    </xf>
    <xf numFmtId="166" fontId="9" fillId="5" borderId="10" xfId="0" applyNumberFormat="1" applyFont="1" applyFill="1" applyBorder="1" applyAlignment="1">
      <alignment horizontal="center" vertical="center" wrapText="1"/>
    </xf>
    <xf numFmtId="166" fontId="9" fillId="5" borderId="12" xfId="0" applyNumberFormat="1" applyFont="1" applyFill="1" applyBorder="1" applyAlignment="1">
      <alignment horizontal="center" vertical="center" wrapText="1"/>
    </xf>
    <xf numFmtId="0" fontId="9" fillId="2" borderId="1" xfId="0" applyFont="1" applyFill="1" applyBorder="1" applyAlignment="1">
      <alignment horizontal="center" vertical="center" wrapText="1"/>
    </xf>
    <xf numFmtId="0" fontId="10" fillId="2" borderId="1" xfId="0" applyFont="1" applyFill="1" applyBorder="1" applyAlignment="1">
      <alignment horizontal="center" vertical="center" wrapText="1"/>
    </xf>
    <xf numFmtId="166" fontId="10" fillId="2" borderId="2" xfId="0" applyNumberFormat="1" applyFont="1" applyFill="1" applyBorder="1" applyAlignment="1">
      <alignment horizontal="center" vertical="center" wrapText="1"/>
    </xf>
    <xf numFmtId="166" fontId="10" fillId="2" borderId="4" xfId="0" applyNumberFormat="1" applyFont="1" applyFill="1" applyBorder="1" applyAlignment="1">
      <alignment horizontal="center" vertical="center" wrapText="1"/>
    </xf>
    <xf numFmtId="166" fontId="10" fillId="2" borderId="11" xfId="0" applyNumberFormat="1" applyFont="1" applyFill="1" applyBorder="1" applyAlignment="1">
      <alignment horizontal="center" vertical="center" wrapText="1"/>
    </xf>
    <xf numFmtId="166" fontId="10" fillId="2" borderId="12" xfId="0" applyNumberFormat="1" applyFont="1" applyFill="1" applyBorder="1" applyAlignment="1">
      <alignment horizontal="center" vertical="center" wrapText="1"/>
    </xf>
    <xf numFmtId="4" fontId="10" fillId="0" borderId="5" xfId="0" applyNumberFormat="1" applyFont="1" applyBorder="1" applyAlignment="1">
      <alignment horizontal="center" vertical="center"/>
    </xf>
    <xf numFmtId="4" fontId="10" fillId="0" borderId="6" xfId="0" applyNumberFormat="1" applyFont="1" applyBorder="1" applyAlignment="1">
      <alignment horizontal="center" vertical="center"/>
    </xf>
    <xf numFmtId="166" fontId="9" fillId="0" borderId="7" xfId="0" applyNumberFormat="1" applyFont="1" applyBorder="1" applyAlignment="1">
      <alignment horizontal="center" vertical="center" wrapText="1"/>
    </xf>
    <xf numFmtId="166" fontId="9" fillId="0" borderId="8" xfId="0" applyNumberFormat="1" applyFont="1" applyBorder="1" applyAlignment="1">
      <alignment horizontal="center" vertical="center" wrapText="1"/>
    </xf>
    <xf numFmtId="166" fontId="9" fillId="0" borderId="9" xfId="0" applyNumberFormat="1" applyFont="1" applyBorder="1" applyAlignment="1">
      <alignment horizontal="center" vertical="center" wrapText="1"/>
    </xf>
    <xf numFmtId="166" fontId="10" fillId="0" borderId="7" xfId="0" applyNumberFormat="1" applyFont="1" applyBorder="1" applyAlignment="1">
      <alignment horizontal="center" vertical="center" wrapText="1"/>
    </xf>
    <xf numFmtId="166" fontId="10" fillId="0" borderId="9" xfId="0" applyNumberFormat="1" applyFont="1" applyBorder="1" applyAlignment="1">
      <alignment horizontal="center" vertical="center" wrapText="1"/>
    </xf>
    <xf numFmtId="166" fontId="10" fillId="0" borderId="8" xfId="0" applyNumberFormat="1" applyFont="1" applyBorder="1" applyAlignment="1">
      <alignment horizontal="center" vertical="center" wrapText="1"/>
    </xf>
    <xf numFmtId="0" fontId="9" fillId="9" borderId="1" xfId="0" applyFont="1" applyFill="1" applyBorder="1" applyAlignment="1">
      <alignment horizontal="center" vertical="center" wrapText="1"/>
    </xf>
    <xf numFmtId="0" fontId="9" fillId="2" borderId="1" xfId="0" applyFont="1" applyFill="1" applyBorder="1" applyAlignment="1">
      <alignment vertical="top" wrapText="1"/>
    </xf>
    <xf numFmtId="0" fontId="9" fillId="2" borderId="5" xfId="0" applyFont="1" applyFill="1" applyBorder="1" applyAlignment="1">
      <alignment horizontal="center" vertical="center" wrapText="1"/>
    </xf>
    <xf numFmtId="0" fontId="9" fillId="2" borderId="13" xfId="0" applyFont="1" applyFill="1" applyBorder="1" applyAlignment="1">
      <alignment horizontal="center" vertical="center" wrapText="1"/>
    </xf>
    <xf numFmtId="0" fontId="9" fillId="2" borderId="6" xfId="0" applyFont="1" applyFill="1" applyBorder="1" applyAlignment="1">
      <alignment horizontal="center" vertical="center" wrapText="1"/>
    </xf>
    <xf numFmtId="166" fontId="10" fillId="2" borderId="3" xfId="0" applyNumberFormat="1" applyFont="1" applyFill="1" applyBorder="1" applyAlignment="1">
      <alignment horizontal="center" vertical="center" wrapText="1"/>
    </xf>
    <xf numFmtId="166" fontId="10" fillId="2" borderId="10" xfId="0" applyNumberFormat="1" applyFont="1" applyFill="1" applyBorder="1" applyAlignment="1">
      <alignment horizontal="center" vertical="center" wrapText="1"/>
    </xf>
    <xf numFmtId="166" fontId="10" fillId="5" borderId="2" xfId="0" applyNumberFormat="1" applyFont="1" applyFill="1" applyBorder="1" applyAlignment="1">
      <alignment horizontal="center" vertical="center" wrapText="1"/>
    </xf>
    <xf numFmtId="166" fontId="10" fillId="5" borderId="3" xfId="0" applyNumberFormat="1" applyFont="1" applyFill="1" applyBorder="1" applyAlignment="1">
      <alignment horizontal="center" vertical="center" wrapText="1"/>
    </xf>
    <xf numFmtId="166" fontId="10" fillId="5" borderId="4" xfId="0" applyNumberFormat="1" applyFont="1" applyFill="1" applyBorder="1" applyAlignment="1">
      <alignment horizontal="center" vertical="center" wrapText="1"/>
    </xf>
    <xf numFmtId="166" fontId="10" fillId="5" borderId="11" xfId="0" applyNumberFormat="1" applyFont="1" applyFill="1" applyBorder="1" applyAlignment="1">
      <alignment horizontal="center" vertical="center" wrapText="1"/>
    </xf>
    <xf numFmtId="166" fontId="10" fillId="5" borderId="10" xfId="0" applyNumberFormat="1" applyFont="1" applyFill="1" applyBorder="1" applyAlignment="1">
      <alignment horizontal="center" vertical="center" wrapText="1"/>
    </xf>
    <xf numFmtId="166" fontId="10" fillId="5" borderId="12" xfId="0" applyNumberFormat="1" applyFont="1" applyFill="1" applyBorder="1" applyAlignment="1">
      <alignment horizontal="center" vertical="center" wrapText="1"/>
    </xf>
    <xf numFmtId="166" fontId="9" fillId="2" borderId="1" xfId="0" applyNumberFormat="1" applyFont="1" applyFill="1" applyBorder="1" applyAlignment="1">
      <alignment horizontal="center" vertical="center" wrapText="1"/>
    </xf>
    <xf numFmtId="0" fontId="10" fillId="0" borderId="1" xfId="0" applyFont="1" applyBorder="1" applyAlignment="1">
      <alignment horizontal="center" vertical="center" wrapText="1"/>
    </xf>
    <xf numFmtId="166" fontId="10" fillId="0" borderId="1" xfId="0" applyNumberFormat="1" applyFont="1" applyBorder="1" applyAlignment="1">
      <alignment horizontal="center" vertical="center" wrapText="1"/>
    </xf>
    <xf numFmtId="4" fontId="10" fillId="5" borderId="1" xfId="0" applyNumberFormat="1" applyFont="1" applyFill="1" applyBorder="1" applyAlignment="1">
      <alignment horizontal="center" vertical="center" wrapText="1"/>
    </xf>
    <xf numFmtId="4" fontId="10" fillId="0" borderId="1" xfId="0" applyNumberFormat="1" applyFont="1" applyBorder="1" applyAlignment="1">
      <alignment horizontal="center" vertical="center" wrapText="1"/>
    </xf>
    <xf numFmtId="4" fontId="10" fillId="2" borderId="1" xfId="0" applyNumberFormat="1"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9" fillId="2" borderId="11" xfId="0" applyFont="1" applyFill="1" applyBorder="1" applyAlignment="1">
      <alignment horizontal="center" vertical="center" wrapText="1"/>
    </xf>
    <xf numFmtId="0" fontId="9" fillId="2" borderId="12" xfId="0" applyFont="1" applyFill="1" applyBorder="1" applyAlignment="1">
      <alignment horizontal="center" vertical="center" wrapText="1"/>
    </xf>
    <xf numFmtId="0" fontId="9" fillId="0" borderId="1" xfId="0" applyFont="1" applyBorder="1" applyAlignment="1">
      <alignment horizontal="center" vertical="center" wrapText="1"/>
    </xf>
    <xf numFmtId="166" fontId="9" fillId="0" borderId="1" xfId="0" applyNumberFormat="1" applyFont="1" applyBorder="1" applyAlignment="1">
      <alignment horizontal="center" vertical="center" wrapText="1"/>
    </xf>
    <xf numFmtId="166" fontId="9" fillId="5" borderId="1" xfId="0" applyNumberFormat="1" applyFont="1" applyFill="1" applyBorder="1" applyAlignment="1">
      <alignment horizontal="center" vertical="center" wrapText="1"/>
    </xf>
    <xf numFmtId="166" fontId="10" fillId="2" borderId="1" xfId="0" applyNumberFormat="1" applyFont="1" applyFill="1" applyBorder="1" applyAlignment="1">
      <alignment horizontal="center" vertical="center" wrapText="1"/>
    </xf>
    <xf numFmtId="166" fontId="9" fillId="8" borderId="1" xfId="0" applyNumberFormat="1" applyFont="1" applyFill="1" applyBorder="1" applyAlignment="1">
      <alignment horizontal="center" vertical="center" wrapText="1"/>
    </xf>
    <xf numFmtId="0" fontId="10" fillId="7" borderId="1" xfId="0" applyFont="1" applyFill="1" applyBorder="1" applyAlignment="1">
      <alignment horizontal="center" wrapText="1"/>
    </xf>
    <xf numFmtId="166" fontId="10" fillId="5" borderId="1" xfId="0" applyNumberFormat="1" applyFont="1" applyFill="1" applyBorder="1" applyAlignment="1">
      <alignment horizontal="center" vertical="center" wrapText="1"/>
    </xf>
    <xf numFmtId="166" fontId="10" fillId="8" borderId="1" xfId="0" applyNumberFormat="1" applyFont="1" applyFill="1" applyBorder="1" applyAlignment="1">
      <alignment horizontal="center" vertical="center" wrapText="1"/>
    </xf>
    <xf numFmtId="0" fontId="10" fillId="9" borderId="1" xfId="0" applyFont="1" applyFill="1" applyBorder="1" applyAlignment="1">
      <alignment horizontal="center" wrapText="1"/>
    </xf>
    <xf numFmtId="0" fontId="9" fillId="2" borderId="7" xfId="0" applyFont="1" applyFill="1" applyBorder="1" applyAlignment="1">
      <alignment horizontal="center" vertical="center" wrapText="1"/>
    </xf>
    <xf numFmtId="0" fontId="9" fillId="2" borderId="9" xfId="0" applyFont="1" applyFill="1" applyBorder="1" applyAlignment="1">
      <alignment horizontal="center" vertical="center" wrapText="1"/>
    </xf>
    <xf numFmtId="166" fontId="12" fillId="2" borderId="1" xfId="0" applyNumberFormat="1" applyFont="1" applyFill="1" applyBorder="1" applyAlignment="1">
      <alignment horizontal="center" vertical="center" wrapText="1"/>
    </xf>
    <xf numFmtId="166" fontId="13" fillId="2" borderId="1" xfId="0" applyNumberFormat="1" applyFont="1" applyFill="1" applyBorder="1" applyAlignment="1">
      <alignment horizontal="center" vertical="center" wrapText="1"/>
    </xf>
    <xf numFmtId="0" fontId="13" fillId="2" borderId="5" xfId="0" applyFont="1" applyFill="1" applyBorder="1" applyAlignment="1">
      <alignment horizontal="center" vertical="center" wrapText="1"/>
    </xf>
    <xf numFmtId="0" fontId="13" fillId="2" borderId="13" xfId="0" applyFont="1" applyFill="1" applyBorder="1" applyAlignment="1">
      <alignment horizontal="center" vertical="center" wrapText="1"/>
    </xf>
    <xf numFmtId="0" fontId="13" fillId="2" borderId="6" xfId="0" applyFont="1" applyFill="1" applyBorder="1" applyAlignment="1">
      <alignment horizontal="center" vertical="center" wrapText="1"/>
    </xf>
    <xf numFmtId="0" fontId="12" fillId="0" borderId="1" xfId="0" applyFont="1" applyBorder="1" applyAlignment="1">
      <alignment horizontal="center" vertical="center" wrapText="1"/>
    </xf>
    <xf numFmtId="0" fontId="13" fillId="2" borderId="1" xfId="0" applyFont="1" applyFill="1" applyBorder="1" applyAlignment="1">
      <alignment horizontal="center" vertical="center" wrapText="1"/>
    </xf>
    <xf numFmtId="166" fontId="13" fillId="0" borderId="1" xfId="0" applyNumberFormat="1" applyFont="1" applyBorder="1" applyAlignment="1">
      <alignment horizontal="center" vertical="center" wrapText="1"/>
    </xf>
    <xf numFmtId="166" fontId="12" fillId="0" borderId="1" xfId="0" applyNumberFormat="1" applyFont="1" applyBorder="1" applyAlignment="1">
      <alignment horizontal="center" vertical="center" wrapText="1"/>
    </xf>
    <xf numFmtId="166" fontId="5" fillId="2" borderId="1" xfId="0" applyNumberFormat="1" applyFont="1" applyFill="1" applyBorder="1" applyAlignment="1">
      <alignment horizontal="center" vertical="center" wrapText="1"/>
    </xf>
    <xf numFmtId="0" fontId="11" fillId="9" borderId="1" xfId="0" applyFont="1" applyFill="1" applyBorder="1" applyAlignment="1">
      <alignment horizontal="center" wrapText="1"/>
    </xf>
    <xf numFmtId="0" fontId="11" fillId="4" borderId="1" xfId="0" applyFont="1" applyFill="1" applyBorder="1" applyAlignment="1">
      <alignment horizontal="center" vertical="center" wrapText="1"/>
    </xf>
    <xf numFmtId="166" fontId="11" fillId="4" borderId="1" xfId="0" applyNumberFormat="1" applyFont="1" applyFill="1" applyBorder="1" applyAlignment="1">
      <alignment horizontal="right" wrapText="1"/>
    </xf>
    <xf numFmtId="0" fontId="11" fillId="2" borderId="1" xfId="0" applyFont="1" applyFill="1" applyBorder="1" applyAlignment="1">
      <alignment horizontal="center" vertical="center" wrapText="1"/>
    </xf>
    <xf numFmtId="166" fontId="11" fillId="2" borderId="1" xfId="0" applyNumberFormat="1" applyFont="1" applyFill="1" applyBorder="1" applyAlignment="1">
      <alignment horizontal="center" wrapText="1"/>
    </xf>
    <xf numFmtId="0" fontId="10" fillId="0" borderId="3" xfId="0" applyFont="1" applyBorder="1" applyAlignment="1">
      <alignment horizontal="center"/>
    </xf>
    <xf numFmtId="0" fontId="25" fillId="2" borderId="5" xfId="0" applyFont="1" applyFill="1" applyBorder="1" applyAlignment="1">
      <alignment horizontal="center" vertical="center" wrapText="1"/>
    </xf>
    <xf numFmtId="0" fontId="25" fillId="2" borderId="13" xfId="0" applyFont="1" applyFill="1" applyBorder="1" applyAlignment="1">
      <alignment horizontal="center" vertical="center" wrapText="1"/>
    </xf>
    <xf numFmtId="0" fontId="25" fillId="2" borderId="6" xfId="0" applyFont="1" applyFill="1" applyBorder="1" applyAlignment="1">
      <alignment horizontal="center" vertical="center" wrapText="1"/>
    </xf>
    <xf numFmtId="49" fontId="25" fillId="2" borderId="5" xfId="0" applyNumberFormat="1" applyFont="1" applyFill="1" applyBorder="1" applyAlignment="1">
      <alignment horizontal="center" vertical="center" wrapText="1"/>
    </xf>
    <xf numFmtId="49" fontId="25" fillId="2" borderId="13" xfId="0" applyNumberFormat="1" applyFont="1" applyFill="1" applyBorder="1" applyAlignment="1">
      <alignment horizontal="center" vertical="center" wrapText="1"/>
    </xf>
    <xf numFmtId="49" fontId="25" fillId="2" borderId="6" xfId="0" applyNumberFormat="1" applyFont="1" applyFill="1" applyBorder="1" applyAlignment="1">
      <alignment horizontal="center" vertical="center" wrapText="1"/>
    </xf>
    <xf numFmtId="4" fontId="29" fillId="2" borderId="0" xfId="0" applyNumberFormat="1" applyFont="1" applyFill="1" applyAlignment="1">
      <alignment horizontal="center"/>
    </xf>
    <xf numFmtId="1" fontId="25" fillId="2" borderId="1" xfId="0" applyNumberFormat="1" applyFont="1" applyFill="1" applyBorder="1" applyAlignment="1">
      <alignment horizontal="center" vertical="center" wrapText="1"/>
    </xf>
    <xf numFmtId="0" fontId="25" fillId="2" borderId="1" xfId="0" applyFont="1" applyFill="1" applyBorder="1" applyAlignment="1">
      <alignment horizontal="left" vertical="center" wrapText="1"/>
    </xf>
    <xf numFmtId="0" fontId="25" fillId="2" borderId="1" xfId="0" applyFont="1" applyFill="1" applyBorder="1" applyAlignment="1">
      <alignment horizontal="center" vertical="center" wrapText="1"/>
    </xf>
    <xf numFmtId="0" fontId="20" fillId="2" borderId="0" xfId="0" applyFont="1" applyFill="1" applyAlignment="1">
      <alignment horizontal="center" vertical="center" wrapText="1"/>
    </xf>
    <xf numFmtId="1" fontId="20" fillId="2" borderId="1" xfId="0" applyNumberFormat="1" applyFont="1" applyFill="1" applyBorder="1" applyAlignment="1">
      <alignment horizontal="center" vertical="center" wrapText="1"/>
    </xf>
    <xf numFmtId="0" fontId="20" fillId="2" borderId="1" xfId="0" applyFont="1" applyFill="1" applyBorder="1" applyAlignment="1">
      <alignment horizontal="center" vertical="center" wrapText="1"/>
    </xf>
  </cellXfs>
  <cellStyles count="6">
    <cellStyle name="Звичайний" xfId="0" builtinId="0"/>
    <cellStyle name="Обычный 17" xfId="1" xr:uid="{00000000-0005-0000-0000-000001000000}"/>
    <cellStyle name="Обычный 9" xfId="4" xr:uid="{00000000-0005-0000-0000-000002000000}"/>
    <cellStyle name="Обычный_дод 3" xfId="5" xr:uid="{00000000-0005-0000-0000-000003000000}"/>
    <cellStyle name="Обычный_Лист1" xfId="2" xr:uid="{00000000-0005-0000-0000-000004000000}"/>
    <cellStyle name="Фінансовий" xfId="3" builtin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фіс">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Офіс">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87"/>
  <sheetViews>
    <sheetView view="pageBreakPreview" topLeftCell="A2" zoomScale="75" zoomScaleNormal="75" zoomScaleSheetLayoutView="75" workbookViewId="0">
      <pane ySplit="3" topLeftCell="A5" activePane="bottomLeft" state="frozen"/>
      <selection activeCell="A2" sqref="A2"/>
      <selection pane="bottomLeft" activeCell="J6" sqref="J6:L6"/>
    </sheetView>
  </sheetViews>
  <sheetFormatPr defaultColWidth="9.109375" defaultRowHeight="17.399999999999999" x14ac:dyDescent="0.35"/>
  <cols>
    <col min="1" max="1" width="9.88671875" style="15" customWidth="1"/>
    <col min="2" max="2" width="48.88671875" style="16" customWidth="1"/>
    <col min="3" max="3" width="20.6640625" style="17" customWidth="1"/>
    <col min="4" max="4" width="14.5546875" style="15" customWidth="1"/>
    <col min="5" max="5" width="7.88671875" style="15" customWidth="1"/>
    <col min="6" max="6" width="7.5546875" style="15" customWidth="1"/>
    <col min="7" max="7" width="5" style="1" customWidth="1"/>
    <col min="8" max="8" width="9.88671875" style="1" customWidth="1"/>
    <col min="9" max="9" width="5.5546875" style="1" hidden="1" customWidth="1"/>
    <col min="10" max="10" width="7.109375" style="1" customWidth="1"/>
    <col min="11" max="11" width="4.88671875" style="1" customWidth="1"/>
    <col min="12" max="12" width="4.6640625" style="1" customWidth="1"/>
    <col min="13" max="13" width="7.33203125" style="1" customWidth="1"/>
    <col min="14" max="14" width="9.6640625" style="1" customWidth="1"/>
    <col min="15" max="15" width="7.33203125" style="1" customWidth="1"/>
    <col min="16" max="16" width="6.33203125" style="1" customWidth="1"/>
    <col min="17" max="17" width="3.109375" style="1" customWidth="1"/>
    <col min="18" max="18" width="9.109375" style="1"/>
    <col min="19" max="19" width="5.109375" style="1" customWidth="1"/>
    <col min="20" max="20" width="15.88671875" style="1" customWidth="1"/>
    <col min="21" max="16384" width="9.109375" style="1"/>
  </cols>
  <sheetData>
    <row r="1" spans="1:20" x14ac:dyDescent="0.35">
      <c r="A1" s="43"/>
      <c r="B1" s="44"/>
      <c r="C1" s="45"/>
      <c r="D1" s="46"/>
      <c r="E1" s="46"/>
      <c r="F1" s="46"/>
      <c r="G1" s="47"/>
      <c r="H1" s="47"/>
      <c r="I1" s="47"/>
      <c r="J1" s="47"/>
      <c r="K1" s="47"/>
      <c r="L1" s="47"/>
      <c r="M1" s="47"/>
      <c r="N1" s="47"/>
      <c r="O1" s="47"/>
      <c r="P1" s="47"/>
      <c r="Q1" s="47"/>
      <c r="R1" s="47"/>
      <c r="S1" s="47"/>
      <c r="T1" s="48"/>
    </row>
    <row r="2" spans="1:20" ht="19.5" customHeight="1" x14ac:dyDescent="0.35">
      <c r="A2" s="171" t="s">
        <v>0</v>
      </c>
      <c r="B2" s="171" t="s">
        <v>1</v>
      </c>
      <c r="C2" s="171" t="s">
        <v>2</v>
      </c>
      <c r="D2" s="171" t="s">
        <v>3</v>
      </c>
      <c r="E2" s="171" t="s">
        <v>4</v>
      </c>
      <c r="F2" s="171"/>
      <c r="G2" s="172" t="s">
        <v>5</v>
      </c>
      <c r="H2" s="165"/>
      <c r="I2" s="165"/>
      <c r="J2" s="165"/>
      <c r="K2" s="165"/>
      <c r="L2" s="165"/>
      <c r="M2" s="165"/>
      <c r="N2" s="165"/>
      <c r="O2" s="165"/>
      <c r="P2" s="165"/>
      <c r="Q2" s="165"/>
      <c r="R2" s="165"/>
      <c r="S2" s="165"/>
      <c r="T2" s="155"/>
    </row>
    <row r="3" spans="1:20" ht="17.25" customHeight="1" x14ac:dyDescent="0.35">
      <c r="A3" s="171"/>
      <c r="B3" s="171"/>
      <c r="C3" s="171"/>
      <c r="D3" s="171"/>
      <c r="E3" s="171"/>
      <c r="F3" s="171"/>
      <c r="G3" s="173" t="s">
        <v>6</v>
      </c>
      <c r="H3" s="174"/>
      <c r="I3" s="175"/>
      <c r="J3" s="172" t="s">
        <v>58</v>
      </c>
      <c r="K3" s="179"/>
      <c r="L3" s="179"/>
      <c r="M3" s="179"/>
      <c r="N3" s="179"/>
      <c r="O3" s="179"/>
      <c r="P3" s="179"/>
      <c r="Q3" s="179"/>
      <c r="R3" s="179"/>
      <c r="S3" s="179"/>
      <c r="T3" s="180"/>
    </row>
    <row r="4" spans="1:20" ht="27" customHeight="1" x14ac:dyDescent="0.35">
      <c r="A4" s="171"/>
      <c r="B4" s="171"/>
      <c r="C4" s="171"/>
      <c r="D4" s="171"/>
      <c r="E4" s="171"/>
      <c r="F4" s="171"/>
      <c r="G4" s="176"/>
      <c r="H4" s="177"/>
      <c r="I4" s="178"/>
      <c r="J4" s="172">
        <v>2016</v>
      </c>
      <c r="K4" s="179"/>
      <c r="L4" s="180"/>
      <c r="M4" s="172">
        <v>2017</v>
      </c>
      <c r="N4" s="180"/>
      <c r="O4" s="181">
        <v>2018</v>
      </c>
      <c r="P4" s="182"/>
      <c r="Q4" s="183"/>
      <c r="R4" s="181">
        <v>2019</v>
      </c>
      <c r="S4" s="183"/>
      <c r="T4" s="61">
        <v>2020</v>
      </c>
    </row>
    <row r="5" spans="1:20" ht="17.25" customHeight="1" x14ac:dyDescent="0.35">
      <c r="A5" s="168" t="s">
        <v>60</v>
      </c>
      <c r="B5" s="168"/>
      <c r="C5" s="168"/>
      <c r="D5" s="168"/>
      <c r="E5" s="168"/>
      <c r="F5" s="168"/>
      <c r="G5" s="168"/>
      <c r="H5" s="168"/>
      <c r="I5" s="168"/>
      <c r="J5" s="168"/>
      <c r="K5" s="168"/>
      <c r="L5" s="168"/>
      <c r="M5" s="168"/>
      <c r="N5" s="168"/>
      <c r="O5" s="168"/>
      <c r="P5" s="168"/>
      <c r="Q5" s="168"/>
      <c r="R5" s="168"/>
      <c r="S5" s="168"/>
      <c r="T5" s="168"/>
    </row>
    <row r="6" spans="1:20" s="7" customFormat="1" ht="78" customHeight="1" x14ac:dyDescent="0.35">
      <c r="A6" s="53" t="s">
        <v>7</v>
      </c>
      <c r="B6" s="30" t="s">
        <v>82</v>
      </c>
      <c r="C6" s="196" t="s">
        <v>52</v>
      </c>
      <c r="D6" s="197" t="s">
        <v>59</v>
      </c>
      <c r="E6" s="197" t="s">
        <v>9</v>
      </c>
      <c r="F6" s="197"/>
      <c r="G6" s="154">
        <f>J6+M6+O6+R6+T6</f>
        <v>250000</v>
      </c>
      <c r="H6" s="155"/>
      <c r="I6" s="66"/>
      <c r="J6" s="162">
        <v>50000</v>
      </c>
      <c r="K6" s="163"/>
      <c r="L6" s="164"/>
      <c r="M6" s="154">
        <v>50000</v>
      </c>
      <c r="N6" s="155"/>
      <c r="O6" s="154">
        <v>50000</v>
      </c>
      <c r="P6" s="165"/>
      <c r="Q6" s="155"/>
      <c r="R6" s="154">
        <v>50000</v>
      </c>
      <c r="S6" s="155"/>
      <c r="T6" s="58">
        <v>50000</v>
      </c>
    </row>
    <row r="7" spans="1:20" ht="88.5" customHeight="1" x14ac:dyDescent="0.35">
      <c r="A7" s="53" t="s">
        <v>8</v>
      </c>
      <c r="B7" s="25" t="s">
        <v>50</v>
      </c>
      <c r="C7" s="196"/>
      <c r="D7" s="197"/>
      <c r="E7" s="197"/>
      <c r="F7" s="197"/>
      <c r="G7" s="154">
        <f>J7+M7+O7+R7+T7</f>
        <v>70000</v>
      </c>
      <c r="H7" s="155"/>
      <c r="I7" s="26"/>
      <c r="J7" s="156">
        <v>35000</v>
      </c>
      <c r="K7" s="157"/>
      <c r="L7" s="158"/>
      <c r="M7" s="159"/>
      <c r="N7" s="160"/>
      <c r="O7" s="159">
        <v>35000</v>
      </c>
      <c r="P7" s="161"/>
      <c r="Q7" s="160"/>
      <c r="R7" s="159"/>
      <c r="S7" s="160"/>
      <c r="T7" s="31"/>
    </row>
    <row r="8" spans="1:20" ht="15.75" customHeight="1" x14ac:dyDescent="0.35">
      <c r="A8" s="210" t="s">
        <v>61</v>
      </c>
      <c r="B8" s="210"/>
      <c r="C8" s="210"/>
      <c r="D8" s="210"/>
      <c r="E8" s="210"/>
      <c r="F8" s="210"/>
      <c r="G8" s="210"/>
      <c r="H8" s="210"/>
      <c r="I8" s="210"/>
      <c r="J8" s="210"/>
      <c r="K8" s="210"/>
      <c r="L8" s="210"/>
      <c r="M8" s="210"/>
      <c r="N8" s="210"/>
      <c r="O8" s="210"/>
      <c r="P8" s="210"/>
      <c r="Q8" s="210"/>
      <c r="R8" s="210"/>
      <c r="S8" s="210"/>
      <c r="T8" s="210"/>
    </row>
    <row r="9" spans="1:20" x14ac:dyDescent="0.35">
      <c r="A9" s="210"/>
      <c r="B9" s="210"/>
      <c r="C9" s="210"/>
      <c r="D9" s="210"/>
      <c r="E9" s="210"/>
      <c r="F9" s="210"/>
      <c r="G9" s="210"/>
      <c r="H9" s="210"/>
      <c r="I9" s="210"/>
      <c r="J9" s="210"/>
      <c r="K9" s="210"/>
      <c r="L9" s="210"/>
      <c r="M9" s="210"/>
      <c r="N9" s="210"/>
      <c r="O9" s="210"/>
      <c r="P9" s="210"/>
      <c r="Q9" s="210"/>
      <c r="R9" s="210"/>
      <c r="S9" s="210"/>
      <c r="T9" s="210"/>
    </row>
    <row r="10" spans="1:20" ht="36.75" customHeight="1" x14ac:dyDescent="0.35">
      <c r="A10" s="196" t="s">
        <v>10</v>
      </c>
      <c r="B10" s="211" t="s">
        <v>55</v>
      </c>
      <c r="C10" s="212" t="s">
        <v>52</v>
      </c>
      <c r="D10" s="197" t="s">
        <v>59</v>
      </c>
      <c r="E10" s="197" t="s">
        <v>9</v>
      </c>
      <c r="F10" s="197"/>
      <c r="G10" s="198">
        <f>J10+M10+O10+R10+T10</f>
        <v>100000</v>
      </c>
      <c r="H10" s="215"/>
      <c r="I10" s="199"/>
      <c r="J10" s="217">
        <v>20000</v>
      </c>
      <c r="K10" s="218"/>
      <c r="L10" s="219"/>
      <c r="M10" s="198">
        <v>20000</v>
      </c>
      <c r="N10" s="199"/>
      <c r="O10" s="198">
        <v>20000</v>
      </c>
      <c r="P10" s="215"/>
      <c r="Q10" s="199"/>
      <c r="R10" s="198">
        <v>20000</v>
      </c>
      <c r="S10" s="199"/>
      <c r="T10" s="202">
        <v>20000</v>
      </c>
    </row>
    <row r="11" spans="1:20" ht="108.75" customHeight="1" x14ac:dyDescent="0.35">
      <c r="A11" s="196"/>
      <c r="B11" s="211"/>
      <c r="C11" s="213"/>
      <c r="D11" s="197"/>
      <c r="E11" s="197"/>
      <c r="F11" s="197"/>
      <c r="G11" s="200"/>
      <c r="H11" s="216"/>
      <c r="I11" s="201"/>
      <c r="J11" s="220"/>
      <c r="K11" s="221"/>
      <c r="L11" s="222"/>
      <c r="M11" s="200"/>
      <c r="N11" s="201"/>
      <c r="O11" s="200"/>
      <c r="P11" s="216"/>
      <c r="Q11" s="201"/>
      <c r="R11" s="200"/>
      <c r="S11" s="201"/>
      <c r="T11" s="203"/>
    </row>
    <row r="12" spans="1:20" ht="55.5" customHeight="1" x14ac:dyDescent="0.35">
      <c r="A12" s="56" t="s">
        <v>11</v>
      </c>
      <c r="B12" s="33" t="s">
        <v>80</v>
      </c>
      <c r="C12" s="213"/>
      <c r="D12" s="197"/>
      <c r="E12" s="197"/>
      <c r="F12" s="197"/>
      <c r="G12" s="204">
        <f>J12+M12+O12+R12+T12</f>
        <v>500000</v>
      </c>
      <c r="H12" s="205"/>
      <c r="I12" s="206"/>
      <c r="J12" s="156">
        <v>100000</v>
      </c>
      <c r="K12" s="157"/>
      <c r="L12" s="158"/>
      <c r="M12" s="207">
        <v>100000</v>
      </c>
      <c r="N12" s="208"/>
      <c r="O12" s="207">
        <v>100000</v>
      </c>
      <c r="P12" s="209"/>
      <c r="Q12" s="208"/>
      <c r="R12" s="207">
        <v>100000</v>
      </c>
      <c r="S12" s="208"/>
      <c r="T12" s="64">
        <v>100000</v>
      </c>
    </row>
    <row r="13" spans="1:20" ht="69" customHeight="1" x14ac:dyDescent="0.35">
      <c r="A13" s="169" t="s">
        <v>12</v>
      </c>
      <c r="B13" s="170" t="s">
        <v>14</v>
      </c>
      <c r="C13" s="214"/>
      <c r="D13" s="197"/>
      <c r="E13" s="197"/>
      <c r="F13" s="197"/>
      <c r="G13" s="184">
        <f>J13+M13+O13+R13+T13</f>
        <v>1500000</v>
      </c>
      <c r="H13" s="185"/>
      <c r="I13" s="186"/>
      <c r="J13" s="190">
        <v>300000</v>
      </c>
      <c r="K13" s="191"/>
      <c r="L13" s="192"/>
      <c r="M13" s="184">
        <v>300000</v>
      </c>
      <c r="N13" s="186"/>
      <c r="O13" s="184">
        <v>300000</v>
      </c>
      <c r="P13" s="185"/>
      <c r="Q13" s="186"/>
      <c r="R13" s="184">
        <v>300000</v>
      </c>
      <c r="S13" s="186"/>
      <c r="T13" s="64">
        <v>300000</v>
      </c>
    </row>
    <row r="14" spans="1:20" ht="17.25" hidden="1" customHeight="1" x14ac:dyDescent="0.35">
      <c r="A14" s="169"/>
      <c r="B14" s="170"/>
      <c r="C14" s="3" t="s">
        <v>15</v>
      </c>
      <c r="D14" s="197"/>
      <c r="E14" s="197"/>
      <c r="F14" s="197"/>
      <c r="G14" s="187"/>
      <c r="H14" s="188"/>
      <c r="I14" s="189"/>
      <c r="J14" s="193"/>
      <c r="K14" s="194"/>
      <c r="L14" s="195"/>
      <c r="M14" s="187"/>
      <c r="N14" s="189"/>
      <c r="O14" s="187"/>
      <c r="P14" s="188"/>
      <c r="Q14" s="189"/>
      <c r="R14" s="187"/>
      <c r="S14" s="189"/>
      <c r="T14" s="34"/>
    </row>
    <row r="15" spans="1:20" ht="15.75" customHeight="1" x14ac:dyDescent="0.35">
      <c r="A15" s="210" t="s">
        <v>62</v>
      </c>
      <c r="B15" s="210"/>
      <c r="C15" s="210"/>
      <c r="D15" s="210"/>
      <c r="E15" s="210"/>
      <c r="F15" s="210"/>
      <c r="G15" s="210"/>
      <c r="H15" s="210"/>
      <c r="I15" s="210"/>
      <c r="J15" s="210"/>
      <c r="K15" s="210"/>
      <c r="L15" s="210"/>
      <c r="M15" s="210"/>
      <c r="N15" s="210"/>
      <c r="O15" s="210"/>
      <c r="P15" s="210"/>
      <c r="Q15" s="210"/>
      <c r="R15" s="210"/>
      <c r="S15" s="210"/>
      <c r="T15" s="210"/>
    </row>
    <row r="16" spans="1:20" x14ac:dyDescent="0.35">
      <c r="A16" s="210"/>
      <c r="B16" s="210"/>
      <c r="C16" s="210"/>
      <c r="D16" s="210"/>
      <c r="E16" s="210"/>
      <c r="F16" s="210"/>
      <c r="G16" s="210"/>
      <c r="H16" s="210"/>
      <c r="I16" s="210"/>
      <c r="J16" s="210"/>
      <c r="K16" s="210"/>
      <c r="L16" s="210"/>
      <c r="M16" s="210"/>
      <c r="N16" s="210"/>
      <c r="O16" s="210"/>
      <c r="P16" s="210"/>
      <c r="Q16" s="210"/>
      <c r="R16" s="210"/>
      <c r="S16" s="210"/>
      <c r="T16" s="210"/>
    </row>
    <row r="17" spans="1:20" ht="36" customHeight="1" x14ac:dyDescent="0.35">
      <c r="A17" s="53" t="s">
        <v>88</v>
      </c>
      <c r="B17" s="8" t="s">
        <v>63</v>
      </c>
      <c r="C17" s="212" t="s">
        <v>45</v>
      </c>
      <c r="D17" s="212" t="s">
        <v>59</v>
      </c>
      <c r="E17" s="229" t="s">
        <v>9</v>
      </c>
      <c r="F17" s="230"/>
      <c r="G17" s="166">
        <f>J17+M17+O17+R17+T17</f>
        <v>500000</v>
      </c>
      <c r="H17" s="166"/>
      <c r="I17" s="21"/>
      <c r="J17" s="167">
        <v>100000</v>
      </c>
      <c r="K17" s="167"/>
      <c r="L17" s="167"/>
      <c r="M17" s="166">
        <v>100000</v>
      </c>
      <c r="N17" s="166"/>
      <c r="O17" s="166">
        <v>100000</v>
      </c>
      <c r="P17" s="166"/>
      <c r="Q17" s="166"/>
      <c r="R17" s="166">
        <v>100000</v>
      </c>
      <c r="S17" s="166"/>
      <c r="T17" s="60">
        <v>100000</v>
      </c>
    </row>
    <row r="18" spans="1:20" ht="106.5" customHeight="1" x14ac:dyDescent="0.35">
      <c r="A18" s="53" t="s">
        <v>13</v>
      </c>
      <c r="B18" s="8" t="s">
        <v>120</v>
      </c>
      <c r="C18" s="214"/>
      <c r="D18" s="214"/>
      <c r="E18" s="231"/>
      <c r="F18" s="232"/>
      <c r="G18" s="166">
        <f>J18+M18+O18+R18+T18</f>
        <v>2200000</v>
      </c>
      <c r="H18" s="166"/>
      <c r="I18" s="21"/>
      <c r="J18" s="167">
        <v>1000000</v>
      </c>
      <c r="K18" s="167"/>
      <c r="L18" s="167"/>
      <c r="M18" s="166">
        <v>300000</v>
      </c>
      <c r="N18" s="166"/>
      <c r="O18" s="166">
        <v>300000</v>
      </c>
      <c r="P18" s="166"/>
      <c r="Q18" s="166"/>
      <c r="R18" s="166">
        <v>300000</v>
      </c>
      <c r="S18" s="166"/>
      <c r="T18" s="60">
        <v>300000</v>
      </c>
    </row>
    <row r="19" spans="1:20" ht="17.25" customHeight="1" x14ac:dyDescent="0.35">
      <c r="A19" s="168" t="s">
        <v>85</v>
      </c>
      <c r="B19" s="168"/>
      <c r="C19" s="168"/>
      <c r="D19" s="168"/>
      <c r="E19" s="168"/>
      <c r="F19" s="168"/>
      <c r="G19" s="168"/>
      <c r="H19" s="168"/>
      <c r="I19" s="168"/>
      <c r="J19" s="168"/>
      <c r="K19" s="168"/>
      <c r="L19" s="168"/>
      <c r="M19" s="168"/>
      <c r="N19" s="168"/>
      <c r="O19" s="168"/>
      <c r="P19" s="168"/>
      <c r="Q19" s="168"/>
      <c r="R19" s="168"/>
      <c r="S19" s="168"/>
      <c r="T19" s="168"/>
    </row>
    <row r="20" spans="1:20" ht="88.5" customHeight="1" x14ac:dyDescent="0.35">
      <c r="A20" s="55" t="s">
        <v>16</v>
      </c>
      <c r="B20" s="50" t="s">
        <v>49</v>
      </c>
      <c r="C20" s="18" t="s">
        <v>44</v>
      </c>
      <c r="D20" s="55" t="s">
        <v>59</v>
      </c>
      <c r="E20" s="224" t="s">
        <v>9</v>
      </c>
      <c r="F20" s="224"/>
      <c r="G20" s="225">
        <v>100000</v>
      </c>
      <c r="H20" s="225"/>
      <c r="I20" s="19"/>
      <c r="J20" s="226">
        <v>20000</v>
      </c>
      <c r="K20" s="226"/>
      <c r="L20" s="226"/>
      <c r="M20" s="227">
        <v>20000</v>
      </c>
      <c r="N20" s="227"/>
      <c r="O20" s="228">
        <v>20000</v>
      </c>
      <c r="P20" s="228"/>
      <c r="Q20" s="228"/>
      <c r="R20" s="227">
        <v>20000</v>
      </c>
      <c r="S20" s="227"/>
      <c r="T20" s="65">
        <v>20000</v>
      </c>
    </row>
    <row r="21" spans="1:20" ht="17.25" customHeight="1" x14ac:dyDescent="0.35">
      <c r="A21" s="168" t="s">
        <v>84</v>
      </c>
      <c r="B21" s="168"/>
      <c r="C21" s="168"/>
      <c r="D21" s="168"/>
      <c r="E21" s="168"/>
      <c r="F21" s="168"/>
      <c r="G21" s="168"/>
      <c r="H21" s="168"/>
      <c r="I21" s="168"/>
      <c r="J21" s="168"/>
      <c r="K21" s="168"/>
      <c r="L21" s="168"/>
      <c r="M21" s="168"/>
      <c r="N21" s="168"/>
      <c r="O21" s="168"/>
      <c r="P21" s="168"/>
      <c r="Q21" s="168"/>
      <c r="R21" s="168"/>
      <c r="S21" s="168"/>
      <c r="T21" s="168"/>
    </row>
    <row r="22" spans="1:20" ht="124.5" customHeight="1" x14ac:dyDescent="0.35">
      <c r="A22" s="56" t="s">
        <v>17</v>
      </c>
      <c r="B22" s="63" t="s">
        <v>83</v>
      </c>
      <c r="C22" s="53" t="s">
        <v>41</v>
      </c>
      <c r="D22" s="53" t="s">
        <v>59</v>
      </c>
      <c r="E22" s="196" t="s">
        <v>9</v>
      </c>
      <c r="F22" s="196"/>
      <c r="G22" s="223">
        <f>J22+M22+O22+R22+T22</f>
        <v>50000</v>
      </c>
      <c r="H22" s="223"/>
      <c r="I22" s="223"/>
      <c r="J22" s="235">
        <v>10000</v>
      </c>
      <c r="K22" s="235"/>
      <c r="L22" s="235"/>
      <c r="M22" s="223">
        <v>10000</v>
      </c>
      <c r="N22" s="223"/>
      <c r="O22" s="223">
        <v>10000</v>
      </c>
      <c r="P22" s="223"/>
      <c r="Q22" s="223"/>
      <c r="R22" s="223">
        <v>10000</v>
      </c>
      <c r="S22" s="223"/>
      <c r="T22" s="57">
        <v>10000</v>
      </c>
    </row>
    <row r="23" spans="1:20" ht="52.5" customHeight="1" x14ac:dyDescent="0.35">
      <c r="A23" s="53" t="s">
        <v>18</v>
      </c>
      <c r="B23" s="32" t="s">
        <v>53</v>
      </c>
      <c r="C23" s="53" t="s">
        <v>40</v>
      </c>
      <c r="D23" s="53">
        <v>2017</v>
      </c>
      <c r="E23" s="196" t="s">
        <v>122</v>
      </c>
      <c r="F23" s="196"/>
      <c r="G23" s="236">
        <f>M23</f>
        <v>3000000</v>
      </c>
      <c r="H23" s="236"/>
      <c r="I23" s="236"/>
      <c r="J23" s="223"/>
      <c r="K23" s="223"/>
      <c r="L23" s="223"/>
      <c r="M23" s="223">
        <v>3000000</v>
      </c>
      <c r="N23" s="223"/>
      <c r="O23" s="223"/>
      <c r="P23" s="223"/>
      <c r="Q23" s="223"/>
      <c r="R23" s="223"/>
      <c r="S23" s="223"/>
      <c r="T23" s="34"/>
    </row>
    <row r="24" spans="1:20" ht="20.25" customHeight="1" x14ac:dyDescent="0.35">
      <c r="A24" s="168" t="s">
        <v>89</v>
      </c>
      <c r="B24" s="168"/>
      <c r="C24" s="168"/>
      <c r="D24" s="168"/>
      <c r="E24" s="168"/>
      <c r="F24" s="168"/>
      <c r="G24" s="168"/>
      <c r="H24" s="168"/>
      <c r="I24" s="168"/>
      <c r="J24" s="168"/>
      <c r="K24" s="168"/>
      <c r="L24" s="168"/>
      <c r="M24" s="168"/>
      <c r="N24" s="168"/>
      <c r="O24" s="168"/>
      <c r="P24" s="168"/>
      <c r="Q24" s="168"/>
      <c r="R24" s="168"/>
      <c r="S24" s="168"/>
      <c r="T24" s="168"/>
    </row>
    <row r="25" spans="1:20" ht="86.25" customHeight="1" x14ac:dyDescent="0.35">
      <c r="A25" s="56" t="s">
        <v>90</v>
      </c>
      <c r="B25" s="40" t="s">
        <v>123</v>
      </c>
      <c r="C25" s="56" t="s">
        <v>47</v>
      </c>
      <c r="D25" s="56" t="s">
        <v>59</v>
      </c>
      <c r="E25" s="233" t="s">
        <v>9</v>
      </c>
      <c r="F25" s="233"/>
      <c r="G25" s="234">
        <f>J25+M25+O25+R25+T25</f>
        <v>300000</v>
      </c>
      <c r="H25" s="234"/>
      <c r="I25" s="2"/>
      <c r="J25" s="235">
        <v>60000</v>
      </c>
      <c r="K25" s="235"/>
      <c r="L25" s="235"/>
      <c r="M25" s="234">
        <v>60000</v>
      </c>
      <c r="N25" s="234"/>
      <c r="O25" s="234">
        <v>60000</v>
      </c>
      <c r="P25" s="234"/>
      <c r="Q25" s="234"/>
      <c r="R25" s="234">
        <v>60000</v>
      </c>
      <c r="S25" s="234"/>
      <c r="T25" s="52">
        <v>60000</v>
      </c>
    </row>
    <row r="26" spans="1:20" ht="86.25" customHeight="1" x14ac:dyDescent="0.35">
      <c r="A26" s="41" t="s">
        <v>128</v>
      </c>
      <c r="B26" s="40" t="s">
        <v>125</v>
      </c>
      <c r="C26" s="56" t="s">
        <v>47</v>
      </c>
      <c r="D26" s="56" t="s">
        <v>59</v>
      </c>
      <c r="E26" s="233" t="s">
        <v>9</v>
      </c>
      <c r="F26" s="233"/>
      <c r="G26" s="234">
        <f>M26+O26+R26+T26</f>
        <v>40000</v>
      </c>
      <c r="H26" s="234"/>
      <c r="I26" s="2"/>
      <c r="J26" s="234"/>
      <c r="K26" s="234"/>
      <c r="L26" s="234"/>
      <c r="M26" s="234">
        <v>10000</v>
      </c>
      <c r="N26" s="234"/>
      <c r="O26" s="234">
        <v>10000</v>
      </c>
      <c r="P26" s="234"/>
      <c r="Q26" s="234"/>
      <c r="R26" s="234">
        <v>10000</v>
      </c>
      <c r="S26" s="234"/>
      <c r="T26" s="52">
        <v>10000</v>
      </c>
    </row>
    <row r="27" spans="1:20" ht="68.25" customHeight="1" x14ac:dyDescent="0.35">
      <c r="A27" s="56" t="s">
        <v>91</v>
      </c>
      <c r="B27" s="29" t="s">
        <v>64</v>
      </c>
      <c r="C27" s="56" t="s">
        <v>47</v>
      </c>
      <c r="D27" s="56" t="s">
        <v>59</v>
      </c>
      <c r="E27" s="233" t="s">
        <v>9</v>
      </c>
      <c r="F27" s="233"/>
      <c r="G27" s="234">
        <f>J27+M27+O27+R27+T27</f>
        <v>25000</v>
      </c>
      <c r="H27" s="234"/>
      <c r="I27" s="234"/>
      <c r="J27" s="234"/>
      <c r="K27" s="234"/>
      <c r="L27" s="234"/>
      <c r="M27" s="234">
        <v>25000</v>
      </c>
      <c r="N27" s="234"/>
      <c r="O27" s="234"/>
      <c r="P27" s="234"/>
      <c r="Q27" s="234"/>
      <c r="R27" s="234"/>
      <c r="S27" s="234"/>
      <c r="T27" s="2"/>
    </row>
    <row r="28" spans="1:20" ht="68.25" customHeight="1" x14ac:dyDescent="0.35">
      <c r="A28" s="41" t="s">
        <v>126</v>
      </c>
      <c r="B28" s="29" t="s">
        <v>127</v>
      </c>
      <c r="C28" s="56" t="s">
        <v>47</v>
      </c>
      <c r="D28" s="56" t="s">
        <v>59</v>
      </c>
      <c r="E28" s="233" t="s">
        <v>9</v>
      </c>
      <c r="F28" s="233"/>
      <c r="G28" s="234">
        <f>M28+O28</f>
        <v>30000</v>
      </c>
      <c r="H28" s="234"/>
      <c r="I28" s="52"/>
      <c r="J28" s="234"/>
      <c r="K28" s="234"/>
      <c r="L28" s="234"/>
      <c r="M28" s="234">
        <v>15000</v>
      </c>
      <c r="N28" s="234"/>
      <c r="O28" s="234">
        <v>15000</v>
      </c>
      <c r="P28" s="234"/>
      <c r="Q28" s="234"/>
      <c r="R28" s="234"/>
      <c r="S28" s="234"/>
      <c r="T28" s="2"/>
    </row>
    <row r="29" spans="1:20" s="24" customFormat="1" ht="81" customHeight="1" x14ac:dyDescent="0.35">
      <c r="A29" s="53" t="s">
        <v>92</v>
      </c>
      <c r="B29" s="8" t="s">
        <v>65</v>
      </c>
      <c r="C29" s="56" t="s">
        <v>47</v>
      </c>
      <c r="D29" s="56" t="s">
        <v>59</v>
      </c>
      <c r="E29" s="233" t="s">
        <v>9</v>
      </c>
      <c r="F29" s="233"/>
      <c r="G29" s="223">
        <f>J29+M29+O29+R29+T29</f>
        <v>80000</v>
      </c>
      <c r="H29" s="223"/>
      <c r="I29" s="223"/>
      <c r="J29" s="235">
        <v>16000</v>
      </c>
      <c r="K29" s="235"/>
      <c r="L29" s="235"/>
      <c r="M29" s="223">
        <v>16000</v>
      </c>
      <c r="N29" s="223"/>
      <c r="O29" s="223">
        <v>16000</v>
      </c>
      <c r="P29" s="223"/>
      <c r="Q29" s="223"/>
      <c r="R29" s="223">
        <v>16000</v>
      </c>
      <c r="S29" s="223"/>
      <c r="T29" s="57">
        <v>16000</v>
      </c>
    </row>
    <row r="30" spans="1:20" ht="87" customHeight="1" x14ac:dyDescent="0.35">
      <c r="A30" s="53" t="s">
        <v>93</v>
      </c>
      <c r="B30" s="4" t="s">
        <v>124</v>
      </c>
      <c r="C30" s="56" t="s">
        <v>47</v>
      </c>
      <c r="D30" s="4" t="s">
        <v>59</v>
      </c>
      <c r="E30" s="233" t="s">
        <v>9</v>
      </c>
      <c r="F30" s="233"/>
      <c r="G30" s="223">
        <f>J30+M30+O30+R30+T30</f>
        <v>125000</v>
      </c>
      <c r="H30" s="223"/>
      <c r="I30" s="223"/>
      <c r="J30" s="235">
        <v>25000</v>
      </c>
      <c r="K30" s="235"/>
      <c r="L30" s="235"/>
      <c r="M30" s="234">
        <v>25000</v>
      </c>
      <c r="N30" s="234"/>
      <c r="O30" s="234">
        <v>25000</v>
      </c>
      <c r="P30" s="234"/>
      <c r="Q30" s="234"/>
      <c r="R30" s="234">
        <v>25000</v>
      </c>
      <c r="S30" s="234"/>
      <c r="T30" s="52">
        <v>25000</v>
      </c>
    </row>
    <row r="31" spans="1:20" ht="117" customHeight="1" x14ac:dyDescent="0.35">
      <c r="A31" s="53" t="s">
        <v>94</v>
      </c>
      <c r="B31" s="32" t="s">
        <v>129</v>
      </c>
      <c r="C31" s="56" t="s">
        <v>47</v>
      </c>
      <c r="D31" s="4" t="s">
        <v>59</v>
      </c>
      <c r="E31" s="233" t="s">
        <v>9</v>
      </c>
      <c r="F31" s="233"/>
      <c r="G31" s="223">
        <f>J31+M31+O31+R31+T31</f>
        <v>1008000</v>
      </c>
      <c r="H31" s="223"/>
      <c r="I31" s="223"/>
      <c r="J31" s="237">
        <v>180000</v>
      </c>
      <c r="K31" s="237"/>
      <c r="L31" s="237"/>
      <c r="M31" s="223">
        <v>168000</v>
      </c>
      <c r="N31" s="223"/>
      <c r="O31" s="223">
        <v>220000</v>
      </c>
      <c r="P31" s="223"/>
      <c r="Q31" s="223"/>
      <c r="R31" s="223">
        <v>220000</v>
      </c>
      <c r="S31" s="223"/>
      <c r="T31" s="57">
        <v>220000</v>
      </c>
    </row>
    <row r="32" spans="1:20" ht="27.75" customHeight="1" x14ac:dyDescent="0.35">
      <c r="A32" s="238" t="s">
        <v>95</v>
      </c>
      <c r="B32" s="238"/>
      <c r="C32" s="238"/>
      <c r="D32" s="238"/>
      <c r="E32" s="238"/>
      <c r="F32" s="238"/>
      <c r="G32" s="238"/>
      <c r="H32" s="238"/>
      <c r="I32" s="238"/>
      <c r="J32" s="238"/>
      <c r="K32" s="238"/>
      <c r="L32" s="238"/>
      <c r="M32" s="238"/>
      <c r="N32" s="238"/>
      <c r="O32" s="238"/>
      <c r="P32" s="238"/>
      <c r="Q32" s="238"/>
      <c r="R32" s="238"/>
      <c r="S32" s="238"/>
      <c r="T32" s="238"/>
    </row>
    <row r="33" spans="1:20" ht="93.75" customHeight="1" x14ac:dyDescent="0.35">
      <c r="A33" s="53" t="s">
        <v>19</v>
      </c>
      <c r="B33" s="8" t="s">
        <v>66</v>
      </c>
      <c r="C33" s="196" t="s">
        <v>48</v>
      </c>
      <c r="D33" s="196" t="s">
        <v>59</v>
      </c>
      <c r="E33" s="196" t="s">
        <v>9</v>
      </c>
      <c r="F33" s="196"/>
      <c r="G33" s="236">
        <f>J33+M33+O33+R33+T33</f>
        <v>1000000</v>
      </c>
      <c r="H33" s="236"/>
      <c r="I33" s="236"/>
      <c r="J33" s="239">
        <v>200000</v>
      </c>
      <c r="K33" s="239"/>
      <c r="L33" s="239"/>
      <c r="M33" s="236">
        <v>200000</v>
      </c>
      <c r="N33" s="236"/>
      <c r="O33" s="236">
        <v>200000</v>
      </c>
      <c r="P33" s="236"/>
      <c r="Q33" s="236"/>
      <c r="R33" s="236">
        <v>200000</v>
      </c>
      <c r="S33" s="236"/>
      <c r="T33" s="58">
        <v>200000</v>
      </c>
    </row>
    <row r="34" spans="1:20" ht="87" customHeight="1" x14ac:dyDescent="0.35">
      <c r="A34" s="53" t="s">
        <v>20</v>
      </c>
      <c r="B34" s="8" t="s">
        <v>86</v>
      </c>
      <c r="C34" s="196"/>
      <c r="D34" s="196"/>
      <c r="E34" s="196"/>
      <c r="F34" s="196"/>
      <c r="G34" s="236">
        <f>J34+M34+O34+R34+T34</f>
        <v>1000000</v>
      </c>
      <c r="H34" s="236"/>
      <c r="I34" s="236"/>
      <c r="J34" s="239">
        <v>200000</v>
      </c>
      <c r="K34" s="239"/>
      <c r="L34" s="239"/>
      <c r="M34" s="236">
        <v>200000</v>
      </c>
      <c r="N34" s="236"/>
      <c r="O34" s="236">
        <v>200000</v>
      </c>
      <c r="P34" s="236"/>
      <c r="Q34" s="236"/>
      <c r="R34" s="236">
        <v>200000</v>
      </c>
      <c r="S34" s="236"/>
      <c r="T34" s="58">
        <v>200000</v>
      </c>
    </row>
    <row r="35" spans="1:20" ht="120" customHeight="1" x14ac:dyDescent="0.35">
      <c r="A35" s="53" t="s">
        <v>21</v>
      </c>
      <c r="B35" s="4" t="s">
        <v>87</v>
      </c>
      <c r="C35" s="55" t="s">
        <v>45</v>
      </c>
      <c r="D35" s="196"/>
      <c r="E35" s="196"/>
      <c r="F35" s="196"/>
      <c r="G35" s="234">
        <f>J35+M35+O35+R35+T35</f>
        <v>100000</v>
      </c>
      <c r="H35" s="234"/>
      <c r="I35" s="10"/>
      <c r="J35" s="235">
        <v>20000</v>
      </c>
      <c r="K35" s="235"/>
      <c r="L35" s="235"/>
      <c r="M35" s="223">
        <v>20000</v>
      </c>
      <c r="N35" s="223"/>
      <c r="O35" s="223">
        <v>20000</v>
      </c>
      <c r="P35" s="223"/>
      <c r="Q35" s="223"/>
      <c r="R35" s="234">
        <v>20000</v>
      </c>
      <c r="S35" s="234"/>
      <c r="T35" s="52">
        <v>20000</v>
      </c>
    </row>
    <row r="36" spans="1:20" ht="27.75" customHeight="1" x14ac:dyDescent="0.35">
      <c r="A36" s="210" t="s">
        <v>96</v>
      </c>
      <c r="B36" s="210"/>
      <c r="C36" s="210"/>
      <c r="D36" s="210"/>
      <c r="E36" s="210"/>
      <c r="F36" s="210"/>
      <c r="G36" s="210"/>
      <c r="H36" s="210"/>
      <c r="I36" s="210"/>
      <c r="J36" s="210"/>
      <c r="K36" s="210"/>
      <c r="L36" s="210"/>
      <c r="M36" s="210"/>
      <c r="N36" s="210"/>
      <c r="O36" s="210"/>
      <c r="P36" s="210"/>
      <c r="Q36" s="210"/>
      <c r="R36" s="210"/>
      <c r="S36" s="210"/>
      <c r="T36" s="210"/>
    </row>
    <row r="37" spans="1:20" ht="141" customHeight="1" x14ac:dyDescent="0.35">
      <c r="A37" s="53" t="s">
        <v>22</v>
      </c>
      <c r="B37" s="62" t="s">
        <v>25</v>
      </c>
      <c r="C37" s="22" t="s">
        <v>42</v>
      </c>
      <c r="D37" s="51" t="s">
        <v>59</v>
      </c>
      <c r="E37" s="197" t="s">
        <v>9</v>
      </c>
      <c r="F37" s="197"/>
      <c r="G37" s="236">
        <f>J37+M37+O37+R37+T37</f>
        <v>100000</v>
      </c>
      <c r="H37" s="236"/>
      <c r="I37" s="9"/>
      <c r="J37" s="239">
        <v>20000</v>
      </c>
      <c r="K37" s="239"/>
      <c r="L37" s="239"/>
      <c r="M37" s="236">
        <v>20000</v>
      </c>
      <c r="N37" s="236"/>
      <c r="O37" s="236">
        <v>20000</v>
      </c>
      <c r="P37" s="236"/>
      <c r="Q37" s="236"/>
      <c r="R37" s="236">
        <v>20000</v>
      </c>
      <c r="S37" s="236"/>
      <c r="T37" s="58">
        <v>20000</v>
      </c>
    </row>
    <row r="38" spans="1:20" ht="17.25" customHeight="1" x14ac:dyDescent="0.35">
      <c r="A38" s="168" t="s">
        <v>97</v>
      </c>
      <c r="B38" s="168"/>
      <c r="C38" s="168"/>
      <c r="D38" s="168"/>
      <c r="E38" s="168"/>
      <c r="F38" s="168"/>
      <c r="G38" s="168"/>
      <c r="H38" s="168"/>
      <c r="I38" s="168"/>
      <c r="J38" s="168"/>
      <c r="K38" s="168"/>
      <c r="L38" s="168"/>
      <c r="M38" s="168"/>
      <c r="N38" s="168"/>
      <c r="O38" s="168"/>
      <c r="P38" s="168"/>
      <c r="Q38" s="168"/>
      <c r="R38" s="168"/>
      <c r="S38" s="168"/>
      <c r="T38" s="168"/>
    </row>
    <row r="39" spans="1:20" ht="129.75" customHeight="1" x14ac:dyDescent="0.35">
      <c r="A39" s="55" t="s">
        <v>23</v>
      </c>
      <c r="B39" s="6" t="s">
        <v>67</v>
      </c>
      <c r="C39" s="53" t="s">
        <v>68</v>
      </c>
      <c r="D39" s="224" t="s">
        <v>59</v>
      </c>
      <c r="E39" s="224" t="s">
        <v>9</v>
      </c>
      <c r="F39" s="224"/>
      <c r="G39" s="225">
        <f>J39+M39+O39+R39+T39</f>
        <v>400000</v>
      </c>
      <c r="H39" s="225"/>
      <c r="I39" s="225"/>
      <c r="J39" s="225"/>
      <c r="K39" s="225"/>
      <c r="L39" s="225"/>
      <c r="M39" s="225">
        <v>100000</v>
      </c>
      <c r="N39" s="225"/>
      <c r="O39" s="225">
        <v>100000</v>
      </c>
      <c r="P39" s="225"/>
      <c r="Q39" s="225"/>
      <c r="R39" s="225">
        <v>100000</v>
      </c>
      <c r="S39" s="225"/>
      <c r="T39" s="64">
        <v>100000</v>
      </c>
    </row>
    <row r="40" spans="1:20" ht="111" customHeight="1" x14ac:dyDescent="0.35">
      <c r="A40" s="55" t="s">
        <v>98</v>
      </c>
      <c r="B40" s="6" t="s">
        <v>27</v>
      </c>
      <c r="C40" s="53" t="s">
        <v>69</v>
      </c>
      <c r="D40" s="224"/>
      <c r="E40" s="224"/>
      <c r="F40" s="224"/>
      <c r="G40" s="225">
        <f>J40+M40+O40+R40+T40</f>
        <v>500000</v>
      </c>
      <c r="H40" s="225"/>
      <c r="I40" s="225"/>
      <c r="J40" s="240">
        <v>100000</v>
      </c>
      <c r="K40" s="240"/>
      <c r="L40" s="240"/>
      <c r="M40" s="225">
        <v>100000</v>
      </c>
      <c r="N40" s="225"/>
      <c r="O40" s="225">
        <v>100000</v>
      </c>
      <c r="P40" s="225"/>
      <c r="Q40" s="225"/>
      <c r="R40" s="207">
        <v>100000</v>
      </c>
      <c r="S40" s="208"/>
      <c r="T40" s="64">
        <v>100000</v>
      </c>
    </row>
    <row r="41" spans="1:20" ht="26.25" customHeight="1" x14ac:dyDescent="0.35">
      <c r="A41" s="241" t="s">
        <v>99</v>
      </c>
      <c r="B41" s="241"/>
      <c r="C41" s="241"/>
      <c r="D41" s="241"/>
      <c r="E41" s="241"/>
      <c r="F41" s="241"/>
      <c r="G41" s="241"/>
      <c r="H41" s="241"/>
      <c r="I41" s="241"/>
      <c r="J41" s="241"/>
      <c r="K41" s="241"/>
      <c r="L41" s="241"/>
      <c r="M41" s="241"/>
      <c r="N41" s="241"/>
      <c r="O41" s="241"/>
      <c r="P41" s="241"/>
      <c r="Q41" s="241"/>
      <c r="R41" s="241"/>
      <c r="S41" s="241"/>
      <c r="T41" s="241"/>
    </row>
    <row r="42" spans="1:20" ht="103.65" customHeight="1" x14ac:dyDescent="0.35">
      <c r="A42" s="53" t="s">
        <v>24</v>
      </c>
      <c r="B42" s="62" t="s">
        <v>56</v>
      </c>
      <c r="C42" s="22" t="s">
        <v>43</v>
      </c>
      <c r="D42" s="55" t="s">
        <v>59</v>
      </c>
      <c r="E42" s="196" t="s">
        <v>9</v>
      </c>
      <c r="F42" s="196"/>
      <c r="G42" s="236">
        <f>J42+M42+O42+R42+T42</f>
        <v>100000</v>
      </c>
      <c r="H42" s="236"/>
      <c r="I42" s="236"/>
      <c r="J42" s="239">
        <v>20000</v>
      </c>
      <c r="K42" s="239"/>
      <c r="L42" s="239"/>
      <c r="M42" s="236">
        <v>20000</v>
      </c>
      <c r="N42" s="236"/>
      <c r="O42" s="236">
        <v>20000</v>
      </c>
      <c r="P42" s="236"/>
      <c r="Q42" s="236"/>
      <c r="R42" s="236">
        <v>20000</v>
      </c>
      <c r="S42" s="236"/>
      <c r="T42" s="58">
        <v>20000</v>
      </c>
    </row>
    <row r="43" spans="1:20" ht="17.25" customHeight="1" x14ac:dyDescent="0.35">
      <c r="A43" s="241" t="s">
        <v>121</v>
      </c>
      <c r="B43" s="241"/>
      <c r="C43" s="241"/>
      <c r="D43" s="241"/>
      <c r="E43" s="241"/>
      <c r="F43" s="241"/>
      <c r="G43" s="241"/>
      <c r="H43" s="241"/>
      <c r="I43" s="241"/>
      <c r="J43" s="241"/>
      <c r="K43" s="241"/>
      <c r="L43" s="241"/>
      <c r="M43" s="241"/>
      <c r="N43" s="241"/>
      <c r="O43" s="241"/>
      <c r="P43" s="241"/>
      <c r="Q43" s="241"/>
      <c r="R43" s="241"/>
      <c r="S43" s="241"/>
      <c r="T43" s="241"/>
    </row>
    <row r="44" spans="1:20" ht="94.65" customHeight="1" x14ac:dyDescent="0.35">
      <c r="A44" s="56" t="s">
        <v>26</v>
      </c>
      <c r="B44" s="4" t="s">
        <v>30</v>
      </c>
      <c r="C44" s="196" t="s">
        <v>43</v>
      </c>
      <c r="D44" s="224" t="s">
        <v>59</v>
      </c>
      <c r="E44" s="196" t="s">
        <v>9</v>
      </c>
      <c r="F44" s="196"/>
      <c r="G44" s="234">
        <f>J44+M44+O44+R44+T44</f>
        <v>1550000</v>
      </c>
      <c r="H44" s="234"/>
      <c r="I44" s="234"/>
      <c r="J44" s="237">
        <v>350000</v>
      </c>
      <c r="K44" s="237"/>
      <c r="L44" s="237"/>
      <c r="M44" s="234">
        <v>300000</v>
      </c>
      <c r="N44" s="234"/>
      <c r="O44" s="234">
        <v>300000</v>
      </c>
      <c r="P44" s="234"/>
      <c r="Q44" s="234"/>
      <c r="R44" s="234">
        <v>300000</v>
      </c>
      <c r="S44" s="234"/>
      <c r="T44" s="52">
        <v>300000</v>
      </c>
    </row>
    <row r="45" spans="1:20" ht="59.25" customHeight="1" x14ac:dyDescent="0.35">
      <c r="A45" s="53" t="s">
        <v>100</v>
      </c>
      <c r="B45" s="8" t="s">
        <v>70</v>
      </c>
      <c r="C45" s="196"/>
      <c r="D45" s="224"/>
      <c r="E45" s="196"/>
      <c r="F45" s="196"/>
      <c r="G45" s="223">
        <f>J45+M45+O45+R45+T45</f>
        <v>1300000</v>
      </c>
      <c r="H45" s="223"/>
      <c r="I45" s="5"/>
      <c r="J45" s="237">
        <v>100000</v>
      </c>
      <c r="K45" s="237"/>
      <c r="L45" s="237"/>
      <c r="M45" s="223">
        <v>300000</v>
      </c>
      <c r="N45" s="223"/>
      <c r="O45" s="223">
        <v>300000</v>
      </c>
      <c r="P45" s="223"/>
      <c r="Q45" s="223"/>
      <c r="R45" s="223">
        <v>300000</v>
      </c>
      <c r="S45" s="223"/>
      <c r="T45" s="57">
        <v>300000</v>
      </c>
    </row>
    <row r="46" spans="1:20" ht="48" customHeight="1" x14ac:dyDescent="0.35">
      <c r="A46" s="53" t="s">
        <v>101</v>
      </c>
      <c r="B46" s="8" t="s">
        <v>54</v>
      </c>
      <c r="C46" s="196"/>
      <c r="D46" s="224"/>
      <c r="E46" s="196"/>
      <c r="F46" s="196"/>
      <c r="G46" s="223">
        <f>J46+M46+O46+T46+R46</f>
        <v>1200000</v>
      </c>
      <c r="H46" s="223"/>
      <c r="I46" s="223"/>
      <c r="J46" s="223"/>
      <c r="K46" s="223"/>
      <c r="L46" s="223"/>
      <c r="M46" s="223">
        <v>300000</v>
      </c>
      <c r="N46" s="223"/>
      <c r="O46" s="223">
        <v>300000</v>
      </c>
      <c r="P46" s="223"/>
      <c r="Q46" s="223"/>
      <c r="R46" s="223">
        <v>300000</v>
      </c>
      <c r="S46" s="223"/>
      <c r="T46" s="57">
        <v>300000</v>
      </c>
    </row>
    <row r="47" spans="1:20" ht="36.75" customHeight="1" x14ac:dyDescent="0.35">
      <c r="A47" s="53" t="s">
        <v>102</v>
      </c>
      <c r="B47" s="30" t="s">
        <v>31</v>
      </c>
      <c r="C47" s="53"/>
      <c r="D47" s="6"/>
      <c r="E47" s="242"/>
      <c r="F47" s="243"/>
      <c r="G47" s="223">
        <f>G48+G49+G50+G51+G52+G53+G54+G55+G56</f>
        <v>1640000</v>
      </c>
      <c r="H47" s="223"/>
      <c r="I47" s="223"/>
      <c r="J47" s="237">
        <f>J50+J51+J52+J49</f>
        <v>165000</v>
      </c>
      <c r="K47" s="237"/>
      <c r="L47" s="237"/>
      <c r="M47" s="223">
        <f>M56</f>
        <v>1200000</v>
      </c>
      <c r="N47" s="223"/>
      <c r="O47" s="223">
        <f>O51+O53+O54</f>
        <v>150000</v>
      </c>
      <c r="P47" s="223"/>
      <c r="Q47" s="223"/>
      <c r="R47" s="223">
        <f>R50+R52</f>
        <v>125000</v>
      </c>
      <c r="S47" s="223"/>
      <c r="T47" s="34"/>
    </row>
    <row r="48" spans="1:20" ht="109.5" customHeight="1" x14ac:dyDescent="0.35">
      <c r="A48" s="54" t="s">
        <v>103</v>
      </c>
      <c r="B48" s="35" t="s">
        <v>81</v>
      </c>
      <c r="C48" s="246" t="s">
        <v>43</v>
      </c>
      <c r="D48" s="249" t="s">
        <v>59</v>
      </c>
      <c r="E48" s="250" t="s">
        <v>9</v>
      </c>
      <c r="F48" s="250"/>
      <c r="G48" s="245">
        <f>J48+M48+O48+R48</f>
        <v>0</v>
      </c>
      <c r="H48" s="245"/>
      <c r="I48" s="42"/>
      <c r="J48" s="244"/>
      <c r="K48" s="244"/>
      <c r="L48" s="244"/>
      <c r="M48" s="244"/>
      <c r="N48" s="244"/>
      <c r="O48" s="244"/>
      <c r="P48" s="244"/>
      <c r="Q48" s="244"/>
      <c r="R48" s="244"/>
      <c r="S48" s="244"/>
      <c r="T48" s="49"/>
    </row>
    <row r="49" spans="1:20" ht="41.25" customHeight="1" x14ac:dyDescent="0.35">
      <c r="A49" s="54" t="s">
        <v>104</v>
      </c>
      <c r="B49" s="35" t="s">
        <v>71</v>
      </c>
      <c r="C49" s="247"/>
      <c r="D49" s="249"/>
      <c r="E49" s="250"/>
      <c r="F49" s="250"/>
      <c r="G49" s="245">
        <f>J49+M49+O49+R49</f>
        <v>25000</v>
      </c>
      <c r="H49" s="245"/>
      <c r="I49" s="245"/>
      <c r="J49" s="244">
        <v>25000</v>
      </c>
      <c r="K49" s="244"/>
      <c r="L49" s="244"/>
      <c r="M49" s="244"/>
      <c r="N49" s="244"/>
      <c r="O49" s="244"/>
      <c r="P49" s="244"/>
      <c r="Q49" s="244"/>
      <c r="R49" s="244"/>
      <c r="S49" s="244"/>
      <c r="T49" s="49"/>
    </row>
    <row r="50" spans="1:20" ht="54" customHeight="1" x14ac:dyDescent="0.35">
      <c r="A50" s="36" t="s">
        <v>105</v>
      </c>
      <c r="B50" s="37" t="s">
        <v>32</v>
      </c>
      <c r="C50" s="248"/>
      <c r="D50" s="249"/>
      <c r="E50" s="250"/>
      <c r="F50" s="250"/>
      <c r="G50" s="251">
        <f>J50+M50+O50+R50</f>
        <v>100000</v>
      </c>
      <c r="H50" s="251"/>
      <c r="I50" s="251"/>
      <c r="J50" s="252">
        <v>50000</v>
      </c>
      <c r="K50" s="252"/>
      <c r="L50" s="252"/>
      <c r="M50" s="252"/>
      <c r="N50" s="252"/>
      <c r="O50" s="252"/>
      <c r="P50" s="252"/>
      <c r="Q50" s="252"/>
      <c r="R50" s="252">
        <v>50000</v>
      </c>
      <c r="S50" s="252"/>
      <c r="T50" s="49"/>
    </row>
    <row r="51" spans="1:20" ht="33" customHeight="1" x14ac:dyDescent="0.35">
      <c r="A51" s="36" t="s">
        <v>106</v>
      </c>
      <c r="B51" s="37" t="s">
        <v>33</v>
      </c>
      <c r="C51" s="250" t="s">
        <v>43</v>
      </c>
      <c r="D51" s="249" t="s">
        <v>59</v>
      </c>
      <c r="E51" s="250" t="s">
        <v>9</v>
      </c>
      <c r="F51" s="250"/>
      <c r="G51" s="251">
        <f>J51+M51+O51+R51</f>
        <v>50000</v>
      </c>
      <c r="H51" s="251"/>
      <c r="I51" s="251"/>
      <c r="J51" s="252">
        <v>25000</v>
      </c>
      <c r="K51" s="252"/>
      <c r="L51" s="252"/>
      <c r="M51" s="252"/>
      <c r="N51" s="252"/>
      <c r="O51" s="252">
        <v>25000</v>
      </c>
      <c r="P51" s="252"/>
      <c r="Q51" s="252"/>
      <c r="R51" s="252"/>
      <c r="S51" s="252"/>
      <c r="T51" s="49"/>
    </row>
    <row r="52" spans="1:20" ht="33" customHeight="1" x14ac:dyDescent="0.35">
      <c r="A52" s="36" t="s">
        <v>107</v>
      </c>
      <c r="B52" s="37" t="s">
        <v>34</v>
      </c>
      <c r="C52" s="250"/>
      <c r="D52" s="249"/>
      <c r="E52" s="250"/>
      <c r="F52" s="250"/>
      <c r="G52" s="251">
        <f>J52+M52+O52+R52</f>
        <v>140000</v>
      </c>
      <c r="H52" s="251"/>
      <c r="I52" s="251"/>
      <c r="J52" s="252">
        <v>65000</v>
      </c>
      <c r="K52" s="252"/>
      <c r="L52" s="252"/>
      <c r="M52" s="252"/>
      <c r="N52" s="252"/>
      <c r="O52" s="252"/>
      <c r="P52" s="252"/>
      <c r="Q52" s="252"/>
      <c r="R52" s="252">
        <v>75000</v>
      </c>
      <c r="S52" s="252"/>
      <c r="T52" s="49"/>
    </row>
    <row r="53" spans="1:20" ht="33" customHeight="1" x14ac:dyDescent="0.35">
      <c r="A53" s="36" t="s">
        <v>108</v>
      </c>
      <c r="B53" s="37" t="s">
        <v>35</v>
      </c>
      <c r="C53" s="250"/>
      <c r="D53" s="249"/>
      <c r="E53" s="250"/>
      <c r="F53" s="250"/>
      <c r="G53" s="251">
        <f>M53+O53+R53+J53</f>
        <v>25000</v>
      </c>
      <c r="H53" s="251"/>
      <c r="I53" s="251"/>
      <c r="J53" s="252"/>
      <c r="K53" s="252"/>
      <c r="L53" s="252"/>
      <c r="M53" s="252"/>
      <c r="N53" s="252"/>
      <c r="O53" s="252">
        <v>25000</v>
      </c>
      <c r="P53" s="252"/>
      <c r="Q53" s="252"/>
      <c r="R53" s="252"/>
      <c r="S53" s="252"/>
      <c r="T53" s="49"/>
    </row>
    <row r="54" spans="1:20" ht="33" customHeight="1" x14ac:dyDescent="0.35">
      <c r="A54" s="36" t="s">
        <v>109</v>
      </c>
      <c r="B54" s="37" t="s">
        <v>36</v>
      </c>
      <c r="C54" s="250"/>
      <c r="D54" s="249"/>
      <c r="E54" s="250"/>
      <c r="F54" s="250"/>
      <c r="G54" s="251">
        <f>J54+M54+O54+R54</f>
        <v>100000</v>
      </c>
      <c r="H54" s="251"/>
      <c r="I54" s="251"/>
      <c r="J54" s="252"/>
      <c r="K54" s="252"/>
      <c r="L54" s="252"/>
      <c r="M54" s="252"/>
      <c r="N54" s="252"/>
      <c r="O54" s="252">
        <v>100000</v>
      </c>
      <c r="P54" s="252"/>
      <c r="Q54" s="252"/>
      <c r="R54" s="252"/>
      <c r="S54" s="252"/>
      <c r="T54" s="49"/>
    </row>
    <row r="55" spans="1:20" ht="41.25" customHeight="1" x14ac:dyDescent="0.35">
      <c r="A55" s="36" t="s">
        <v>110</v>
      </c>
      <c r="B55" s="38" t="s">
        <v>72</v>
      </c>
      <c r="C55" s="250"/>
      <c r="D55" s="249"/>
      <c r="E55" s="250"/>
      <c r="F55" s="250"/>
      <c r="G55" s="245">
        <f>J55</f>
        <v>0</v>
      </c>
      <c r="H55" s="245"/>
      <c r="I55" s="42"/>
      <c r="J55" s="244"/>
      <c r="K55" s="244"/>
      <c r="L55" s="244"/>
      <c r="M55" s="244"/>
      <c r="N55" s="244"/>
      <c r="O55" s="244"/>
      <c r="P55" s="244"/>
      <c r="Q55" s="244"/>
      <c r="R55" s="244"/>
      <c r="S55" s="244"/>
      <c r="T55" s="49"/>
    </row>
    <row r="56" spans="1:20" ht="55.5" customHeight="1" x14ac:dyDescent="0.35">
      <c r="A56" s="36" t="s">
        <v>111</v>
      </c>
      <c r="B56" s="35" t="s">
        <v>51</v>
      </c>
      <c r="C56" s="250"/>
      <c r="D56" s="249"/>
      <c r="E56" s="250"/>
      <c r="F56" s="250"/>
      <c r="G56" s="245">
        <f>J56+M56+O56+R56</f>
        <v>1200000</v>
      </c>
      <c r="H56" s="245"/>
      <c r="I56" s="42"/>
      <c r="J56" s="244"/>
      <c r="K56" s="244"/>
      <c r="L56" s="244"/>
      <c r="M56" s="244">
        <v>1200000</v>
      </c>
      <c r="N56" s="244"/>
      <c r="O56" s="244"/>
      <c r="P56" s="244"/>
      <c r="Q56" s="244"/>
      <c r="R56" s="253"/>
      <c r="S56" s="253"/>
      <c r="T56" s="49"/>
    </row>
    <row r="57" spans="1:20" ht="17.25" customHeight="1" x14ac:dyDescent="0.35">
      <c r="A57" s="254" t="s">
        <v>112</v>
      </c>
      <c r="B57" s="254"/>
      <c r="C57" s="254"/>
      <c r="D57" s="254"/>
      <c r="E57" s="254"/>
      <c r="F57" s="254"/>
      <c r="G57" s="254"/>
      <c r="H57" s="254"/>
      <c r="I57" s="254"/>
      <c r="J57" s="254"/>
      <c r="K57" s="254"/>
      <c r="L57" s="254"/>
      <c r="M57" s="254"/>
      <c r="N57" s="254"/>
      <c r="O57" s="254"/>
      <c r="P57" s="254"/>
      <c r="Q57" s="254"/>
      <c r="R57" s="254"/>
      <c r="S57" s="254"/>
      <c r="T57" s="254"/>
    </row>
    <row r="58" spans="1:20" s="23" customFormat="1" ht="89.25" customHeight="1" x14ac:dyDescent="0.35">
      <c r="A58" s="51" t="s">
        <v>28</v>
      </c>
      <c r="B58" s="30" t="s">
        <v>37</v>
      </c>
      <c r="C58" s="51" t="s">
        <v>57</v>
      </c>
      <c r="D58" s="51" t="s">
        <v>59</v>
      </c>
      <c r="E58" s="197" t="s">
        <v>39</v>
      </c>
      <c r="F58" s="197"/>
      <c r="G58" s="236">
        <f>J58+M58+O58+R58+T58</f>
        <v>200000</v>
      </c>
      <c r="H58" s="236"/>
      <c r="I58" s="58"/>
      <c r="J58" s="236"/>
      <c r="K58" s="236"/>
      <c r="L58" s="236"/>
      <c r="M58" s="236">
        <v>50000</v>
      </c>
      <c r="N58" s="236"/>
      <c r="O58" s="236">
        <v>50000</v>
      </c>
      <c r="P58" s="236"/>
      <c r="Q58" s="236"/>
      <c r="R58" s="236">
        <v>50000</v>
      </c>
      <c r="S58" s="236"/>
      <c r="T58" s="58">
        <v>50000</v>
      </c>
    </row>
    <row r="59" spans="1:20" ht="17.25" customHeight="1" x14ac:dyDescent="0.35">
      <c r="A59" s="254" t="s">
        <v>113</v>
      </c>
      <c r="B59" s="254"/>
      <c r="C59" s="254"/>
      <c r="D59" s="254"/>
      <c r="E59" s="254"/>
      <c r="F59" s="254"/>
      <c r="G59" s="254"/>
      <c r="H59" s="254"/>
      <c r="I59" s="254"/>
      <c r="J59" s="254"/>
      <c r="K59" s="254"/>
      <c r="L59" s="254"/>
      <c r="M59" s="254"/>
      <c r="N59" s="254"/>
      <c r="O59" s="254"/>
      <c r="P59" s="254"/>
      <c r="Q59" s="254"/>
      <c r="R59" s="254"/>
      <c r="S59" s="254"/>
      <c r="T59" s="254"/>
    </row>
    <row r="60" spans="1:20" x14ac:dyDescent="0.35">
      <c r="A60" s="12"/>
      <c r="B60" s="13" t="s">
        <v>38</v>
      </c>
      <c r="C60" s="14"/>
      <c r="D60" s="67"/>
      <c r="E60" s="255"/>
      <c r="F60" s="255"/>
      <c r="G60" s="256"/>
      <c r="H60" s="256"/>
      <c r="I60" s="256"/>
      <c r="J60" s="256"/>
      <c r="K60" s="256"/>
      <c r="L60" s="256"/>
      <c r="M60" s="256"/>
      <c r="N60" s="256"/>
      <c r="O60" s="256"/>
      <c r="P60" s="256"/>
      <c r="Q60" s="256"/>
      <c r="R60" s="256"/>
      <c r="S60" s="256"/>
      <c r="T60" s="34"/>
    </row>
    <row r="61" spans="1:20" ht="66" customHeight="1" x14ac:dyDescent="0.35">
      <c r="A61" s="51" t="s">
        <v>29</v>
      </c>
      <c r="B61" s="30" t="s">
        <v>46</v>
      </c>
      <c r="C61" s="197" t="s">
        <v>57</v>
      </c>
      <c r="D61" s="197" t="s">
        <v>59</v>
      </c>
      <c r="E61" s="197" t="s">
        <v>39</v>
      </c>
      <c r="F61" s="197"/>
      <c r="G61" s="236">
        <f>J61+M61+O61+R61+T61</f>
        <v>1500000</v>
      </c>
      <c r="H61" s="236"/>
      <c r="I61" s="236"/>
      <c r="J61" s="239">
        <v>300000</v>
      </c>
      <c r="K61" s="239"/>
      <c r="L61" s="239"/>
      <c r="M61" s="236">
        <v>300000</v>
      </c>
      <c r="N61" s="236"/>
      <c r="O61" s="236">
        <v>300000</v>
      </c>
      <c r="P61" s="236"/>
      <c r="Q61" s="236"/>
      <c r="R61" s="236">
        <v>300000</v>
      </c>
      <c r="S61" s="236"/>
      <c r="T61" s="58">
        <v>300000</v>
      </c>
    </row>
    <row r="62" spans="1:20" ht="45" customHeight="1" x14ac:dyDescent="0.35">
      <c r="A62" s="51" t="s">
        <v>114</v>
      </c>
      <c r="B62" s="11" t="s">
        <v>73</v>
      </c>
      <c r="C62" s="197"/>
      <c r="D62" s="197"/>
      <c r="E62" s="197"/>
      <c r="F62" s="197"/>
      <c r="G62" s="236">
        <f>J62+M62+O62+R62</f>
        <v>4000000</v>
      </c>
      <c r="H62" s="236"/>
      <c r="I62" s="236"/>
      <c r="J62" s="240">
        <v>2890000</v>
      </c>
      <c r="K62" s="240"/>
      <c r="L62" s="240"/>
      <c r="M62" s="236">
        <v>1110000</v>
      </c>
      <c r="N62" s="236"/>
      <c r="O62" s="236"/>
      <c r="P62" s="236"/>
      <c r="Q62" s="236"/>
      <c r="R62" s="236"/>
      <c r="S62" s="236"/>
      <c r="T62" s="34"/>
    </row>
    <row r="63" spans="1:20" ht="51.75" customHeight="1" x14ac:dyDescent="0.35">
      <c r="A63" s="51" t="s">
        <v>115</v>
      </c>
      <c r="B63" s="30" t="s">
        <v>74</v>
      </c>
      <c r="C63" s="197"/>
      <c r="D63" s="197"/>
      <c r="E63" s="197"/>
      <c r="F63" s="197"/>
      <c r="G63" s="236">
        <f>J63+M63+O63+R63</f>
        <v>4000000</v>
      </c>
      <c r="H63" s="236"/>
      <c r="I63" s="9"/>
      <c r="J63" s="236"/>
      <c r="K63" s="236"/>
      <c r="L63" s="236"/>
      <c r="M63" s="228">
        <v>2000000</v>
      </c>
      <c r="N63" s="228"/>
      <c r="O63" s="228">
        <v>2000000</v>
      </c>
      <c r="P63" s="228"/>
      <c r="Q63" s="228"/>
      <c r="R63" s="228"/>
      <c r="S63" s="228"/>
      <c r="T63" s="34"/>
    </row>
    <row r="64" spans="1:20" ht="102" customHeight="1" x14ac:dyDescent="0.35">
      <c r="A64" s="27" t="s">
        <v>116</v>
      </c>
      <c r="B64" s="30" t="s">
        <v>75</v>
      </c>
      <c r="C64" s="197"/>
      <c r="D64" s="197"/>
      <c r="E64" s="197"/>
      <c r="F64" s="197"/>
      <c r="G64" s="228">
        <f>J64+M64+O64+R64+T64</f>
        <v>5000000</v>
      </c>
      <c r="H64" s="228"/>
      <c r="I64" s="59"/>
      <c r="J64" s="228"/>
      <c r="K64" s="228"/>
      <c r="L64" s="228"/>
      <c r="M64" s="228"/>
      <c r="N64" s="228"/>
      <c r="O64" s="228">
        <v>1000000</v>
      </c>
      <c r="P64" s="228"/>
      <c r="Q64" s="228"/>
      <c r="R64" s="228">
        <v>2000000</v>
      </c>
      <c r="S64" s="228"/>
      <c r="T64" s="68">
        <v>2000000</v>
      </c>
    </row>
    <row r="65" spans="1:20" ht="84.75" customHeight="1" x14ac:dyDescent="0.35">
      <c r="A65" s="27" t="s">
        <v>117</v>
      </c>
      <c r="B65" s="30" t="s">
        <v>76</v>
      </c>
      <c r="C65" s="197"/>
      <c r="D65" s="197"/>
      <c r="E65" s="197"/>
      <c r="F65" s="197"/>
      <c r="G65" s="228">
        <f>J65+M65+O65+R65+T65</f>
        <v>500000</v>
      </c>
      <c r="H65" s="228"/>
      <c r="I65" s="59"/>
      <c r="J65" s="228"/>
      <c r="K65" s="228"/>
      <c r="L65" s="228"/>
      <c r="M65" s="228"/>
      <c r="N65" s="228"/>
      <c r="O65" s="228"/>
      <c r="P65" s="228"/>
      <c r="Q65" s="228"/>
      <c r="R65" s="228"/>
      <c r="S65" s="228"/>
      <c r="T65" s="68">
        <v>500000</v>
      </c>
    </row>
    <row r="66" spans="1:20" ht="84.75" customHeight="1" x14ac:dyDescent="0.35">
      <c r="A66" s="27" t="s">
        <v>118</v>
      </c>
      <c r="B66" s="28" t="s">
        <v>77</v>
      </c>
      <c r="C66" s="197"/>
      <c r="D66" s="197"/>
      <c r="E66" s="197"/>
      <c r="F66" s="197"/>
      <c r="G66" s="228">
        <f>J66+M66+O66+R66+T66</f>
        <v>300000</v>
      </c>
      <c r="H66" s="228"/>
      <c r="I66" s="59"/>
      <c r="J66" s="228"/>
      <c r="K66" s="228"/>
      <c r="L66" s="228"/>
      <c r="M66" s="228"/>
      <c r="N66" s="228"/>
      <c r="O66" s="228"/>
      <c r="P66" s="228"/>
      <c r="Q66" s="228"/>
      <c r="R66" s="228"/>
      <c r="S66" s="228"/>
      <c r="T66" s="68">
        <v>300000</v>
      </c>
    </row>
    <row r="67" spans="1:20" ht="84.75" customHeight="1" x14ac:dyDescent="0.35">
      <c r="A67" s="27" t="s">
        <v>119</v>
      </c>
      <c r="B67" s="28" t="s">
        <v>78</v>
      </c>
      <c r="C67" s="51" t="s">
        <v>57</v>
      </c>
      <c r="D67" s="51" t="s">
        <v>59</v>
      </c>
      <c r="E67" s="197" t="s">
        <v>39</v>
      </c>
      <c r="F67" s="197"/>
      <c r="G67" s="228">
        <f>J67+M67+O67+R67+T67</f>
        <v>300000</v>
      </c>
      <c r="H67" s="228"/>
      <c r="I67" s="59"/>
      <c r="J67" s="228"/>
      <c r="K67" s="228"/>
      <c r="L67" s="228"/>
      <c r="M67" s="228"/>
      <c r="N67" s="228"/>
      <c r="O67" s="228"/>
      <c r="P67" s="228"/>
      <c r="Q67" s="228"/>
      <c r="R67" s="228"/>
      <c r="S67" s="228"/>
      <c r="T67" s="68">
        <v>300000</v>
      </c>
    </row>
    <row r="68" spans="1:20" ht="41.25" customHeight="1" x14ac:dyDescent="0.35">
      <c r="A68" s="30"/>
      <c r="B68" s="257" t="s">
        <v>79</v>
      </c>
      <c r="C68" s="257"/>
      <c r="D68" s="257"/>
      <c r="E68" s="257"/>
      <c r="F68" s="257"/>
      <c r="G68" s="258">
        <f>G6+G7+G10+G12+G13+G17+G20+G22+G23+G25+G27+G29+G30+G31+G33+G34+G35+G37+G39+G40+G42+G44+G45+G46+G58+G61+G62+G63+G64+G65+G66+G67+G18+G28+G26+G47</f>
        <v>34568000</v>
      </c>
      <c r="H68" s="258"/>
      <c r="I68" s="258"/>
      <c r="J68" s="258">
        <f>J6+J7+J10+J12+J13+J17+J18+J20+J22+J25+J29+J30+J31+J33+J34+J35+J37+J39+J40+J42+J44+J45+J46+J47+J58+J61+J62+J63+J64+J65+J66+J67</f>
        <v>6281000</v>
      </c>
      <c r="K68" s="258"/>
      <c r="L68" s="258"/>
      <c r="M68" s="258">
        <f>M6+M7+M10+M12+M13+M17+M18+M20+M22+M23+M25+M26+M27+M28+M29+M30+M31+M33+M34+M35+M37+M39+M40+M42+M44+M45+M46+M47+M58+M61+M62+M63+M64+M65+M66+M67</f>
        <v>10439000</v>
      </c>
      <c r="N68" s="258"/>
      <c r="O68" s="258">
        <f>O6+O7+O10+O12+O13+O17++O20+O22+O23+O25+O27+O29++O30+O31+O33+O34+O35+O37++O39+O40+O42+O44+O45+O46+O48+O49+O50+O51+O52+O53+O54+O56+O55+O58+O61+O62+O63+O64++O65+O66+O67+O18+O28+O26</f>
        <v>6341000</v>
      </c>
      <c r="P68" s="258"/>
      <c r="Q68" s="258"/>
      <c r="R68" s="258">
        <f>R6+R7+R10+R12+R13+R17+R20+R22+R23+R25+R27+R29+R30+R31+R33+R34+R35+R37+R39+R40+R42++R44+R45+R46+R48+R49+R50+R51+R52+R53+R54+R55+R56+R58++R61+R62+R63+R64+R65+R66+R67+R18+R28+R26</f>
        <v>5266000</v>
      </c>
      <c r="S68" s="258"/>
      <c r="T68" s="39">
        <f>T6+T7+T10+T12+T13+T17+T20+T22+T23+T25+T27+T29+T30+T31+T33+T34+T35+T37+T39+T40+T42+T44+T45+T46+T48+T49+T50+T51+T52+T53+T54+T55+T56+T58+T61+T62+T63+T64+T65+T66+T67+T18+T28+T26</f>
        <v>6241000</v>
      </c>
    </row>
    <row r="69" spans="1:20" ht="30" customHeight="1" x14ac:dyDescent="0.35">
      <c r="B69" s="77" t="s">
        <v>134</v>
      </c>
      <c r="J69" s="147">
        <f>J72+J76</f>
        <v>6281000</v>
      </c>
      <c r="K69" s="148"/>
      <c r="L69" s="148"/>
    </row>
    <row r="70" spans="1:20" s="23" customFormat="1" ht="27.75" customHeight="1" x14ac:dyDescent="0.35">
      <c r="A70" s="78"/>
      <c r="B70" s="145" t="s">
        <v>130</v>
      </c>
      <c r="C70" s="145"/>
      <c r="D70" s="70"/>
      <c r="E70" s="70"/>
      <c r="F70" s="70"/>
      <c r="G70" s="149"/>
      <c r="H70" s="149"/>
      <c r="I70" s="71"/>
      <c r="J70" s="150">
        <f>J6+J7+J10+J12+J13+J17+J18+J20+J22+J33+J34+J35+J37+J42+J61</f>
        <v>2395000</v>
      </c>
      <c r="K70" s="149"/>
      <c r="L70" s="149"/>
      <c r="M70" s="149"/>
      <c r="N70" s="149"/>
      <c r="O70" s="149"/>
      <c r="P70" s="149"/>
      <c r="Q70" s="149"/>
      <c r="R70" s="149"/>
      <c r="S70" s="149"/>
      <c r="T70" s="71"/>
    </row>
    <row r="71" spans="1:20" s="74" customFormat="1" ht="26.25" customHeight="1" x14ac:dyDescent="0.35">
      <c r="A71" s="78"/>
      <c r="B71" s="146" t="s">
        <v>131</v>
      </c>
      <c r="C71" s="146"/>
      <c r="D71" s="72"/>
      <c r="E71" s="72"/>
      <c r="F71" s="72"/>
      <c r="G71" s="152"/>
      <c r="H71" s="152"/>
      <c r="I71" s="73"/>
      <c r="J71" s="153">
        <f>J40+J44+J45+J47+J62</f>
        <v>3605000</v>
      </c>
      <c r="K71" s="152"/>
      <c r="L71" s="152"/>
      <c r="M71" s="152"/>
      <c r="N71" s="152"/>
      <c r="O71" s="152"/>
      <c r="P71" s="152"/>
      <c r="Q71" s="152"/>
      <c r="R71" s="152"/>
      <c r="S71" s="152"/>
      <c r="T71" s="73"/>
    </row>
    <row r="72" spans="1:20" ht="35.25" customHeight="1" x14ac:dyDescent="0.35">
      <c r="A72" s="69"/>
      <c r="B72" s="75" t="s">
        <v>132</v>
      </c>
      <c r="C72" s="69"/>
      <c r="D72" s="69"/>
      <c r="G72" s="151"/>
      <c r="H72" s="151"/>
      <c r="J72" s="143">
        <f>J70+J71</f>
        <v>6000000</v>
      </c>
      <c r="K72" s="144"/>
      <c r="L72" s="144"/>
      <c r="M72" s="151"/>
      <c r="N72" s="151"/>
      <c r="O72" s="259"/>
      <c r="P72" s="259"/>
      <c r="Q72" s="259"/>
      <c r="R72" s="259"/>
      <c r="S72" s="259"/>
    </row>
    <row r="74" spans="1:20" ht="26.25" customHeight="1" x14ac:dyDescent="0.35">
      <c r="B74" s="145" t="s">
        <v>130</v>
      </c>
      <c r="C74" s="145"/>
      <c r="D74" s="70"/>
      <c r="E74" s="70"/>
      <c r="F74" s="70"/>
      <c r="G74" s="149"/>
      <c r="H74" s="149"/>
      <c r="I74" s="71"/>
      <c r="J74" s="150">
        <f>J25+J29+J30</f>
        <v>101000</v>
      </c>
      <c r="K74" s="149"/>
      <c r="L74" s="149"/>
      <c r="M74" s="149"/>
      <c r="N74" s="149"/>
      <c r="O74" s="149"/>
      <c r="P74" s="149"/>
      <c r="Q74" s="149"/>
      <c r="R74" s="149"/>
      <c r="S74" s="149"/>
      <c r="T74" s="71"/>
    </row>
    <row r="75" spans="1:20" ht="25.5" customHeight="1" x14ac:dyDescent="0.35">
      <c r="B75" s="146" t="s">
        <v>131</v>
      </c>
      <c r="C75" s="146"/>
      <c r="D75" s="72"/>
      <c r="E75" s="72"/>
      <c r="F75" s="72"/>
      <c r="G75" s="152"/>
      <c r="H75" s="152"/>
      <c r="I75" s="73"/>
      <c r="J75" s="153">
        <f>J31</f>
        <v>180000</v>
      </c>
      <c r="K75" s="152"/>
      <c r="L75" s="152"/>
      <c r="M75" s="152"/>
      <c r="N75" s="152"/>
      <c r="O75" s="152"/>
      <c r="P75" s="152"/>
      <c r="Q75" s="152"/>
      <c r="R75" s="152"/>
      <c r="S75" s="152"/>
      <c r="T75" s="73"/>
    </row>
    <row r="76" spans="1:20" ht="26.25" customHeight="1" x14ac:dyDescent="0.35">
      <c r="B76" s="76" t="s">
        <v>133</v>
      </c>
      <c r="J76" s="143">
        <f>J74+J75</f>
        <v>281000</v>
      </c>
      <c r="K76" s="144"/>
      <c r="L76" s="144"/>
    </row>
    <row r="85" spans="2:2" x14ac:dyDescent="0.35">
      <c r="B85" s="20"/>
    </row>
    <row r="86" spans="2:2" x14ac:dyDescent="0.35">
      <c r="B86" s="20"/>
    </row>
    <row r="87" spans="2:2" x14ac:dyDescent="0.35">
      <c r="B87" s="20"/>
    </row>
  </sheetData>
  <mergeCells count="339">
    <mergeCell ref="M72:N72"/>
    <mergeCell ref="O72:Q72"/>
    <mergeCell ref="R72:S72"/>
    <mergeCell ref="M70:N70"/>
    <mergeCell ref="O70:Q70"/>
    <mergeCell ref="R70:S70"/>
    <mergeCell ref="G71:H71"/>
    <mergeCell ref="J71:L71"/>
    <mergeCell ref="M71:N71"/>
    <mergeCell ref="O71:Q71"/>
    <mergeCell ref="R71:S71"/>
    <mergeCell ref="O65:Q65"/>
    <mergeCell ref="R65:S65"/>
    <mergeCell ref="G66:H66"/>
    <mergeCell ref="J66:L66"/>
    <mergeCell ref="M66:N66"/>
    <mergeCell ref="O66:Q66"/>
    <mergeCell ref="R66:S66"/>
    <mergeCell ref="B68:F68"/>
    <mergeCell ref="G68:I68"/>
    <mergeCell ref="J68:L68"/>
    <mergeCell ref="M68:N68"/>
    <mergeCell ref="O68:Q68"/>
    <mergeCell ref="R68:S68"/>
    <mergeCell ref="E67:F67"/>
    <mergeCell ref="G67:H67"/>
    <mergeCell ref="J67:L67"/>
    <mergeCell ref="M67:N67"/>
    <mergeCell ref="O67:Q67"/>
    <mergeCell ref="R67:S67"/>
    <mergeCell ref="C61:C66"/>
    <mergeCell ref="D61:D66"/>
    <mergeCell ref="E61:F66"/>
    <mergeCell ref="G65:H65"/>
    <mergeCell ref="J65:L65"/>
    <mergeCell ref="J62:L62"/>
    <mergeCell ref="M62:N62"/>
    <mergeCell ref="O62:Q62"/>
    <mergeCell ref="R62:S62"/>
    <mergeCell ref="G61:I61"/>
    <mergeCell ref="J61:L61"/>
    <mergeCell ref="M61:N61"/>
    <mergeCell ref="G63:H63"/>
    <mergeCell ref="J63:L63"/>
    <mergeCell ref="M63:N63"/>
    <mergeCell ref="M65:N65"/>
    <mergeCell ref="A59:T59"/>
    <mergeCell ref="E60:F60"/>
    <mergeCell ref="G60:I60"/>
    <mergeCell ref="J60:L60"/>
    <mergeCell ref="M60:N60"/>
    <mergeCell ref="O60:Q60"/>
    <mergeCell ref="R60:S60"/>
    <mergeCell ref="E58:F58"/>
    <mergeCell ref="G58:H58"/>
    <mergeCell ref="J58:L58"/>
    <mergeCell ref="M58:N58"/>
    <mergeCell ref="O58:Q58"/>
    <mergeCell ref="R58:S58"/>
    <mergeCell ref="O63:Q63"/>
    <mergeCell ref="R63:S63"/>
    <mergeCell ref="G64:H64"/>
    <mergeCell ref="J64:L64"/>
    <mergeCell ref="M64:N64"/>
    <mergeCell ref="O64:Q64"/>
    <mergeCell ref="R64:S64"/>
    <mergeCell ref="O61:Q61"/>
    <mergeCell ref="R61:S61"/>
    <mergeCell ref="G62:I62"/>
    <mergeCell ref="A57:T57"/>
    <mergeCell ref="G54:I54"/>
    <mergeCell ref="J54:L54"/>
    <mergeCell ref="M54:N54"/>
    <mergeCell ref="O54:Q54"/>
    <mergeCell ref="R54:S54"/>
    <mergeCell ref="G55:H55"/>
    <mergeCell ref="J55:L55"/>
    <mergeCell ref="M55:N55"/>
    <mergeCell ref="O55:Q55"/>
    <mergeCell ref="R55:S55"/>
    <mergeCell ref="C51:C56"/>
    <mergeCell ref="D51:D56"/>
    <mergeCell ref="E51:F56"/>
    <mergeCell ref="G51:I51"/>
    <mergeCell ref="J51:L51"/>
    <mergeCell ref="M51:N51"/>
    <mergeCell ref="O51:Q51"/>
    <mergeCell ref="R51:S51"/>
    <mergeCell ref="G52:I52"/>
    <mergeCell ref="J52:L52"/>
    <mergeCell ref="M52:N52"/>
    <mergeCell ref="O52:Q52"/>
    <mergeCell ref="R52:S52"/>
    <mergeCell ref="G53:I53"/>
    <mergeCell ref="J53:L53"/>
    <mergeCell ref="M53:N53"/>
    <mergeCell ref="O53:Q53"/>
    <mergeCell ref="R53:S53"/>
    <mergeCell ref="G56:H56"/>
    <mergeCell ref="J56:L56"/>
    <mergeCell ref="M56:N56"/>
    <mergeCell ref="O56:Q56"/>
    <mergeCell ref="R56:S56"/>
    <mergeCell ref="O48:Q48"/>
    <mergeCell ref="R48:S48"/>
    <mergeCell ref="G49:I49"/>
    <mergeCell ref="J49:L49"/>
    <mergeCell ref="M49:N49"/>
    <mergeCell ref="O49:Q49"/>
    <mergeCell ref="R49:S49"/>
    <mergeCell ref="C48:C50"/>
    <mergeCell ref="D48:D50"/>
    <mergeCell ref="E48:F50"/>
    <mergeCell ref="G48:H48"/>
    <mergeCell ref="J48:L48"/>
    <mergeCell ref="M48:N48"/>
    <mergeCell ref="G50:I50"/>
    <mergeCell ref="J50:L50"/>
    <mergeCell ref="M50:N50"/>
    <mergeCell ref="O50:Q50"/>
    <mergeCell ref="R50:S50"/>
    <mergeCell ref="E47:F47"/>
    <mergeCell ref="G47:I47"/>
    <mergeCell ref="J47:L47"/>
    <mergeCell ref="M47:N47"/>
    <mergeCell ref="O47:Q47"/>
    <mergeCell ref="R47:S47"/>
    <mergeCell ref="J45:L45"/>
    <mergeCell ref="M45:N45"/>
    <mergeCell ref="O45:Q45"/>
    <mergeCell ref="R45:S45"/>
    <mergeCell ref="G46:I46"/>
    <mergeCell ref="J46:L46"/>
    <mergeCell ref="M46:N46"/>
    <mergeCell ref="O46:Q46"/>
    <mergeCell ref="R46:S46"/>
    <mergeCell ref="A41:T41"/>
    <mergeCell ref="E42:F42"/>
    <mergeCell ref="G42:I42"/>
    <mergeCell ref="J42:L42"/>
    <mergeCell ref="M42:N42"/>
    <mergeCell ref="O42:Q42"/>
    <mergeCell ref="R42:S42"/>
    <mergeCell ref="A43:T43"/>
    <mergeCell ref="C44:C46"/>
    <mergeCell ref="D44:D46"/>
    <mergeCell ref="E44:F46"/>
    <mergeCell ref="G44:I44"/>
    <mergeCell ref="J44:L44"/>
    <mergeCell ref="M44:N44"/>
    <mergeCell ref="O44:Q44"/>
    <mergeCell ref="R44:S44"/>
    <mergeCell ref="G45:H45"/>
    <mergeCell ref="A38:T38"/>
    <mergeCell ref="D39:D40"/>
    <mergeCell ref="E39:F40"/>
    <mergeCell ref="G39:I39"/>
    <mergeCell ref="J39:L39"/>
    <mergeCell ref="M39:N39"/>
    <mergeCell ref="O39:Q39"/>
    <mergeCell ref="R39:S39"/>
    <mergeCell ref="G40:I40"/>
    <mergeCell ref="J40:L40"/>
    <mergeCell ref="M40:N40"/>
    <mergeCell ref="O40:Q40"/>
    <mergeCell ref="R40:S40"/>
    <mergeCell ref="A36:T36"/>
    <mergeCell ref="E37:F37"/>
    <mergeCell ref="G37:H37"/>
    <mergeCell ref="J37:L37"/>
    <mergeCell ref="M37:N37"/>
    <mergeCell ref="O37:Q37"/>
    <mergeCell ref="R37:S37"/>
    <mergeCell ref="J34:L34"/>
    <mergeCell ref="M34:N34"/>
    <mergeCell ref="O34:Q34"/>
    <mergeCell ref="R34:S34"/>
    <mergeCell ref="G35:H35"/>
    <mergeCell ref="J35:L35"/>
    <mergeCell ref="M35:N35"/>
    <mergeCell ref="O35:Q35"/>
    <mergeCell ref="R35:S35"/>
    <mergeCell ref="A32:T32"/>
    <mergeCell ref="C33:C34"/>
    <mergeCell ref="D33:D35"/>
    <mergeCell ref="E33:F35"/>
    <mergeCell ref="G33:I33"/>
    <mergeCell ref="J33:L33"/>
    <mergeCell ref="M33:N33"/>
    <mergeCell ref="O33:Q33"/>
    <mergeCell ref="R33:S33"/>
    <mergeCell ref="G34:I34"/>
    <mergeCell ref="E31:F31"/>
    <mergeCell ref="G31:I31"/>
    <mergeCell ref="J31:L31"/>
    <mergeCell ref="M31:N31"/>
    <mergeCell ref="O31:Q31"/>
    <mergeCell ref="R31:S31"/>
    <mergeCell ref="E30:F30"/>
    <mergeCell ref="G30:I30"/>
    <mergeCell ref="J30:L30"/>
    <mergeCell ref="M30:N30"/>
    <mergeCell ref="O30:Q30"/>
    <mergeCell ref="R30:S30"/>
    <mergeCell ref="E29:F29"/>
    <mergeCell ref="G29:I29"/>
    <mergeCell ref="J29:L29"/>
    <mergeCell ref="M29:N29"/>
    <mergeCell ref="O29:Q29"/>
    <mergeCell ref="R29:S29"/>
    <mergeCell ref="E28:F28"/>
    <mergeCell ref="G28:H28"/>
    <mergeCell ref="J28:L28"/>
    <mergeCell ref="M28:N28"/>
    <mergeCell ref="O28:Q28"/>
    <mergeCell ref="R28:S28"/>
    <mergeCell ref="E27:F27"/>
    <mergeCell ref="G27:I27"/>
    <mergeCell ref="J27:L27"/>
    <mergeCell ref="M27:N27"/>
    <mergeCell ref="O27:Q27"/>
    <mergeCell ref="R27:S27"/>
    <mergeCell ref="E26:F26"/>
    <mergeCell ref="G26:H26"/>
    <mergeCell ref="J26:L26"/>
    <mergeCell ref="M26:N26"/>
    <mergeCell ref="O26:Q26"/>
    <mergeCell ref="R26:S26"/>
    <mergeCell ref="A15:T16"/>
    <mergeCell ref="C17:C18"/>
    <mergeCell ref="D17:D18"/>
    <mergeCell ref="E17:F18"/>
    <mergeCell ref="G17:H17"/>
    <mergeCell ref="J17:L17"/>
    <mergeCell ref="M17:N17"/>
    <mergeCell ref="A24:T24"/>
    <mergeCell ref="E25:F25"/>
    <mergeCell ref="G25:H25"/>
    <mergeCell ref="J25:L25"/>
    <mergeCell ref="M25:N25"/>
    <mergeCell ref="O25:Q25"/>
    <mergeCell ref="R25:S25"/>
    <mergeCell ref="E23:F23"/>
    <mergeCell ref="G23:I23"/>
    <mergeCell ref="J23:L23"/>
    <mergeCell ref="M23:N23"/>
    <mergeCell ref="O23:Q23"/>
    <mergeCell ref="R23:S23"/>
    <mergeCell ref="A21:T21"/>
    <mergeCell ref="E22:F22"/>
    <mergeCell ref="G22:I22"/>
    <mergeCell ref="J22:L22"/>
    <mergeCell ref="M22:N22"/>
    <mergeCell ref="O22:Q22"/>
    <mergeCell ref="R22:S22"/>
    <mergeCell ref="E20:F20"/>
    <mergeCell ref="G20:H20"/>
    <mergeCell ref="J20:L20"/>
    <mergeCell ref="M20:N20"/>
    <mergeCell ref="O20:Q20"/>
    <mergeCell ref="R20:S20"/>
    <mergeCell ref="O17:Q17"/>
    <mergeCell ref="R17:S17"/>
    <mergeCell ref="A5:T5"/>
    <mergeCell ref="C6:C7"/>
    <mergeCell ref="D6:D7"/>
    <mergeCell ref="E6:F7"/>
    <mergeCell ref="R10:S11"/>
    <mergeCell ref="T10:T11"/>
    <mergeCell ref="G12:I12"/>
    <mergeCell ref="J12:L12"/>
    <mergeCell ref="M12:N12"/>
    <mergeCell ref="O12:Q12"/>
    <mergeCell ref="R12:S12"/>
    <mergeCell ref="A8:T9"/>
    <mergeCell ref="A10:A11"/>
    <mergeCell ref="B10:B11"/>
    <mergeCell ref="C10:C13"/>
    <mergeCell ref="D10:D14"/>
    <mergeCell ref="E10:F14"/>
    <mergeCell ref="G10:I11"/>
    <mergeCell ref="J10:L11"/>
    <mergeCell ref="M10:N11"/>
    <mergeCell ref="O10:Q11"/>
    <mergeCell ref="R13:S14"/>
    <mergeCell ref="A13:A14"/>
    <mergeCell ref="B13:B14"/>
    <mergeCell ref="A2:A4"/>
    <mergeCell ref="B2:B4"/>
    <mergeCell ref="C2:C4"/>
    <mergeCell ref="D2:D4"/>
    <mergeCell ref="E2:F4"/>
    <mergeCell ref="G2:T2"/>
    <mergeCell ref="G3:I4"/>
    <mergeCell ref="J3:T3"/>
    <mergeCell ref="J4:L4"/>
    <mergeCell ref="M4:N4"/>
    <mergeCell ref="O4:Q4"/>
    <mergeCell ref="R4:S4"/>
    <mergeCell ref="G13:I14"/>
    <mergeCell ref="J13:L14"/>
    <mergeCell ref="M13:N14"/>
    <mergeCell ref="O13:Q14"/>
    <mergeCell ref="M74:N74"/>
    <mergeCell ref="O74:Q74"/>
    <mergeCell ref="R74:S74"/>
    <mergeCell ref="G75:H75"/>
    <mergeCell ref="J75:L75"/>
    <mergeCell ref="M75:N75"/>
    <mergeCell ref="O75:Q75"/>
    <mergeCell ref="R75:S75"/>
    <mergeCell ref="R6:S6"/>
    <mergeCell ref="G7:H7"/>
    <mergeCell ref="J7:L7"/>
    <mergeCell ref="M7:N7"/>
    <mergeCell ref="O7:Q7"/>
    <mergeCell ref="R7:S7"/>
    <mergeCell ref="G6:H6"/>
    <mergeCell ref="J6:L6"/>
    <mergeCell ref="M6:N6"/>
    <mergeCell ref="O6:Q6"/>
    <mergeCell ref="G18:H18"/>
    <mergeCell ref="J18:L18"/>
    <mergeCell ref="M18:N18"/>
    <mergeCell ref="O18:Q18"/>
    <mergeCell ref="R18:S18"/>
    <mergeCell ref="A19:T19"/>
    <mergeCell ref="J76:L76"/>
    <mergeCell ref="B70:C70"/>
    <mergeCell ref="B71:C71"/>
    <mergeCell ref="B74:C74"/>
    <mergeCell ref="B75:C75"/>
    <mergeCell ref="J69:L69"/>
    <mergeCell ref="G74:H74"/>
    <mergeCell ref="J74:L74"/>
    <mergeCell ref="G70:H70"/>
    <mergeCell ref="J70:L70"/>
    <mergeCell ref="G72:H72"/>
    <mergeCell ref="J72:L72"/>
  </mergeCells>
  <pageMargins left="0" right="0" top="0.19685039370078741" bottom="0.19685039370078741" header="0.31496062992125984" footer="0.31496062992125984"/>
  <pageSetup paperSize="9" scale="62" fitToHeight="6" orientation="landscape" horizontalDpi="4294967293" r:id="rId1"/>
  <rowBreaks count="3" manualBreakCount="3">
    <brk id="39" max="19" man="1"/>
    <brk id="53" max="19" man="1"/>
    <brk id="68" max="1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U150"/>
  <sheetViews>
    <sheetView tabSelected="1" view="pageBreakPreview" topLeftCell="D94" zoomScale="70" zoomScaleNormal="70" zoomScaleSheetLayoutView="70" workbookViewId="0">
      <selection activeCell="I96" sqref="I96"/>
    </sheetView>
  </sheetViews>
  <sheetFormatPr defaultColWidth="9.109375" defaultRowHeight="14.4" x14ac:dyDescent="0.3"/>
  <cols>
    <col min="1" max="1" width="9.109375" style="139" customWidth="1"/>
    <col min="2" max="2" width="58.88671875" style="140" customWidth="1"/>
    <col min="3" max="3" width="50" style="140" customWidth="1"/>
    <col min="4" max="4" width="14.88671875" style="140" customWidth="1"/>
    <col min="5" max="5" width="17.6640625" style="140" customWidth="1"/>
    <col min="6" max="6" width="20.33203125" style="140" customWidth="1"/>
    <col min="7" max="7" width="19.33203125" style="140" customWidth="1"/>
    <col min="8" max="8" width="19.6640625" style="140" customWidth="1"/>
    <col min="9" max="9" width="18.109375" style="140" customWidth="1"/>
    <col min="10" max="10" width="19.88671875" style="140" customWidth="1"/>
    <col min="11" max="11" width="13.44140625" style="140" customWidth="1"/>
    <col min="12" max="12" width="38" style="140" customWidth="1"/>
    <col min="13" max="13" width="23.109375" style="85" customWidth="1"/>
    <col min="14" max="14" width="16.6640625" style="140" customWidth="1"/>
    <col min="15" max="16" width="9.109375" style="140"/>
    <col min="17" max="17" width="13.44140625" style="140" bestFit="1" customWidth="1"/>
    <col min="18" max="16384" width="9.109375" style="140"/>
  </cols>
  <sheetData>
    <row r="1" spans="1:21" s="80" customFormat="1" ht="15.6" x14ac:dyDescent="0.3">
      <c r="A1" s="88"/>
      <c r="J1" s="103" t="s">
        <v>334</v>
      </c>
      <c r="K1" s="103"/>
      <c r="L1" s="103"/>
      <c r="M1" s="108"/>
    </row>
    <row r="2" spans="1:21" s="80" customFormat="1" ht="15.6" x14ac:dyDescent="0.3">
      <c r="A2" s="88"/>
      <c r="J2" s="103" t="s">
        <v>234</v>
      </c>
      <c r="K2" s="103"/>
      <c r="L2" s="103"/>
      <c r="M2" s="108"/>
    </row>
    <row r="3" spans="1:21" s="80" customFormat="1" ht="15.6" x14ac:dyDescent="0.3">
      <c r="A3" s="88"/>
      <c r="J3" s="103" t="s">
        <v>380</v>
      </c>
      <c r="K3" s="103"/>
      <c r="L3" s="103"/>
      <c r="M3" s="108"/>
    </row>
    <row r="4" spans="1:21" ht="0.75" hidden="1" customHeight="1" x14ac:dyDescent="0.3"/>
    <row r="5" spans="1:21" ht="51.75" customHeight="1" x14ac:dyDescent="0.3">
      <c r="A5" s="270" t="s">
        <v>333</v>
      </c>
      <c r="B5" s="270"/>
      <c r="C5" s="270"/>
      <c r="D5" s="270"/>
      <c r="E5" s="270"/>
      <c r="F5" s="270"/>
      <c r="G5" s="270"/>
      <c r="H5" s="270"/>
      <c r="I5" s="270"/>
      <c r="J5" s="270"/>
      <c r="K5" s="270"/>
      <c r="L5" s="270"/>
      <c r="M5" s="109"/>
      <c r="N5" s="79"/>
      <c r="O5" s="79"/>
      <c r="P5" s="79"/>
      <c r="Q5" s="79"/>
      <c r="R5" s="79"/>
      <c r="S5" s="79"/>
      <c r="T5" s="79"/>
      <c r="U5" s="79"/>
    </row>
    <row r="6" spans="1:21" ht="1.5" customHeight="1" x14ac:dyDescent="0.3"/>
    <row r="7" spans="1:21" ht="15.6" x14ac:dyDescent="0.3">
      <c r="A7" s="271" t="s">
        <v>0</v>
      </c>
      <c r="B7" s="272" t="s">
        <v>1</v>
      </c>
      <c r="C7" s="272" t="s">
        <v>167</v>
      </c>
      <c r="D7" s="272" t="s">
        <v>144</v>
      </c>
      <c r="E7" s="272" t="s">
        <v>155</v>
      </c>
      <c r="F7" s="272" t="s">
        <v>215</v>
      </c>
      <c r="G7" s="272"/>
      <c r="H7" s="272"/>
      <c r="I7" s="272"/>
      <c r="J7" s="272"/>
      <c r="K7" s="272"/>
      <c r="L7" s="272" t="s">
        <v>145</v>
      </c>
    </row>
    <row r="8" spans="1:21" ht="15.75" customHeight="1" x14ac:dyDescent="0.3">
      <c r="A8" s="271"/>
      <c r="B8" s="272"/>
      <c r="C8" s="272"/>
      <c r="D8" s="272"/>
      <c r="E8" s="272"/>
      <c r="F8" s="272" t="s">
        <v>156</v>
      </c>
      <c r="G8" s="272" t="s">
        <v>157</v>
      </c>
      <c r="H8" s="272"/>
      <c r="I8" s="272"/>
      <c r="J8" s="272"/>
      <c r="K8" s="272"/>
      <c r="L8" s="272"/>
    </row>
    <row r="9" spans="1:21" ht="15.6" x14ac:dyDescent="0.3">
      <c r="A9" s="271"/>
      <c r="B9" s="272"/>
      <c r="C9" s="272"/>
      <c r="D9" s="272"/>
      <c r="E9" s="272"/>
      <c r="F9" s="272"/>
      <c r="G9" s="135" t="s">
        <v>226</v>
      </c>
      <c r="H9" s="135" t="s">
        <v>254</v>
      </c>
      <c r="I9" s="135" t="s">
        <v>309</v>
      </c>
      <c r="J9" s="135">
        <v>2024</v>
      </c>
      <c r="K9" s="135">
        <v>2025</v>
      </c>
      <c r="L9" s="272"/>
    </row>
    <row r="10" spans="1:21" ht="15.6" x14ac:dyDescent="0.3">
      <c r="A10" s="114">
        <v>1</v>
      </c>
      <c r="B10" s="115">
        <v>2</v>
      </c>
      <c r="C10" s="115">
        <v>3</v>
      </c>
      <c r="D10" s="115">
        <v>4</v>
      </c>
      <c r="E10" s="115">
        <v>5</v>
      </c>
      <c r="F10" s="115">
        <v>6</v>
      </c>
      <c r="G10" s="115">
        <v>7</v>
      </c>
      <c r="H10" s="115">
        <v>8</v>
      </c>
      <c r="I10" s="115">
        <v>9</v>
      </c>
      <c r="J10" s="115">
        <v>10</v>
      </c>
      <c r="K10" s="115">
        <v>11</v>
      </c>
      <c r="L10" s="115">
        <v>12</v>
      </c>
    </row>
    <row r="11" spans="1:21" ht="42.75" customHeight="1" x14ac:dyDescent="0.3">
      <c r="A11" s="257" t="s">
        <v>169</v>
      </c>
      <c r="B11" s="257"/>
      <c r="C11" s="257"/>
      <c r="D11" s="257"/>
      <c r="E11" s="257"/>
      <c r="F11" s="257"/>
      <c r="G11" s="257"/>
      <c r="H11" s="257"/>
      <c r="I11" s="257"/>
      <c r="J11" s="257"/>
      <c r="K11" s="257"/>
      <c r="L11" s="257"/>
      <c r="M11" s="116"/>
      <c r="N11" s="117"/>
      <c r="O11" s="117"/>
      <c r="P11" s="117"/>
      <c r="Q11" s="117"/>
      <c r="R11" s="117"/>
      <c r="S11" s="117"/>
    </row>
    <row r="12" spans="1:21" s="91" customFormat="1" ht="177" customHeight="1" x14ac:dyDescent="0.3">
      <c r="A12" s="136" t="s">
        <v>146</v>
      </c>
      <c r="B12" s="137" t="s">
        <v>192</v>
      </c>
      <c r="C12" s="138" t="s">
        <v>193</v>
      </c>
      <c r="D12" s="138" t="s">
        <v>160</v>
      </c>
      <c r="E12" s="138" t="s">
        <v>158</v>
      </c>
      <c r="F12" s="118">
        <f>G12+H12+I12+J12+K12</f>
        <v>100315137.25</v>
      </c>
      <c r="G12" s="118">
        <f>SUM(G13:G34)-G27-G28-G31-G32</f>
        <v>18262534.02</v>
      </c>
      <c r="H12" s="118">
        <f t="shared" ref="H12:I12" si="0">SUM(H13:H34)-H27-H28-H31-H32</f>
        <v>24980532.59</v>
      </c>
      <c r="I12" s="118">
        <f t="shared" si="0"/>
        <v>31419346.640000004</v>
      </c>
      <c r="J12" s="118">
        <f>SUM(J13:J40)-J27-J28-J31-J32-J29</f>
        <v>25652724</v>
      </c>
      <c r="K12" s="118"/>
      <c r="L12" s="138" t="s">
        <v>224</v>
      </c>
      <c r="M12" s="104"/>
      <c r="N12" s="90"/>
    </row>
    <row r="13" spans="1:21" s="91" customFormat="1" ht="186" customHeight="1" x14ac:dyDescent="0.3">
      <c r="A13" s="136" t="s">
        <v>7</v>
      </c>
      <c r="B13" s="137" t="s">
        <v>159</v>
      </c>
      <c r="C13" s="138" t="s">
        <v>194</v>
      </c>
      <c r="D13" s="138">
        <v>2021</v>
      </c>
      <c r="E13" s="138" t="s">
        <v>158</v>
      </c>
      <c r="F13" s="118">
        <f t="shared" ref="F13:F53" si="1">G13+H13+I13+J13+K13</f>
        <v>2397486.0299999998</v>
      </c>
      <c r="G13" s="118">
        <f>1987239.15+410246.88</f>
        <v>2397486.0299999998</v>
      </c>
      <c r="H13" s="118"/>
      <c r="I13" s="118"/>
      <c r="J13" s="118"/>
      <c r="K13" s="119"/>
      <c r="L13" s="138" t="s">
        <v>163</v>
      </c>
      <c r="M13" s="104"/>
    </row>
    <row r="14" spans="1:21" s="91" customFormat="1" ht="180" customHeight="1" x14ac:dyDescent="0.3">
      <c r="A14" s="136" t="s">
        <v>8</v>
      </c>
      <c r="B14" s="137" t="s">
        <v>147</v>
      </c>
      <c r="C14" s="138" t="s">
        <v>195</v>
      </c>
      <c r="D14" s="138" t="s">
        <v>160</v>
      </c>
      <c r="E14" s="138" t="s">
        <v>158</v>
      </c>
      <c r="F14" s="118">
        <f t="shared" si="1"/>
        <v>1007700</v>
      </c>
      <c r="G14" s="118">
        <f>104000+216000</f>
        <v>320000</v>
      </c>
      <c r="H14" s="118">
        <f>280300-139900</f>
        <v>140400</v>
      </c>
      <c r="I14" s="118">
        <v>226000</v>
      </c>
      <c r="J14" s="118">
        <v>321300</v>
      </c>
      <c r="K14" s="119"/>
      <c r="L14" s="138" t="s">
        <v>148</v>
      </c>
      <c r="M14" s="104"/>
    </row>
    <row r="15" spans="1:21" s="91" customFormat="1" ht="173.25" customHeight="1" x14ac:dyDescent="0.3">
      <c r="A15" s="136" t="s">
        <v>135</v>
      </c>
      <c r="B15" s="137" t="s">
        <v>161</v>
      </c>
      <c r="C15" s="138" t="s">
        <v>188</v>
      </c>
      <c r="D15" s="138" t="s">
        <v>160</v>
      </c>
      <c r="E15" s="138" t="s">
        <v>257</v>
      </c>
      <c r="F15" s="118">
        <f t="shared" si="1"/>
        <v>50650411.469999999</v>
      </c>
      <c r="G15" s="118">
        <f>356640+388175.4+1295277.12+51349.35+31648+2574682+510188.88+3170036.13+61238.66+80500</f>
        <v>8519735.5399999991</v>
      </c>
      <c r="H15" s="118">
        <f>10963592.04</f>
        <v>10963592.039999999</v>
      </c>
      <c r="I15" s="118">
        <v>14122383.890000001</v>
      </c>
      <c r="J15" s="118">
        <f>15458300-66000+1652400</f>
        <v>17044700</v>
      </c>
      <c r="K15" s="119"/>
      <c r="L15" s="138" t="s">
        <v>263</v>
      </c>
      <c r="M15" s="104"/>
    </row>
    <row r="16" spans="1:21" s="91" customFormat="1" ht="165.75" customHeight="1" x14ac:dyDescent="0.3">
      <c r="A16" s="136" t="s">
        <v>136</v>
      </c>
      <c r="B16" s="137" t="s">
        <v>182</v>
      </c>
      <c r="C16" s="138" t="s">
        <v>184</v>
      </c>
      <c r="D16" s="138" t="s">
        <v>160</v>
      </c>
      <c r="E16" s="138" t="s">
        <v>158</v>
      </c>
      <c r="F16" s="118">
        <f t="shared" si="1"/>
        <v>11088909.82</v>
      </c>
      <c r="G16" s="118">
        <f>1001934.24+2373058.75</f>
        <v>3374992.99</v>
      </c>
      <c r="H16" s="118">
        <v>4229517.16</v>
      </c>
      <c r="I16" s="118">
        <v>3484399.67</v>
      </c>
      <c r="J16" s="118"/>
      <c r="K16" s="119"/>
      <c r="L16" s="138" t="s">
        <v>150</v>
      </c>
      <c r="M16" s="104"/>
    </row>
    <row r="17" spans="1:13" s="91" customFormat="1" ht="163.5" customHeight="1" x14ac:dyDescent="0.3">
      <c r="A17" s="136" t="s">
        <v>140</v>
      </c>
      <c r="B17" s="92" t="s">
        <v>138</v>
      </c>
      <c r="C17" s="138" t="s">
        <v>185</v>
      </c>
      <c r="D17" s="138" t="s">
        <v>160</v>
      </c>
      <c r="E17" s="138" t="s">
        <v>158</v>
      </c>
      <c r="F17" s="118">
        <f t="shared" si="1"/>
        <v>2000798.3200000003</v>
      </c>
      <c r="G17" s="118">
        <f>279045.25+67358.15+483666.13+115520.03</f>
        <v>945589.56</v>
      </c>
      <c r="H17" s="118">
        <v>613277.16</v>
      </c>
      <c r="I17" s="118">
        <v>212331.6</v>
      </c>
      <c r="J17" s="118">
        <v>229600</v>
      </c>
      <c r="K17" s="119"/>
      <c r="L17" s="138" t="s">
        <v>162</v>
      </c>
      <c r="M17" s="104"/>
    </row>
    <row r="18" spans="1:13" s="91" customFormat="1" ht="177" customHeight="1" x14ac:dyDescent="0.3">
      <c r="A18" s="136" t="s">
        <v>141</v>
      </c>
      <c r="B18" s="92" t="s">
        <v>165</v>
      </c>
      <c r="C18" s="138" t="s">
        <v>196</v>
      </c>
      <c r="D18" s="138" t="s">
        <v>160</v>
      </c>
      <c r="E18" s="138" t="s">
        <v>158</v>
      </c>
      <c r="F18" s="118">
        <f t="shared" si="1"/>
        <v>22700</v>
      </c>
      <c r="G18" s="118">
        <v>22700</v>
      </c>
      <c r="H18" s="118"/>
      <c r="I18" s="118"/>
      <c r="J18" s="118"/>
      <c r="K18" s="119"/>
      <c r="L18" s="138" t="s">
        <v>216</v>
      </c>
      <c r="M18" s="104"/>
    </row>
    <row r="19" spans="1:13" s="91" customFormat="1" ht="174" customHeight="1" x14ac:dyDescent="0.3">
      <c r="A19" s="136" t="s">
        <v>183</v>
      </c>
      <c r="B19" s="137" t="s">
        <v>325</v>
      </c>
      <c r="C19" s="138" t="s">
        <v>197</v>
      </c>
      <c r="D19" s="138" t="s">
        <v>160</v>
      </c>
      <c r="E19" s="138" t="s">
        <v>158</v>
      </c>
      <c r="F19" s="118">
        <f>G19+H19+I19+J19+K19</f>
        <v>849808.8</v>
      </c>
      <c r="G19" s="118">
        <v>267088.8</v>
      </c>
      <c r="H19" s="118"/>
      <c r="I19" s="118"/>
      <c r="J19" s="118">
        <f>582720</f>
        <v>582720</v>
      </c>
      <c r="K19" s="119"/>
      <c r="L19" s="138" t="s">
        <v>219</v>
      </c>
      <c r="M19" s="104"/>
    </row>
    <row r="20" spans="1:13" s="91" customFormat="1" ht="141" customHeight="1" x14ac:dyDescent="0.3">
      <c r="A20" s="136" t="s">
        <v>187</v>
      </c>
      <c r="B20" s="137" t="s">
        <v>367</v>
      </c>
      <c r="C20" s="138" t="s">
        <v>198</v>
      </c>
      <c r="D20" s="138" t="s">
        <v>160</v>
      </c>
      <c r="E20" s="138" t="s">
        <v>158</v>
      </c>
      <c r="F20" s="118">
        <f t="shared" si="1"/>
        <v>528851.19999999995</v>
      </c>
      <c r="G20" s="118">
        <f>49000+149501.2</f>
        <v>198501.2</v>
      </c>
      <c r="H20" s="118">
        <v>179100</v>
      </c>
      <c r="I20" s="118">
        <v>98550</v>
      </c>
      <c r="J20" s="118">
        <f>99000+2800-49100</f>
        <v>52700</v>
      </c>
      <c r="K20" s="119"/>
      <c r="L20" s="138" t="s">
        <v>214</v>
      </c>
      <c r="M20" s="104"/>
    </row>
    <row r="21" spans="1:13" s="91" customFormat="1" ht="180" customHeight="1" x14ac:dyDescent="0.3">
      <c r="A21" s="136" t="s">
        <v>213</v>
      </c>
      <c r="B21" s="137" t="s">
        <v>268</v>
      </c>
      <c r="C21" s="138" t="s">
        <v>198</v>
      </c>
      <c r="D21" s="138" t="s">
        <v>256</v>
      </c>
      <c r="E21" s="138" t="s">
        <v>158</v>
      </c>
      <c r="F21" s="118">
        <f t="shared" si="1"/>
        <v>15724846</v>
      </c>
      <c r="G21" s="118">
        <v>0</v>
      </c>
      <c r="H21" s="118">
        <v>7322467.1799999997</v>
      </c>
      <c r="I21" s="118">
        <v>8402378.8200000003</v>
      </c>
      <c r="J21" s="118"/>
      <c r="K21" s="119"/>
      <c r="L21" s="138" t="s">
        <v>217</v>
      </c>
      <c r="M21" s="104"/>
    </row>
    <row r="22" spans="1:13" s="91" customFormat="1" ht="142.5" customHeight="1" x14ac:dyDescent="0.3">
      <c r="A22" s="136" t="s">
        <v>228</v>
      </c>
      <c r="B22" s="137" t="s">
        <v>230</v>
      </c>
      <c r="C22" s="138" t="s">
        <v>198</v>
      </c>
      <c r="D22" s="138" t="s">
        <v>311</v>
      </c>
      <c r="E22" s="138" t="s">
        <v>158</v>
      </c>
      <c r="F22" s="118">
        <f t="shared" si="1"/>
        <v>1387240</v>
      </c>
      <c r="G22" s="118"/>
      <c r="H22" s="118">
        <v>787240</v>
      </c>
      <c r="I22" s="118"/>
      <c r="J22" s="118">
        <v>600000</v>
      </c>
      <c r="K22" s="119"/>
      <c r="L22" s="138" t="s">
        <v>229</v>
      </c>
      <c r="M22" s="104"/>
    </row>
    <row r="23" spans="1:13" s="91" customFormat="1" ht="161.25" customHeight="1" x14ac:dyDescent="0.3">
      <c r="A23" s="120" t="s">
        <v>239</v>
      </c>
      <c r="B23" s="137" t="s">
        <v>305</v>
      </c>
      <c r="C23" s="138" t="s">
        <v>201</v>
      </c>
      <c r="D23" s="138" t="s">
        <v>160</v>
      </c>
      <c r="E23" s="138" t="s">
        <v>158</v>
      </c>
      <c r="F23" s="118">
        <f t="shared" si="1"/>
        <v>5939879.29</v>
      </c>
      <c r="G23" s="118">
        <f>53865.84+196134.16</f>
        <v>250000</v>
      </c>
      <c r="H23" s="118">
        <v>490046</v>
      </c>
      <c r="I23" s="118">
        <v>2699833.29</v>
      </c>
      <c r="J23" s="118">
        <v>2500000</v>
      </c>
      <c r="K23" s="119"/>
      <c r="L23" s="138" t="s">
        <v>238</v>
      </c>
      <c r="M23" s="104"/>
    </row>
    <row r="24" spans="1:13" s="91" customFormat="1" ht="121.5" customHeight="1" x14ac:dyDescent="0.3">
      <c r="A24" s="120" t="s">
        <v>240</v>
      </c>
      <c r="B24" s="137" t="s">
        <v>235</v>
      </c>
      <c r="C24" s="138" t="s">
        <v>206</v>
      </c>
      <c r="D24" s="138">
        <v>2022</v>
      </c>
      <c r="E24" s="138" t="s">
        <v>158</v>
      </c>
      <c r="F24" s="118">
        <f t="shared" si="1"/>
        <v>104999.29</v>
      </c>
      <c r="G24" s="118"/>
      <c r="H24" s="118">
        <v>104999.29</v>
      </c>
      <c r="I24" s="118"/>
      <c r="J24" s="118"/>
      <c r="K24" s="119"/>
      <c r="L24" s="138" t="s">
        <v>236</v>
      </c>
      <c r="M24" s="104"/>
    </row>
    <row r="25" spans="1:13" s="91" customFormat="1" ht="146.4" customHeight="1" x14ac:dyDescent="0.3">
      <c r="A25" s="120" t="s">
        <v>241</v>
      </c>
      <c r="B25" s="137" t="s">
        <v>178</v>
      </c>
      <c r="C25" s="138" t="s">
        <v>194</v>
      </c>
      <c r="D25" s="138" t="s">
        <v>160</v>
      </c>
      <c r="E25" s="138" t="s">
        <v>158</v>
      </c>
      <c r="F25" s="118">
        <f t="shared" si="1"/>
        <v>548894.74</v>
      </c>
      <c r="G25" s="118">
        <f>23205+308920.11+216769.63</f>
        <v>548894.74</v>
      </c>
      <c r="H25" s="118"/>
      <c r="I25" s="118"/>
      <c r="J25" s="118"/>
      <c r="K25" s="138"/>
      <c r="L25" s="138" t="s">
        <v>151</v>
      </c>
      <c r="M25" s="104"/>
    </row>
    <row r="26" spans="1:13" s="91" customFormat="1" ht="148.5" customHeight="1" x14ac:dyDescent="0.3">
      <c r="A26" s="120" t="s">
        <v>242</v>
      </c>
      <c r="B26" s="137" t="s">
        <v>267</v>
      </c>
      <c r="C26" s="260" t="s">
        <v>199</v>
      </c>
      <c r="D26" s="260" t="s">
        <v>160</v>
      </c>
      <c r="E26" s="260" t="s">
        <v>158</v>
      </c>
      <c r="F26" s="118">
        <f>G26+H26+I26+J26+K26</f>
        <v>2418240.0300000003</v>
      </c>
      <c r="G26" s="118">
        <f>197667.6+503746+498270.77+9187.14+48980.04+49899.75+49855+10038.86+49900</f>
        <v>1417545.1600000001</v>
      </c>
      <c r="H26" s="118">
        <v>149893.76000000001</v>
      </c>
      <c r="I26" s="118">
        <f>344254.99+303546.12</f>
        <v>647801.11</v>
      </c>
      <c r="J26" s="118">
        <f>250000-47000</f>
        <v>203000</v>
      </c>
      <c r="K26" s="138"/>
      <c r="L26" s="260" t="s">
        <v>377</v>
      </c>
      <c r="M26" s="104"/>
    </row>
    <row r="27" spans="1:13" s="106" customFormat="1" ht="102" customHeight="1" x14ac:dyDescent="0.3">
      <c r="A27" s="121" t="s">
        <v>265</v>
      </c>
      <c r="B27" s="122" t="s">
        <v>293</v>
      </c>
      <c r="C27" s="261"/>
      <c r="D27" s="261"/>
      <c r="E27" s="261"/>
      <c r="F27" s="123">
        <f t="shared" si="1"/>
        <v>344254.99</v>
      </c>
      <c r="G27" s="123">
        <v>0</v>
      </c>
      <c r="H27" s="123">
        <v>0</v>
      </c>
      <c r="I27" s="123">
        <v>344254.99</v>
      </c>
      <c r="J27" s="123"/>
      <c r="K27" s="124"/>
      <c r="L27" s="261"/>
      <c r="M27" s="110"/>
    </row>
    <row r="28" spans="1:13" s="106" customFormat="1" ht="90.75" customHeight="1" x14ac:dyDescent="0.3">
      <c r="A28" s="121" t="s">
        <v>266</v>
      </c>
      <c r="B28" s="122" t="s">
        <v>269</v>
      </c>
      <c r="C28" s="261"/>
      <c r="D28" s="261"/>
      <c r="E28" s="261"/>
      <c r="F28" s="123">
        <f t="shared" si="1"/>
        <v>303546.12</v>
      </c>
      <c r="G28" s="123">
        <v>0</v>
      </c>
      <c r="H28" s="123">
        <v>0</v>
      </c>
      <c r="I28" s="123">
        <v>303546.12</v>
      </c>
      <c r="J28" s="123"/>
      <c r="K28" s="124"/>
      <c r="L28" s="261"/>
      <c r="M28" s="110"/>
    </row>
    <row r="29" spans="1:13" s="106" customFormat="1" ht="30" customHeight="1" x14ac:dyDescent="0.3">
      <c r="A29" s="121" t="s">
        <v>359</v>
      </c>
      <c r="B29" s="122" t="s">
        <v>360</v>
      </c>
      <c r="C29" s="262"/>
      <c r="D29" s="262"/>
      <c r="E29" s="262"/>
      <c r="F29" s="123">
        <f t="shared" si="1"/>
        <v>203000</v>
      </c>
      <c r="G29" s="123"/>
      <c r="H29" s="123"/>
      <c r="I29" s="123"/>
      <c r="J29" s="123">
        <f>250000-47000</f>
        <v>203000</v>
      </c>
      <c r="K29" s="124"/>
      <c r="L29" s="262"/>
      <c r="M29" s="110"/>
    </row>
    <row r="30" spans="1:13" s="91" customFormat="1" ht="91.95" customHeight="1" x14ac:dyDescent="0.3">
      <c r="A30" s="263" t="s">
        <v>243</v>
      </c>
      <c r="B30" s="137" t="s">
        <v>304</v>
      </c>
      <c r="C30" s="260" t="s">
        <v>206</v>
      </c>
      <c r="D30" s="260" t="s">
        <v>310</v>
      </c>
      <c r="E30" s="260" t="s">
        <v>158</v>
      </c>
      <c r="F30" s="118">
        <f t="shared" si="1"/>
        <v>2077090</v>
      </c>
      <c r="G30" s="118"/>
      <c r="H30" s="118"/>
      <c r="I30" s="118">
        <f>1237540+180750</f>
        <v>1418290</v>
      </c>
      <c r="J30" s="118">
        <f>771200-112400</f>
        <v>658800</v>
      </c>
      <c r="K30" s="138"/>
      <c r="L30" s="260" t="s">
        <v>282</v>
      </c>
      <c r="M30" s="104"/>
    </row>
    <row r="31" spans="1:13" s="91" customFormat="1" ht="28.2" customHeight="1" x14ac:dyDescent="0.3">
      <c r="A31" s="264"/>
      <c r="B31" s="137" t="s">
        <v>303</v>
      </c>
      <c r="C31" s="261"/>
      <c r="D31" s="261"/>
      <c r="E31" s="261"/>
      <c r="F31" s="123">
        <f t="shared" si="1"/>
        <v>1237540</v>
      </c>
      <c r="G31" s="123"/>
      <c r="H31" s="123"/>
      <c r="I31" s="123">
        <v>1237540</v>
      </c>
      <c r="J31" s="123"/>
      <c r="K31" s="124"/>
      <c r="L31" s="261"/>
      <c r="M31" s="104"/>
    </row>
    <row r="32" spans="1:13" s="91" customFormat="1" ht="78" x14ac:dyDescent="0.3">
      <c r="A32" s="265"/>
      <c r="B32" s="137" t="s">
        <v>315</v>
      </c>
      <c r="C32" s="262"/>
      <c r="D32" s="262"/>
      <c r="E32" s="262"/>
      <c r="F32" s="123">
        <f t="shared" si="1"/>
        <v>839550</v>
      </c>
      <c r="G32" s="123"/>
      <c r="H32" s="123"/>
      <c r="I32" s="123">
        <v>180750</v>
      </c>
      <c r="J32" s="123">
        <f>771200-112400</f>
        <v>658800</v>
      </c>
      <c r="K32" s="124"/>
      <c r="L32" s="262"/>
      <c r="M32" s="104"/>
    </row>
    <row r="33" spans="1:14" s="91" customFormat="1" ht="99.75" customHeight="1" x14ac:dyDescent="0.3">
      <c r="A33" s="120" t="s">
        <v>244</v>
      </c>
      <c r="B33" s="137" t="s">
        <v>284</v>
      </c>
      <c r="C33" s="138" t="s">
        <v>206</v>
      </c>
      <c r="D33" s="138" t="s">
        <v>310</v>
      </c>
      <c r="E33" s="138" t="s">
        <v>158</v>
      </c>
      <c r="F33" s="118">
        <f t="shared" si="1"/>
        <v>93804</v>
      </c>
      <c r="G33" s="118"/>
      <c r="H33" s="118"/>
      <c r="I33" s="118">
        <v>0</v>
      </c>
      <c r="J33" s="118">
        <f>97484-3680</f>
        <v>93804</v>
      </c>
      <c r="K33" s="138"/>
      <c r="L33" s="138" t="s">
        <v>237</v>
      </c>
      <c r="M33" s="104"/>
    </row>
    <row r="34" spans="1:14" s="91" customFormat="1" ht="111" customHeight="1" x14ac:dyDescent="0.3">
      <c r="A34" s="120" t="s">
        <v>296</v>
      </c>
      <c r="B34" s="137" t="s">
        <v>301</v>
      </c>
      <c r="C34" s="138" t="s">
        <v>298</v>
      </c>
      <c r="D34" s="138">
        <v>2023</v>
      </c>
      <c r="E34" s="138" t="s">
        <v>158</v>
      </c>
      <c r="F34" s="118">
        <f t="shared" si="1"/>
        <v>107378.26</v>
      </c>
      <c r="G34" s="118"/>
      <c r="H34" s="118"/>
      <c r="I34" s="118">
        <v>107378.26</v>
      </c>
      <c r="J34" s="118"/>
      <c r="K34" s="138"/>
      <c r="L34" s="138" t="s">
        <v>297</v>
      </c>
      <c r="M34" s="104"/>
    </row>
    <row r="35" spans="1:14" s="91" customFormat="1" ht="111" customHeight="1" x14ac:dyDescent="0.3">
      <c r="A35" s="120" t="s">
        <v>335</v>
      </c>
      <c r="B35" s="137" t="s">
        <v>336</v>
      </c>
      <c r="C35" s="138" t="s">
        <v>298</v>
      </c>
      <c r="D35" s="138">
        <v>2024</v>
      </c>
      <c r="E35" s="138" t="s">
        <v>158</v>
      </c>
      <c r="F35" s="118">
        <f>G35+H35+I35+J35+K35</f>
        <v>617900</v>
      </c>
      <c r="G35" s="118"/>
      <c r="H35" s="118"/>
      <c r="I35" s="118"/>
      <c r="J35" s="118">
        <v>617900</v>
      </c>
      <c r="K35" s="138"/>
      <c r="L35" s="138" t="s">
        <v>181</v>
      </c>
      <c r="M35" s="104"/>
    </row>
    <row r="36" spans="1:14" s="91" customFormat="1" ht="111" customHeight="1" x14ac:dyDescent="0.3">
      <c r="A36" s="120" t="s">
        <v>337</v>
      </c>
      <c r="B36" s="137" t="s">
        <v>338</v>
      </c>
      <c r="C36" s="138" t="s">
        <v>298</v>
      </c>
      <c r="D36" s="138">
        <v>2024</v>
      </c>
      <c r="E36" s="138" t="s">
        <v>158</v>
      </c>
      <c r="F36" s="118">
        <f>G36+H36+I36+J36+K36</f>
        <v>1590598</v>
      </c>
      <c r="G36" s="118"/>
      <c r="H36" s="118"/>
      <c r="I36" s="118"/>
      <c r="J36" s="118">
        <f>1012275+578323</f>
        <v>1590598</v>
      </c>
      <c r="K36" s="138"/>
      <c r="L36" s="138" t="s">
        <v>237</v>
      </c>
      <c r="M36" s="104"/>
    </row>
    <row r="37" spans="1:14" s="91" customFormat="1" ht="101.25" customHeight="1" x14ac:dyDescent="0.3">
      <c r="A37" s="120" t="s">
        <v>342</v>
      </c>
      <c r="B37" s="107" t="s">
        <v>350</v>
      </c>
      <c r="C37" s="138" t="s">
        <v>298</v>
      </c>
      <c r="D37" s="138">
        <v>2024</v>
      </c>
      <c r="E37" s="138" t="s">
        <v>158</v>
      </c>
      <c r="F37" s="118">
        <f t="shared" ref="F37:F40" si="2">G37+H37+I37+J37+K37</f>
        <v>153670</v>
      </c>
      <c r="G37" s="118"/>
      <c r="H37" s="118"/>
      <c r="I37" s="118"/>
      <c r="J37" s="118">
        <v>153670</v>
      </c>
      <c r="K37" s="138"/>
      <c r="L37" s="138" t="s">
        <v>237</v>
      </c>
      <c r="M37" s="104"/>
    </row>
    <row r="38" spans="1:14" s="91" customFormat="1" ht="96.75" customHeight="1" x14ac:dyDescent="0.3">
      <c r="A38" s="120" t="s">
        <v>343</v>
      </c>
      <c r="B38" s="107" t="s">
        <v>349</v>
      </c>
      <c r="C38" s="138" t="s">
        <v>298</v>
      </c>
      <c r="D38" s="138">
        <v>2024</v>
      </c>
      <c r="E38" s="138" t="s">
        <v>158</v>
      </c>
      <c r="F38" s="118">
        <f t="shared" si="2"/>
        <v>199645</v>
      </c>
      <c r="G38" s="118"/>
      <c r="H38" s="118"/>
      <c r="I38" s="118"/>
      <c r="J38" s="118">
        <v>199645</v>
      </c>
      <c r="K38" s="138"/>
      <c r="L38" s="138" t="s">
        <v>237</v>
      </c>
      <c r="M38" s="104"/>
    </row>
    <row r="39" spans="1:14" s="91" customFormat="1" ht="93.75" customHeight="1" x14ac:dyDescent="0.3">
      <c r="A39" s="120" t="s">
        <v>344</v>
      </c>
      <c r="B39" s="107" t="s">
        <v>348</v>
      </c>
      <c r="C39" s="138" t="s">
        <v>298</v>
      </c>
      <c r="D39" s="138">
        <v>2024</v>
      </c>
      <c r="E39" s="138" t="s">
        <v>158</v>
      </c>
      <c r="F39" s="118">
        <f t="shared" si="2"/>
        <v>301070</v>
      </c>
      <c r="G39" s="118"/>
      <c r="H39" s="118"/>
      <c r="I39" s="118"/>
      <c r="J39" s="118">
        <v>301070</v>
      </c>
      <c r="K39" s="138"/>
      <c r="L39" s="138" t="s">
        <v>237</v>
      </c>
      <c r="M39" s="104"/>
    </row>
    <row r="40" spans="1:14" s="91" customFormat="1" ht="190.5" customHeight="1" x14ac:dyDescent="0.3">
      <c r="A40" s="120" t="s">
        <v>361</v>
      </c>
      <c r="B40" s="107" t="s">
        <v>362</v>
      </c>
      <c r="C40" s="138" t="s">
        <v>298</v>
      </c>
      <c r="D40" s="138">
        <v>2024</v>
      </c>
      <c r="E40" s="138" t="s">
        <v>158</v>
      </c>
      <c r="F40" s="118">
        <f t="shared" si="2"/>
        <v>503217</v>
      </c>
      <c r="G40" s="118"/>
      <c r="H40" s="118"/>
      <c r="I40" s="118"/>
      <c r="J40" s="118">
        <v>503217</v>
      </c>
      <c r="K40" s="138"/>
      <c r="L40" s="138" t="s">
        <v>237</v>
      </c>
      <c r="M40" s="104"/>
    </row>
    <row r="41" spans="1:14" s="91" customFormat="1" ht="145.94999999999999" customHeight="1" x14ac:dyDescent="0.3">
      <c r="A41" s="120" t="s">
        <v>152</v>
      </c>
      <c r="B41" s="137" t="s">
        <v>166</v>
      </c>
      <c r="C41" s="138" t="s">
        <v>202</v>
      </c>
      <c r="D41" s="138" t="s">
        <v>160</v>
      </c>
      <c r="E41" s="138" t="s">
        <v>158</v>
      </c>
      <c r="F41" s="118">
        <f>G41+H41+I41+J41+K41</f>
        <v>30765223.629999999</v>
      </c>
      <c r="G41" s="118">
        <f>SUM(G42:G47)</f>
        <v>5875027.1199999992</v>
      </c>
      <c r="H41" s="118">
        <f>SUM(H42:H47)</f>
        <v>6557139.1799999997</v>
      </c>
      <c r="I41" s="118">
        <f t="shared" ref="I41:K41" si="3">SUM(I42:I47)</f>
        <v>7767812.330000001</v>
      </c>
      <c r="J41" s="118">
        <f t="shared" si="3"/>
        <v>10565245</v>
      </c>
      <c r="K41" s="118">
        <f t="shared" si="3"/>
        <v>0</v>
      </c>
      <c r="L41" s="138" t="s">
        <v>164</v>
      </c>
      <c r="M41" s="104"/>
    </row>
    <row r="42" spans="1:14" s="91" customFormat="1" ht="196.5" customHeight="1" x14ac:dyDescent="0.3">
      <c r="A42" s="120" t="s">
        <v>10</v>
      </c>
      <c r="B42" s="137" t="s">
        <v>302</v>
      </c>
      <c r="C42" s="138" t="s">
        <v>202</v>
      </c>
      <c r="D42" s="138" t="s">
        <v>160</v>
      </c>
      <c r="E42" s="138" t="s">
        <v>158</v>
      </c>
      <c r="F42" s="118">
        <f t="shared" si="1"/>
        <v>3246547.5700000003</v>
      </c>
      <c r="G42" s="118">
        <v>606430.43000000005</v>
      </c>
      <c r="H42" s="118">
        <f>594947.64</f>
        <v>594947.64</v>
      </c>
      <c r="I42" s="118">
        <v>795169.5</v>
      </c>
      <c r="J42" s="118">
        <f>1400000-150000</f>
        <v>1250000</v>
      </c>
      <c r="K42" s="119"/>
      <c r="L42" s="138" t="s">
        <v>218</v>
      </c>
      <c r="M42" s="104">
        <v>-150000</v>
      </c>
    </row>
    <row r="43" spans="1:14" s="91" customFormat="1" ht="207" customHeight="1" x14ac:dyDescent="0.3">
      <c r="A43" s="120" t="s">
        <v>11</v>
      </c>
      <c r="B43" s="137" t="s">
        <v>323</v>
      </c>
      <c r="C43" s="138" t="s">
        <v>202</v>
      </c>
      <c r="D43" s="138" t="s">
        <v>160</v>
      </c>
      <c r="E43" s="138" t="s">
        <v>158</v>
      </c>
      <c r="F43" s="118">
        <f t="shared" si="1"/>
        <v>24132295.509999998</v>
      </c>
      <c r="G43" s="118">
        <f>3343391.45+812509.18+17820.81+460457.73+156234.01+5000</f>
        <v>4795413.18</v>
      </c>
      <c r="H43" s="118">
        <f>5040652.68</f>
        <v>5040652.68</v>
      </c>
      <c r="I43" s="118">
        <v>6130529.6500000004</v>
      </c>
      <c r="J43" s="118">
        <f>6952700+5000+1020000-164000+352000</f>
        <v>8165700</v>
      </c>
      <c r="K43" s="119"/>
      <c r="L43" s="138" t="s">
        <v>221</v>
      </c>
      <c r="M43" s="104">
        <v>-164000</v>
      </c>
      <c r="N43" s="91">
        <v>352000</v>
      </c>
    </row>
    <row r="44" spans="1:14" s="91" customFormat="1" ht="161.4" customHeight="1" x14ac:dyDescent="0.3">
      <c r="A44" s="120" t="s">
        <v>12</v>
      </c>
      <c r="B44" s="137" t="s">
        <v>168</v>
      </c>
      <c r="C44" s="138" t="s">
        <v>202</v>
      </c>
      <c r="D44" s="138" t="s">
        <v>160</v>
      </c>
      <c r="E44" s="138" t="s">
        <v>158</v>
      </c>
      <c r="F44" s="118">
        <f t="shared" si="1"/>
        <v>130811.35</v>
      </c>
      <c r="G44" s="118">
        <v>42590.34</v>
      </c>
      <c r="H44" s="118">
        <f>36817.07</f>
        <v>36817.07</v>
      </c>
      <c r="I44" s="118">
        <v>23303.94</v>
      </c>
      <c r="J44" s="118">
        <v>28100</v>
      </c>
      <c r="K44" s="119"/>
      <c r="L44" s="138" t="s">
        <v>148</v>
      </c>
      <c r="M44" s="104"/>
    </row>
    <row r="45" spans="1:14" s="91" customFormat="1" ht="162" customHeight="1" x14ac:dyDescent="0.3">
      <c r="A45" s="120" t="s">
        <v>245</v>
      </c>
      <c r="B45" s="137" t="s">
        <v>161</v>
      </c>
      <c r="C45" s="138" t="s">
        <v>202</v>
      </c>
      <c r="D45" s="138" t="s">
        <v>160</v>
      </c>
      <c r="E45" s="138" t="s">
        <v>158</v>
      </c>
      <c r="F45" s="118">
        <f t="shared" si="1"/>
        <v>2538727.7000000002</v>
      </c>
      <c r="G45" s="118">
        <f>100000+38010.11+268247.5+4547.68+19787.88</f>
        <v>430593.17</v>
      </c>
      <c r="H45" s="118">
        <f>685155.79</f>
        <v>685155.79</v>
      </c>
      <c r="I45" s="118">
        <v>624278.74</v>
      </c>
      <c r="J45" s="118">
        <f>836700-38000</f>
        <v>798700</v>
      </c>
      <c r="K45" s="119"/>
      <c r="L45" s="138" t="s">
        <v>149</v>
      </c>
      <c r="M45" s="104">
        <v>-38000</v>
      </c>
    </row>
    <row r="46" spans="1:14" s="91" customFormat="1" ht="162.75" customHeight="1" x14ac:dyDescent="0.3">
      <c r="A46" s="120" t="s">
        <v>246</v>
      </c>
      <c r="B46" s="137" t="s">
        <v>222</v>
      </c>
      <c r="C46" s="138" t="s">
        <v>208</v>
      </c>
      <c r="D46" s="138" t="s">
        <v>160</v>
      </c>
      <c r="E46" s="138" t="s">
        <v>158</v>
      </c>
      <c r="F46" s="118">
        <f t="shared" si="1"/>
        <v>323010</v>
      </c>
      <c r="G46" s="118"/>
      <c r="H46" s="118">
        <f>179100</f>
        <v>179100</v>
      </c>
      <c r="I46" s="118">
        <v>99000</v>
      </c>
      <c r="J46" s="118">
        <f>99000-54090</f>
        <v>44910</v>
      </c>
      <c r="K46" s="119"/>
      <c r="L46" s="138" t="s">
        <v>214</v>
      </c>
      <c r="M46" s="104"/>
    </row>
    <row r="47" spans="1:14" s="91" customFormat="1" ht="55.2" customHeight="1" x14ac:dyDescent="0.3">
      <c r="A47" s="120" t="s">
        <v>253</v>
      </c>
      <c r="B47" s="137" t="s">
        <v>357</v>
      </c>
      <c r="C47" s="260" t="s">
        <v>208</v>
      </c>
      <c r="D47" s="260" t="s">
        <v>368</v>
      </c>
      <c r="E47" s="260" t="s">
        <v>158</v>
      </c>
      <c r="F47" s="118">
        <f>G47+H47+I47+J47+K47</f>
        <v>393831.5</v>
      </c>
      <c r="G47" s="118">
        <f t="shared" ref="G47:I47" si="4">G48+G49</f>
        <v>0</v>
      </c>
      <c r="H47" s="118">
        <f t="shared" si="4"/>
        <v>20466</v>
      </c>
      <c r="I47" s="118">
        <f t="shared" si="4"/>
        <v>95530.5</v>
      </c>
      <c r="J47" s="118">
        <f>J48+J49</f>
        <v>277835</v>
      </c>
      <c r="K47" s="119"/>
      <c r="L47" s="260" t="s">
        <v>229</v>
      </c>
      <c r="M47" s="104"/>
    </row>
    <row r="48" spans="1:14" s="106" customFormat="1" ht="35.4" customHeight="1" x14ac:dyDescent="0.3">
      <c r="A48" s="121" t="s">
        <v>375</v>
      </c>
      <c r="B48" s="122" t="s">
        <v>356</v>
      </c>
      <c r="C48" s="261"/>
      <c r="D48" s="261"/>
      <c r="E48" s="261"/>
      <c r="F48" s="123">
        <f>G48+H48+I48+J48+K48</f>
        <v>195196.5</v>
      </c>
      <c r="G48" s="123"/>
      <c r="H48" s="123">
        <f>20466</f>
        <v>20466</v>
      </c>
      <c r="I48" s="123">
        <v>95530.5</v>
      </c>
      <c r="J48" s="123">
        <f>79200</f>
        <v>79200</v>
      </c>
      <c r="K48" s="131"/>
      <c r="L48" s="261"/>
      <c r="M48" s="110"/>
    </row>
    <row r="49" spans="1:16" s="106" customFormat="1" ht="43.95" customHeight="1" x14ac:dyDescent="0.3">
      <c r="A49" s="121" t="s">
        <v>376</v>
      </c>
      <c r="B49" s="122" t="s">
        <v>358</v>
      </c>
      <c r="C49" s="262"/>
      <c r="D49" s="262"/>
      <c r="E49" s="262"/>
      <c r="F49" s="123">
        <f>G49+H49+I49+J49+K49</f>
        <v>198635</v>
      </c>
      <c r="G49" s="123"/>
      <c r="H49" s="123"/>
      <c r="I49" s="123"/>
      <c r="J49" s="123">
        <v>198635</v>
      </c>
      <c r="K49" s="131"/>
      <c r="L49" s="262"/>
      <c r="M49" s="110"/>
    </row>
    <row r="50" spans="1:16" s="91" customFormat="1" ht="130.94999999999999" customHeight="1" x14ac:dyDescent="0.3">
      <c r="A50" s="267" t="s">
        <v>154</v>
      </c>
      <c r="B50" s="268" t="s">
        <v>142</v>
      </c>
      <c r="C50" s="138" t="s">
        <v>199</v>
      </c>
      <c r="D50" s="269" t="s">
        <v>160</v>
      </c>
      <c r="E50" s="269" t="s">
        <v>158</v>
      </c>
      <c r="F50" s="118">
        <f t="shared" si="1"/>
        <v>1287037.55</v>
      </c>
      <c r="G50" s="118">
        <f>138900+30600</f>
        <v>169500</v>
      </c>
      <c r="H50" s="118">
        <f>461300+410400-29700-35500</f>
        <v>806500</v>
      </c>
      <c r="I50" s="118">
        <v>311037.55</v>
      </c>
      <c r="J50" s="118"/>
      <c r="K50" s="138"/>
      <c r="L50" s="269" t="s">
        <v>153</v>
      </c>
      <c r="M50" s="104"/>
    </row>
    <row r="51" spans="1:16" s="91" customFormat="1" ht="148.19999999999999" customHeight="1" x14ac:dyDescent="0.3">
      <c r="A51" s="267"/>
      <c r="B51" s="268"/>
      <c r="C51" s="138" t="s">
        <v>200</v>
      </c>
      <c r="D51" s="269"/>
      <c r="E51" s="269"/>
      <c r="F51" s="118">
        <f t="shared" si="1"/>
        <v>143285.29</v>
      </c>
      <c r="G51" s="118">
        <f>23659+5019.46+17500</f>
        <v>46178.46</v>
      </c>
      <c r="H51" s="118">
        <f>13165.6</f>
        <v>13165.6</v>
      </c>
      <c r="I51" s="118">
        <f>37000+15000+244000-212058.77</f>
        <v>83941.23000000001</v>
      </c>
      <c r="J51" s="118"/>
      <c r="K51" s="138"/>
      <c r="L51" s="269"/>
      <c r="M51" s="104"/>
    </row>
    <row r="52" spans="1:16" s="91" customFormat="1" ht="184.5" customHeight="1" x14ac:dyDescent="0.3">
      <c r="A52" s="120" t="s">
        <v>247</v>
      </c>
      <c r="B52" s="92" t="s">
        <v>139</v>
      </c>
      <c r="C52" s="138" t="s">
        <v>209</v>
      </c>
      <c r="D52" s="138" t="s">
        <v>210</v>
      </c>
      <c r="E52" s="138" t="s">
        <v>158</v>
      </c>
      <c r="F52" s="118">
        <f t="shared" si="1"/>
        <v>108200</v>
      </c>
      <c r="G52" s="118">
        <v>108200</v>
      </c>
      <c r="H52" s="118">
        <v>0</v>
      </c>
      <c r="I52" s="118">
        <v>0</v>
      </c>
      <c r="J52" s="118"/>
      <c r="K52" s="138"/>
      <c r="L52" s="138" t="s">
        <v>220</v>
      </c>
      <c r="M52" s="104"/>
    </row>
    <row r="53" spans="1:16" s="91" customFormat="1" ht="219" customHeight="1" x14ac:dyDescent="0.3">
      <c r="A53" s="120" t="s">
        <v>248</v>
      </c>
      <c r="B53" s="137" t="s">
        <v>143</v>
      </c>
      <c r="C53" s="138" t="s">
        <v>227</v>
      </c>
      <c r="D53" s="138" t="s">
        <v>210</v>
      </c>
      <c r="E53" s="138" t="s">
        <v>158</v>
      </c>
      <c r="F53" s="118">
        <f t="shared" si="1"/>
        <v>232560</v>
      </c>
      <c r="G53" s="118">
        <v>232560</v>
      </c>
      <c r="H53" s="118">
        <v>0</v>
      </c>
      <c r="I53" s="118"/>
      <c r="J53" s="118"/>
      <c r="K53" s="138"/>
      <c r="L53" s="138" t="s">
        <v>225</v>
      </c>
      <c r="M53" s="104"/>
      <c r="N53" s="93"/>
    </row>
    <row r="54" spans="1:16" s="91" customFormat="1" ht="171.75" customHeight="1" x14ac:dyDescent="0.3">
      <c r="A54" s="136" t="s">
        <v>249</v>
      </c>
      <c r="B54" s="137" t="s">
        <v>279</v>
      </c>
      <c r="C54" s="138" t="s">
        <v>211</v>
      </c>
      <c r="D54" s="138" t="s">
        <v>311</v>
      </c>
      <c r="E54" s="138" t="s">
        <v>158</v>
      </c>
      <c r="F54" s="118">
        <f>H54+I54+J54+K54</f>
        <v>14966035.84</v>
      </c>
      <c r="G54" s="118"/>
      <c r="H54" s="118">
        <f>H55+H56+H57+H58+H59+H60+H61+H62</f>
        <v>520795.56</v>
      </c>
      <c r="I54" s="118">
        <f t="shared" ref="I54" si="5">I55+I56+I57+I58+I59+I60+I61+I62</f>
        <v>2885430.28</v>
      </c>
      <c r="J54" s="118">
        <f>J55+J56+J57+J58+J59+J60+J61+J62+J63+J64</f>
        <v>11559810</v>
      </c>
      <c r="K54" s="118"/>
      <c r="L54" s="138" t="s">
        <v>212</v>
      </c>
      <c r="M54" s="104">
        <v>37400</v>
      </c>
      <c r="N54" s="93"/>
    </row>
    <row r="55" spans="1:16" s="91" customFormat="1" ht="124.5" customHeight="1" x14ac:dyDescent="0.3">
      <c r="A55" s="120" t="s">
        <v>90</v>
      </c>
      <c r="B55" s="137" t="s">
        <v>278</v>
      </c>
      <c r="C55" s="138" t="s">
        <v>211</v>
      </c>
      <c r="D55" s="138" t="s">
        <v>310</v>
      </c>
      <c r="E55" s="138" t="s">
        <v>158</v>
      </c>
      <c r="F55" s="118">
        <f t="shared" ref="F55:F62" si="6">H55+I55+J55</f>
        <v>1118296.44</v>
      </c>
      <c r="G55" s="118"/>
      <c r="H55" s="118">
        <f>520795.56</f>
        <v>520795.56</v>
      </c>
      <c r="I55" s="118">
        <v>547500.88</v>
      </c>
      <c r="J55" s="118">
        <v>50000</v>
      </c>
      <c r="K55" s="119"/>
      <c r="L55" s="138" t="s">
        <v>277</v>
      </c>
      <c r="M55" s="104"/>
      <c r="N55" s="93"/>
    </row>
    <row r="56" spans="1:16" s="91" customFormat="1" ht="124.5" customHeight="1" x14ac:dyDescent="0.3">
      <c r="A56" s="120" t="s">
        <v>280</v>
      </c>
      <c r="B56" s="137" t="s">
        <v>330</v>
      </c>
      <c r="C56" s="138" t="s">
        <v>211</v>
      </c>
      <c r="D56" s="138">
        <v>2024</v>
      </c>
      <c r="E56" s="138" t="s">
        <v>158</v>
      </c>
      <c r="F56" s="118">
        <f t="shared" si="6"/>
        <v>316000</v>
      </c>
      <c r="G56" s="118"/>
      <c r="H56" s="118"/>
      <c r="I56" s="118"/>
      <c r="J56" s="118">
        <v>316000</v>
      </c>
      <c r="K56" s="119"/>
      <c r="L56" s="138" t="s">
        <v>277</v>
      </c>
      <c r="M56" s="104"/>
      <c r="N56" s="93"/>
    </row>
    <row r="57" spans="1:16" s="91" customFormat="1" ht="128.25" customHeight="1" x14ac:dyDescent="0.3">
      <c r="A57" s="120" t="s">
        <v>91</v>
      </c>
      <c r="B57" s="137" t="s">
        <v>182</v>
      </c>
      <c r="C57" s="138" t="s">
        <v>211</v>
      </c>
      <c r="D57" s="138" t="s">
        <v>310</v>
      </c>
      <c r="E57" s="138" t="s">
        <v>158</v>
      </c>
      <c r="F57" s="118">
        <f t="shared" si="6"/>
        <v>10256139.6</v>
      </c>
      <c r="G57" s="118"/>
      <c r="H57" s="118"/>
      <c r="I57" s="118">
        <v>2256139.6</v>
      </c>
      <c r="J57" s="118">
        <f>5000000+2000000+1000000</f>
        <v>8000000</v>
      </c>
      <c r="K57" s="119"/>
      <c r="L57" s="138" t="s">
        <v>150</v>
      </c>
      <c r="M57" s="104"/>
      <c r="N57" s="93"/>
    </row>
    <row r="58" spans="1:16" s="91" customFormat="1" ht="128.25" customHeight="1" x14ac:dyDescent="0.3">
      <c r="A58" s="120" t="s">
        <v>126</v>
      </c>
      <c r="B58" s="137" t="s">
        <v>355</v>
      </c>
      <c r="C58" s="138" t="s">
        <v>211</v>
      </c>
      <c r="D58" s="138" t="s">
        <v>310</v>
      </c>
      <c r="E58" s="138" t="s">
        <v>158</v>
      </c>
      <c r="F58" s="118">
        <f t="shared" si="6"/>
        <v>616295.4</v>
      </c>
      <c r="G58" s="118"/>
      <c r="H58" s="118"/>
      <c r="I58" s="118">
        <f>28895.4</f>
        <v>28895.4</v>
      </c>
      <c r="J58" s="118">
        <f>1258400-671000</f>
        <v>587400</v>
      </c>
      <c r="K58" s="119"/>
      <c r="L58" s="138" t="s">
        <v>295</v>
      </c>
      <c r="M58" s="104"/>
      <c r="N58" s="93"/>
    </row>
    <row r="59" spans="1:16" s="91" customFormat="1" ht="128.25" customHeight="1" x14ac:dyDescent="0.3">
      <c r="A59" s="120" t="s">
        <v>92</v>
      </c>
      <c r="B59" s="137" t="s">
        <v>161</v>
      </c>
      <c r="C59" s="138" t="s">
        <v>211</v>
      </c>
      <c r="D59" s="138" t="s">
        <v>310</v>
      </c>
      <c r="E59" s="138" t="s">
        <v>158</v>
      </c>
      <c r="F59" s="118">
        <f t="shared" si="6"/>
        <v>448194.4</v>
      </c>
      <c r="G59" s="118"/>
      <c r="H59" s="118"/>
      <c r="I59" s="118">
        <v>52894.400000000001</v>
      </c>
      <c r="J59" s="118">
        <f>1966800-301400-1258200+35000-46900</f>
        <v>395300</v>
      </c>
      <c r="K59" s="119"/>
      <c r="L59" s="138" t="s">
        <v>149</v>
      </c>
      <c r="M59" s="125"/>
      <c r="N59" s="93"/>
    </row>
    <row r="60" spans="1:16" s="91" customFormat="1" ht="128.25" customHeight="1" x14ac:dyDescent="0.3">
      <c r="A60" s="120" t="s">
        <v>93</v>
      </c>
      <c r="B60" s="137" t="s">
        <v>353</v>
      </c>
      <c r="C60" s="138" t="s">
        <v>211</v>
      </c>
      <c r="D60" s="138">
        <v>2024</v>
      </c>
      <c r="E60" s="138" t="s">
        <v>158</v>
      </c>
      <c r="F60" s="118">
        <f t="shared" si="6"/>
        <v>44910</v>
      </c>
      <c r="G60" s="118"/>
      <c r="H60" s="118"/>
      <c r="I60" s="118"/>
      <c r="J60" s="118">
        <f>99000-54090</f>
        <v>44910</v>
      </c>
      <c r="K60" s="119"/>
      <c r="L60" s="138" t="s">
        <v>214</v>
      </c>
      <c r="M60" s="104"/>
      <c r="N60" s="93"/>
    </row>
    <row r="61" spans="1:16" s="91" customFormat="1" ht="147" customHeight="1" x14ac:dyDescent="0.3">
      <c r="A61" s="120" t="s">
        <v>94</v>
      </c>
      <c r="B61" s="137" t="s">
        <v>326</v>
      </c>
      <c r="C61" s="138" t="s">
        <v>354</v>
      </c>
      <c r="D61" s="138">
        <v>2024</v>
      </c>
      <c r="E61" s="138" t="s">
        <v>158</v>
      </c>
      <c r="F61" s="118">
        <f t="shared" si="6"/>
        <v>1160800</v>
      </c>
      <c r="G61" s="118"/>
      <c r="H61" s="118"/>
      <c r="I61" s="118"/>
      <c r="J61" s="118">
        <f>247000+40000+36000+717900-302200+344700+74700+2700</f>
        <v>1160800</v>
      </c>
      <c r="K61" s="119"/>
      <c r="L61" s="138" t="s">
        <v>329</v>
      </c>
      <c r="M61" s="104">
        <v>-302200</v>
      </c>
      <c r="N61" s="93">
        <v>74700</v>
      </c>
      <c r="O61" s="91">
        <v>344700</v>
      </c>
      <c r="P61" s="91">
        <v>2700</v>
      </c>
    </row>
    <row r="62" spans="1:16" s="91" customFormat="1" ht="116.25" customHeight="1" x14ac:dyDescent="0.3">
      <c r="A62" s="120" t="s">
        <v>351</v>
      </c>
      <c r="B62" s="137" t="s">
        <v>365</v>
      </c>
      <c r="C62" s="138" t="s">
        <v>354</v>
      </c>
      <c r="D62" s="138">
        <v>2024</v>
      </c>
      <c r="E62" s="138" t="s">
        <v>158</v>
      </c>
      <c r="F62" s="118">
        <f t="shared" si="6"/>
        <v>395300</v>
      </c>
      <c r="G62" s="118"/>
      <c r="H62" s="118"/>
      <c r="I62" s="118"/>
      <c r="J62" s="118">
        <f>752000-577000+56200+37400-10600+137300</f>
        <v>395300</v>
      </c>
      <c r="K62" s="119"/>
      <c r="L62" s="138" t="s">
        <v>352</v>
      </c>
      <c r="M62" s="104">
        <v>37400</v>
      </c>
      <c r="N62" s="93">
        <v>-10600</v>
      </c>
      <c r="O62" s="91">
        <v>137300</v>
      </c>
    </row>
    <row r="63" spans="1:16" s="91" customFormat="1" ht="116.25" customHeight="1" x14ac:dyDescent="0.3">
      <c r="A63" s="120" t="s">
        <v>369</v>
      </c>
      <c r="B63" s="137" t="s">
        <v>370</v>
      </c>
      <c r="C63" s="138" t="s">
        <v>354</v>
      </c>
      <c r="D63" s="138">
        <v>2024</v>
      </c>
      <c r="E63" s="138" t="s">
        <v>158</v>
      </c>
      <c r="F63" s="118">
        <f>G63+H63+I63+J63+K63</f>
        <v>325600</v>
      </c>
      <c r="G63" s="118"/>
      <c r="H63" s="118"/>
      <c r="I63" s="118"/>
      <c r="J63" s="118">
        <f>325600</f>
        <v>325600</v>
      </c>
      <c r="K63" s="119"/>
      <c r="L63" s="138" t="s">
        <v>229</v>
      </c>
      <c r="M63" s="104"/>
      <c r="N63" s="93"/>
    </row>
    <row r="64" spans="1:16" s="91" customFormat="1" ht="116.25" customHeight="1" x14ac:dyDescent="0.3">
      <c r="A64" s="120" t="s">
        <v>371</v>
      </c>
      <c r="B64" s="137" t="s">
        <v>378</v>
      </c>
      <c r="C64" s="138" t="s">
        <v>354</v>
      </c>
      <c r="D64" s="138">
        <v>2024</v>
      </c>
      <c r="E64" s="138" t="s">
        <v>158</v>
      </c>
      <c r="F64" s="118">
        <f>G64+H64+I64+J64+K64</f>
        <v>284500</v>
      </c>
      <c r="G64" s="118"/>
      <c r="H64" s="118"/>
      <c r="I64" s="118"/>
      <c r="J64" s="118">
        <f>284500</f>
        <v>284500</v>
      </c>
      <c r="K64" s="119"/>
      <c r="L64" s="138" t="s">
        <v>224</v>
      </c>
      <c r="M64" s="104"/>
      <c r="N64" s="93"/>
    </row>
    <row r="65" spans="1:13" ht="23.25" customHeight="1" x14ac:dyDescent="0.3">
      <c r="A65" s="257" t="s">
        <v>223</v>
      </c>
      <c r="B65" s="257"/>
      <c r="C65" s="257"/>
      <c r="D65" s="257"/>
      <c r="E65" s="257"/>
      <c r="F65" s="257"/>
      <c r="G65" s="257"/>
      <c r="H65" s="257"/>
      <c r="I65" s="257"/>
      <c r="J65" s="257"/>
      <c r="K65" s="257"/>
      <c r="L65" s="257"/>
    </row>
    <row r="66" spans="1:13" s="91" customFormat="1" ht="175.5" customHeight="1" x14ac:dyDescent="0.3">
      <c r="A66" s="136" t="s">
        <v>146</v>
      </c>
      <c r="B66" s="137" t="s">
        <v>170</v>
      </c>
      <c r="C66" s="138" t="s">
        <v>193</v>
      </c>
      <c r="D66" s="138" t="s">
        <v>160</v>
      </c>
      <c r="E66" s="138" t="s">
        <v>276</v>
      </c>
      <c r="F66" s="118">
        <f t="shared" ref="F66:F74" si="7">G66+H66+I66+J66+K66</f>
        <v>14662385</v>
      </c>
      <c r="G66" s="118">
        <f>5176185+9486200</f>
        <v>14662385</v>
      </c>
      <c r="H66" s="118"/>
      <c r="I66" s="118"/>
      <c r="J66" s="126"/>
      <c r="K66" s="126"/>
      <c r="L66" s="138" t="s">
        <v>179</v>
      </c>
      <c r="M66" s="104"/>
    </row>
    <row r="67" spans="1:13" s="91" customFormat="1" ht="170.25" customHeight="1" x14ac:dyDescent="0.3">
      <c r="A67" s="136" t="s">
        <v>152</v>
      </c>
      <c r="B67" s="92" t="s">
        <v>171</v>
      </c>
      <c r="C67" s="138" t="s">
        <v>203</v>
      </c>
      <c r="D67" s="138">
        <v>2021</v>
      </c>
      <c r="E67" s="138" t="s">
        <v>158</v>
      </c>
      <c r="F67" s="118">
        <f t="shared" si="7"/>
        <v>2577081.2400000002</v>
      </c>
      <c r="G67" s="118">
        <v>2577081.2400000002</v>
      </c>
      <c r="H67" s="118"/>
      <c r="I67" s="118"/>
      <c r="J67" s="126"/>
      <c r="K67" s="126"/>
      <c r="L67" s="138" t="s">
        <v>180</v>
      </c>
      <c r="M67" s="104"/>
    </row>
    <row r="68" spans="1:13" s="91" customFormat="1" ht="147.6" customHeight="1" x14ac:dyDescent="0.3">
      <c r="A68" s="136" t="s">
        <v>154</v>
      </c>
      <c r="B68" s="92" t="s">
        <v>317</v>
      </c>
      <c r="C68" s="138" t="s">
        <v>186</v>
      </c>
      <c r="D68" s="138" t="s">
        <v>312</v>
      </c>
      <c r="E68" s="138" t="s">
        <v>158</v>
      </c>
      <c r="F68" s="118">
        <f t="shared" si="7"/>
        <v>11542691.050000001</v>
      </c>
      <c r="G68" s="118">
        <v>49350.84</v>
      </c>
      <c r="H68" s="118"/>
      <c r="I68" s="118">
        <v>10362613.210000001</v>
      </c>
      <c r="J68" s="127">
        <f>1205627-30000-25000-19900</f>
        <v>1130727</v>
      </c>
      <c r="K68" s="126"/>
      <c r="L68" s="138" t="s">
        <v>181</v>
      </c>
      <c r="M68" s="104">
        <v>-19900</v>
      </c>
    </row>
    <row r="69" spans="1:13" s="91" customFormat="1" ht="108" customHeight="1" x14ac:dyDescent="0.3">
      <c r="A69" s="136" t="s">
        <v>247</v>
      </c>
      <c r="B69" s="128" t="s">
        <v>172</v>
      </c>
      <c r="C69" s="138" t="s">
        <v>204</v>
      </c>
      <c r="D69" s="138">
        <v>2021</v>
      </c>
      <c r="E69" s="138" t="s">
        <v>158</v>
      </c>
      <c r="F69" s="118">
        <f t="shared" si="7"/>
        <v>7250244.8700000001</v>
      </c>
      <c r="G69" s="118">
        <v>7250244.8700000001</v>
      </c>
      <c r="H69" s="118"/>
      <c r="I69" s="118"/>
      <c r="J69" s="126"/>
      <c r="K69" s="126"/>
      <c r="L69" s="138" t="s">
        <v>176</v>
      </c>
      <c r="M69" s="104"/>
    </row>
    <row r="70" spans="1:13" s="91" customFormat="1" ht="174.75" customHeight="1" x14ac:dyDescent="0.3">
      <c r="A70" s="136" t="s">
        <v>248</v>
      </c>
      <c r="B70" s="92" t="s">
        <v>191</v>
      </c>
      <c r="C70" s="138" t="s">
        <v>205</v>
      </c>
      <c r="D70" s="138" t="s">
        <v>210</v>
      </c>
      <c r="E70" s="138" t="s">
        <v>158</v>
      </c>
      <c r="F70" s="118">
        <f t="shared" si="7"/>
        <v>3205846.12</v>
      </c>
      <c r="G70" s="118"/>
      <c r="H70" s="118">
        <v>3205846.12</v>
      </c>
      <c r="I70" s="118"/>
      <c r="J70" s="126"/>
      <c r="K70" s="126"/>
      <c r="L70" s="138" t="s">
        <v>173</v>
      </c>
      <c r="M70" s="104"/>
    </row>
    <row r="71" spans="1:13" s="91" customFormat="1" ht="121.5" customHeight="1" x14ac:dyDescent="0.3">
      <c r="A71" s="136" t="s">
        <v>249</v>
      </c>
      <c r="B71" s="92" t="s">
        <v>292</v>
      </c>
      <c r="C71" s="138" t="s">
        <v>206</v>
      </c>
      <c r="D71" s="138">
        <v>2021</v>
      </c>
      <c r="E71" s="138" t="s">
        <v>158</v>
      </c>
      <c r="F71" s="118">
        <f t="shared" si="7"/>
        <v>254580</v>
      </c>
      <c r="G71" s="118">
        <v>254580</v>
      </c>
      <c r="H71" s="118"/>
      <c r="I71" s="118"/>
      <c r="J71" s="126"/>
      <c r="K71" s="126"/>
      <c r="L71" s="138" t="s">
        <v>173</v>
      </c>
      <c r="M71" s="104"/>
    </row>
    <row r="72" spans="1:13" s="91" customFormat="1" ht="129" customHeight="1" x14ac:dyDescent="0.3">
      <c r="A72" s="136" t="s">
        <v>250</v>
      </c>
      <c r="B72" s="92" t="s">
        <v>189</v>
      </c>
      <c r="C72" s="138" t="s">
        <v>206</v>
      </c>
      <c r="D72" s="138" t="s">
        <v>160</v>
      </c>
      <c r="E72" s="138" t="s">
        <v>158</v>
      </c>
      <c r="F72" s="118">
        <f t="shared" si="7"/>
        <v>869262.05</v>
      </c>
      <c r="G72" s="118">
        <f>237826.14+161527.83+469908.08</f>
        <v>869262.05</v>
      </c>
      <c r="H72" s="118"/>
      <c r="I72" s="118"/>
      <c r="J72" s="126"/>
      <c r="K72" s="126"/>
      <c r="L72" s="138" t="s">
        <v>190</v>
      </c>
      <c r="M72" s="104"/>
    </row>
    <row r="73" spans="1:13" s="91" customFormat="1" ht="170.25" customHeight="1" x14ac:dyDescent="0.3">
      <c r="A73" s="136" t="s">
        <v>251</v>
      </c>
      <c r="B73" s="137" t="s">
        <v>174</v>
      </c>
      <c r="C73" s="138" t="s">
        <v>207</v>
      </c>
      <c r="D73" s="138" t="s">
        <v>160</v>
      </c>
      <c r="E73" s="138" t="s">
        <v>158</v>
      </c>
      <c r="F73" s="118">
        <f t="shared" si="7"/>
        <v>829419.5</v>
      </c>
      <c r="G73" s="118">
        <v>802119.5</v>
      </c>
      <c r="H73" s="118"/>
      <c r="I73" s="118">
        <v>27300</v>
      </c>
      <c r="J73" s="126"/>
      <c r="K73" s="126"/>
      <c r="L73" s="138" t="s">
        <v>175</v>
      </c>
      <c r="M73" s="104"/>
    </row>
    <row r="74" spans="1:13" s="91" customFormat="1" ht="100.2" customHeight="1" x14ac:dyDescent="0.3">
      <c r="A74" s="136" t="s">
        <v>252</v>
      </c>
      <c r="B74" s="137" t="s">
        <v>233</v>
      </c>
      <c r="C74" s="138" t="s">
        <v>231</v>
      </c>
      <c r="D74" s="138">
        <v>2022</v>
      </c>
      <c r="E74" s="138" t="s">
        <v>158</v>
      </c>
      <c r="F74" s="118">
        <f t="shared" si="7"/>
        <v>219800</v>
      </c>
      <c r="G74" s="118"/>
      <c r="H74" s="118">
        <v>219800</v>
      </c>
      <c r="I74" s="118"/>
      <c r="J74" s="126"/>
      <c r="K74" s="126"/>
      <c r="L74" s="138" t="s">
        <v>232</v>
      </c>
      <c r="M74" s="104"/>
    </row>
    <row r="75" spans="1:13" s="91" customFormat="1" ht="34.5" customHeight="1" x14ac:dyDescent="0.3">
      <c r="A75" s="136" t="s">
        <v>255</v>
      </c>
      <c r="B75" s="137" t="s">
        <v>260</v>
      </c>
      <c r="C75" s="138"/>
      <c r="D75" s="138"/>
      <c r="E75" s="138"/>
      <c r="F75" s="118">
        <f>F76+F77+F78</f>
        <v>9294500.4699999988</v>
      </c>
      <c r="G75" s="118"/>
      <c r="H75" s="118"/>
      <c r="I75" s="118">
        <f>I76+I77+I78</f>
        <v>1283931.47</v>
      </c>
      <c r="J75" s="129">
        <f>J76+J77+J78</f>
        <v>8010569</v>
      </c>
      <c r="K75" s="126"/>
      <c r="L75" s="260" t="s">
        <v>261</v>
      </c>
      <c r="M75" s="104"/>
    </row>
    <row r="76" spans="1:13" s="91" customFormat="1" ht="93.6" x14ac:dyDescent="0.3">
      <c r="A76" s="120" t="s">
        <v>288</v>
      </c>
      <c r="B76" s="137" t="s">
        <v>313</v>
      </c>
      <c r="C76" s="138" t="s">
        <v>259</v>
      </c>
      <c r="D76" s="138" t="s">
        <v>310</v>
      </c>
      <c r="E76" s="138" t="s">
        <v>158</v>
      </c>
      <c r="F76" s="118">
        <f t="shared" ref="F76:F94" si="8">G76+H76+I76+J76+K76</f>
        <v>4545600.51</v>
      </c>
      <c r="G76" s="118"/>
      <c r="H76" s="118"/>
      <c r="I76" s="118">
        <v>724059.51</v>
      </c>
      <c r="J76" s="127">
        <f>4787741-966200</f>
        <v>3821541</v>
      </c>
      <c r="K76" s="126"/>
      <c r="L76" s="261"/>
      <c r="M76" s="104"/>
    </row>
    <row r="77" spans="1:13" s="91" customFormat="1" ht="93.6" x14ac:dyDescent="0.3">
      <c r="A77" s="120" t="s">
        <v>289</v>
      </c>
      <c r="B77" s="137" t="s">
        <v>314</v>
      </c>
      <c r="C77" s="138" t="s">
        <v>259</v>
      </c>
      <c r="D77" s="138" t="s">
        <v>310</v>
      </c>
      <c r="E77" s="138" t="s">
        <v>158</v>
      </c>
      <c r="F77" s="118">
        <f t="shared" si="8"/>
        <v>2998899.96</v>
      </c>
      <c r="G77" s="118"/>
      <c r="H77" s="118"/>
      <c r="I77" s="118">
        <v>489871.96</v>
      </c>
      <c r="J77" s="127">
        <f>2811128-302100</f>
        <v>2509028</v>
      </c>
      <c r="K77" s="126"/>
      <c r="L77" s="261"/>
      <c r="M77" s="104"/>
    </row>
    <row r="78" spans="1:13" s="91" customFormat="1" ht="111" customHeight="1" x14ac:dyDescent="0.3">
      <c r="A78" s="120" t="s">
        <v>290</v>
      </c>
      <c r="B78" s="137" t="s">
        <v>308</v>
      </c>
      <c r="C78" s="138" t="s">
        <v>206</v>
      </c>
      <c r="D78" s="138" t="s">
        <v>310</v>
      </c>
      <c r="E78" s="138" t="s">
        <v>158</v>
      </c>
      <c r="F78" s="118">
        <f t="shared" si="8"/>
        <v>1750000</v>
      </c>
      <c r="G78" s="118"/>
      <c r="H78" s="118"/>
      <c r="I78" s="118">
        <v>70000</v>
      </c>
      <c r="J78" s="127">
        <v>1680000</v>
      </c>
      <c r="K78" s="126"/>
      <c r="L78" s="261"/>
      <c r="M78" s="104"/>
    </row>
    <row r="79" spans="1:13" s="91" customFormat="1" ht="93" customHeight="1" x14ac:dyDescent="0.3">
      <c r="A79" s="120" t="s">
        <v>258</v>
      </c>
      <c r="B79" s="137" t="s">
        <v>271</v>
      </c>
      <c r="C79" s="138" t="s">
        <v>206</v>
      </c>
      <c r="D79" s="138">
        <v>2023</v>
      </c>
      <c r="E79" s="138" t="s">
        <v>158</v>
      </c>
      <c r="F79" s="118">
        <f t="shared" si="8"/>
        <v>0</v>
      </c>
      <c r="G79" s="118"/>
      <c r="H79" s="118"/>
      <c r="I79" s="118">
        <v>0</v>
      </c>
      <c r="J79" s="126"/>
      <c r="K79" s="126"/>
      <c r="L79" s="138" t="s">
        <v>275</v>
      </c>
      <c r="M79" s="104"/>
    </row>
    <row r="80" spans="1:13" s="91" customFormat="1" ht="100.5" customHeight="1" x14ac:dyDescent="0.3">
      <c r="A80" s="120" t="s">
        <v>273</v>
      </c>
      <c r="B80" s="137" t="s">
        <v>272</v>
      </c>
      <c r="C80" s="138" t="s">
        <v>206</v>
      </c>
      <c r="D80" s="138">
        <v>2023</v>
      </c>
      <c r="E80" s="138" t="s">
        <v>158</v>
      </c>
      <c r="F80" s="118">
        <f t="shared" si="8"/>
        <v>0</v>
      </c>
      <c r="G80" s="118"/>
      <c r="H80" s="118"/>
      <c r="I80" s="118">
        <v>0</v>
      </c>
      <c r="J80" s="126"/>
      <c r="K80" s="126"/>
      <c r="L80" s="138" t="s">
        <v>275</v>
      </c>
      <c r="M80" s="104"/>
    </row>
    <row r="81" spans="1:17" s="91" customFormat="1" ht="118.5" customHeight="1" x14ac:dyDescent="0.3">
      <c r="A81" s="120" t="s">
        <v>274</v>
      </c>
      <c r="B81" s="137" t="s">
        <v>281</v>
      </c>
      <c r="C81" s="138" t="s">
        <v>259</v>
      </c>
      <c r="D81" s="138">
        <v>2023</v>
      </c>
      <c r="E81" s="138" t="s">
        <v>158</v>
      </c>
      <c r="F81" s="118">
        <f t="shared" si="8"/>
        <v>507964.15</v>
      </c>
      <c r="G81" s="118"/>
      <c r="H81" s="118"/>
      <c r="I81" s="118">
        <v>507964.15</v>
      </c>
      <c r="J81" s="126"/>
      <c r="K81" s="126"/>
      <c r="L81" s="138" t="s">
        <v>261</v>
      </c>
      <c r="M81" s="104"/>
    </row>
    <row r="82" spans="1:17" s="91" customFormat="1" ht="137.25" customHeight="1" x14ac:dyDescent="0.3">
      <c r="A82" s="120" t="s">
        <v>283</v>
      </c>
      <c r="B82" s="137" t="s">
        <v>319</v>
      </c>
      <c r="C82" s="138" t="s">
        <v>206</v>
      </c>
      <c r="D82" s="138" t="s">
        <v>310</v>
      </c>
      <c r="E82" s="138" t="s">
        <v>158</v>
      </c>
      <c r="F82" s="118">
        <f t="shared" si="8"/>
        <v>334805</v>
      </c>
      <c r="G82" s="118"/>
      <c r="H82" s="118"/>
      <c r="I82" s="118">
        <v>0</v>
      </c>
      <c r="J82" s="127">
        <f>334805</f>
        <v>334805</v>
      </c>
      <c r="K82" s="126"/>
      <c r="L82" s="138" t="s">
        <v>190</v>
      </c>
      <c r="M82" s="104"/>
    </row>
    <row r="83" spans="1:17" s="91" customFormat="1" ht="110.25" customHeight="1" x14ac:dyDescent="0.3">
      <c r="A83" s="120" t="s">
        <v>285</v>
      </c>
      <c r="B83" s="137" t="s">
        <v>316</v>
      </c>
      <c r="C83" s="138" t="s">
        <v>206</v>
      </c>
      <c r="D83" s="138" t="s">
        <v>310</v>
      </c>
      <c r="E83" s="138" t="s">
        <v>158</v>
      </c>
      <c r="F83" s="118">
        <f t="shared" si="8"/>
        <v>0</v>
      </c>
      <c r="G83" s="118"/>
      <c r="H83" s="118"/>
      <c r="I83" s="118">
        <v>0</v>
      </c>
      <c r="J83" s="127">
        <f>399600-399600</f>
        <v>0</v>
      </c>
      <c r="K83" s="126"/>
      <c r="L83" s="138" t="s">
        <v>190</v>
      </c>
      <c r="M83" s="104"/>
    </row>
    <row r="84" spans="1:17" s="91" customFormat="1" ht="129.75" customHeight="1" x14ac:dyDescent="0.3">
      <c r="A84" s="120" t="s">
        <v>286</v>
      </c>
      <c r="B84" s="137" t="s">
        <v>291</v>
      </c>
      <c r="C84" s="138" t="s">
        <v>287</v>
      </c>
      <c r="D84" s="138">
        <v>2023</v>
      </c>
      <c r="E84" s="138" t="s">
        <v>158</v>
      </c>
      <c r="F84" s="118">
        <f t="shared" si="8"/>
        <v>443042.63</v>
      </c>
      <c r="G84" s="118"/>
      <c r="H84" s="118"/>
      <c r="I84" s="118">
        <v>443042.63</v>
      </c>
      <c r="J84" s="126"/>
      <c r="K84" s="126"/>
      <c r="L84" s="138" t="s">
        <v>190</v>
      </c>
      <c r="M84" s="104"/>
    </row>
    <row r="85" spans="1:17" s="91" customFormat="1" ht="136.5" customHeight="1" x14ac:dyDescent="0.3">
      <c r="A85" s="120" t="s">
        <v>299</v>
      </c>
      <c r="B85" s="137" t="s">
        <v>331</v>
      </c>
      <c r="C85" s="138" t="s">
        <v>206</v>
      </c>
      <c r="D85" s="138" t="s">
        <v>310</v>
      </c>
      <c r="E85" s="138" t="s">
        <v>158</v>
      </c>
      <c r="F85" s="118">
        <f t="shared" si="8"/>
        <v>2199991.5</v>
      </c>
      <c r="G85" s="118"/>
      <c r="H85" s="118"/>
      <c r="I85" s="118">
        <v>99991.5</v>
      </c>
      <c r="J85" s="127">
        <f>1400000+700000</f>
        <v>2100000</v>
      </c>
      <c r="K85" s="126"/>
      <c r="L85" s="138" t="s">
        <v>300</v>
      </c>
      <c r="M85" s="104"/>
    </row>
    <row r="86" spans="1:17" s="91" customFormat="1" ht="132" customHeight="1" x14ac:dyDescent="0.3">
      <c r="A86" s="120" t="s">
        <v>306</v>
      </c>
      <c r="B86" s="137" t="s">
        <v>307</v>
      </c>
      <c r="C86" s="138" t="s">
        <v>211</v>
      </c>
      <c r="D86" s="138">
        <v>2023</v>
      </c>
      <c r="E86" s="138" t="s">
        <v>158</v>
      </c>
      <c r="F86" s="118">
        <f t="shared" si="8"/>
        <v>68900</v>
      </c>
      <c r="G86" s="118"/>
      <c r="H86" s="118"/>
      <c r="I86" s="118">
        <v>68900</v>
      </c>
      <c r="J86" s="126"/>
      <c r="K86" s="126"/>
      <c r="L86" s="138" t="s">
        <v>318</v>
      </c>
      <c r="M86" s="104"/>
    </row>
    <row r="87" spans="1:17" s="91" customFormat="1" ht="118.5" customHeight="1" x14ac:dyDescent="0.3">
      <c r="A87" s="120" t="s">
        <v>320</v>
      </c>
      <c r="B87" s="137" t="s">
        <v>322</v>
      </c>
      <c r="C87" s="138" t="s">
        <v>206</v>
      </c>
      <c r="D87" s="138">
        <v>2024</v>
      </c>
      <c r="E87" s="138" t="s">
        <v>158</v>
      </c>
      <c r="F87" s="118">
        <f t="shared" si="8"/>
        <v>66000</v>
      </c>
      <c r="G87" s="118"/>
      <c r="H87" s="118"/>
      <c r="I87" s="118"/>
      <c r="J87" s="127">
        <f>66000</f>
        <v>66000</v>
      </c>
      <c r="K87" s="126"/>
      <c r="L87" s="138" t="s">
        <v>321</v>
      </c>
      <c r="M87" s="104"/>
    </row>
    <row r="88" spans="1:17" s="91" customFormat="1" ht="129.75" customHeight="1" x14ac:dyDescent="0.3">
      <c r="A88" s="120" t="s">
        <v>324</v>
      </c>
      <c r="B88" s="137" t="s">
        <v>327</v>
      </c>
      <c r="C88" s="138" t="s">
        <v>211</v>
      </c>
      <c r="D88" s="138">
        <v>2024</v>
      </c>
      <c r="E88" s="138" t="s">
        <v>158</v>
      </c>
      <c r="F88" s="118">
        <f t="shared" si="8"/>
        <v>791200</v>
      </c>
      <c r="G88" s="118"/>
      <c r="H88" s="118"/>
      <c r="I88" s="118"/>
      <c r="J88" s="127">
        <f>1000000-36000-56200+130000-286600+40000</f>
        <v>791200</v>
      </c>
      <c r="K88" s="126"/>
      <c r="L88" s="138" t="s">
        <v>328</v>
      </c>
      <c r="M88" s="104">
        <v>-286600</v>
      </c>
      <c r="N88" s="91">
        <v>40000</v>
      </c>
    </row>
    <row r="89" spans="1:17" s="91" customFormat="1" ht="141.75" customHeight="1" x14ac:dyDescent="0.3">
      <c r="A89" s="120" t="s">
        <v>339</v>
      </c>
      <c r="B89" s="107" t="s">
        <v>345</v>
      </c>
      <c r="C89" s="138" t="s">
        <v>206</v>
      </c>
      <c r="D89" s="138">
        <v>2024</v>
      </c>
      <c r="E89" s="138" t="s">
        <v>158</v>
      </c>
      <c r="F89" s="118">
        <f t="shared" si="8"/>
        <v>47706</v>
      </c>
      <c r="G89" s="118"/>
      <c r="H89" s="118"/>
      <c r="I89" s="118"/>
      <c r="J89" s="127">
        <v>47706</v>
      </c>
      <c r="K89" s="126"/>
      <c r="L89" s="138" t="s">
        <v>173</v>
      </c>
      <c r="M89" s="104"/>
    </row>
    <row r="90" spans="1:17" s="91" customFormat="1" ht="143.4" customHeight="1" x14ac:dyDescent="0.3">
      <c r="A90" s="120" t="s">
        <v>340</v>
      </c>
      <c r="B90" s="107" t="s">
        <v>346</v>
      </c>
      <c r="C90" s="138" t="s">
        <v>206</v>
      </c>
      <c r="D90" s="138">
        <v>2024</v>
      </c>
      <c r="E90" s="138" t="s">
        <v>158</v>
      </c>
      <c r="F90" s="118">
        <f t="shared" si="8"/>
        <v>47706</v>
      </c>
      <c r="G90" s="118"/>
      <c r="H90" s="118"/>
      <c r="I90" s="118"/>
      <c r="J90" s="127">
        <v>47706</v>
      </c>
      <c r="K90" s="126"/>
      <c r="L90" s="138" t="s">
        <v>173</v>
      </c>
      <c r="M90" s="104"/>
    </row>
    <row r="91" spans="1:17" s="91" customFormat="1" ht="129.75" customHeight="1" x14ac:dyDescent="0.3">
      <c r="A91" s="120" t="s">
        <v>341</v>
      </c>
      <c r="B91" s="107" t="s">
        <v>347</v>
      </c>
      <c r="C91" s="138" t="s">
        <v>206</v>
      </c>
      <c r="D91" s="138">
        <v>2024</v>
      </c>
      <c r="E91" s="138" t="s">
        <v>158</v>
      </c>
      <c r="F91" s="118">
        <f t="shared" si="8"/>
        <v>74473</v>
      </c>
      <c r="G91" s="118"/>
      <c r="H91" s="118"/>
      <c r="I91" s="118"/>
      <c r="J91" s="127">
        <v>74473</v>
      </c>
      <c r="K91" s="126"/>
      <c r="L91" s="138" t="s">
        <v>190</v>
      </c>
      <c r="M91" s="104"/>
    </row>
    <row r="92" spans="1:17" s="91" customFormat="1" ht="129.75" customHeight="1" x14ac:dyDescent="0.3">
      <c r="A92" s="120" t="s">
        <v>363</v>
      </c>
      <c r="B92" s="107" t="s">
        <v>364</v>
      </c>
      <c r="C92" s="138" t="s">
        <v>206</v>
      </c>
      <c r="D92" s="138">
        <v>2024</v>
      </c>
      <c r="E92" s="138" t="s">
        <v>158</v>
      </c>
      <c r="F92" s="118">
        <f t="shared" si="8"/>
        <v>2193059</v>
      </c>
      <c r="G92" s="118"/>
      <c r="H92" s="118"/>
      <c r="I92" s="118"/>
      <c r="J92" s="127">
        <v>2193059</v>
      </c>
      <c r="K92" s="126"/>
      <c r="L92" s="138" t="s">
        <v>173</v>
      </c>
      <c r="M92" s="104"/>
    </row>
    <row r="93" spans="1:17" s="91" customFormat="1" ht="129.75" customHeight="1" x14ac:dyDescent="0.3">
      <c r="A93" s="120" t="s">
        <v>366</v>
      </c>
      <c r="B93" s="141" t="s">
        <v>379</v>
      </c>
      <c r="C93" s="138" t="s">
        <v>354</v>
      </c>
      <c r="D93" s="138">
        <v>2024</v>
      </c>
      <c r="E93" s="138" t="s">
        <v>158</v>
      </c>
      <c r="F93" s="118">
        <f t="shared" si="8"/>
        <v>1524600</v>
      </c>
      <c r="G93" s="118"/>
      <c r="H93" s="118"/>
      <c r="I93" s="118"/>
      <c r="J93" s="127">
        <v>1524600</v>
      </c>
      <c r="K93" s="126"/>
      <c r="L93" s="138" t="s">
        <v>190</v>
      </c>
      <c r="M93" s="104"/>
    </row>
    <row r="94" spans="1:17" s="91" customFormat="1" ht="129.75" customHeight="1" x14ac:dyDescent="0.3">
      <c r="A94" s="120" t="s">
        <v>372</v>
      </c>
      <c r="B94" s="107" t="s">
        <v>327</v>
      </c>
      <c r="C94" s="138" t="s">
        <v>373</v>
      </c>
      <c r="D94" s="138">
        <v>2024</v>
      </c>
      <c r="E94" s="138" t="s">
        <v>158</v>
      </c>
      <c r="F94" s="118">
        <f t="shared" si="8"/>
        <v>870000</v>
      </c>
      <c r="G94" s="118"/>
      <c r="H94" s="118"/>
      <c r="I94" s="118"/>
      <c r="J94" s="127">
        <f>870000</f>
        <v>870000</v>
      </c>
      <c r="K94" s="126"/>
      <c r="L94" s="138" t="s">
        <v>374</v>
      </c>
      <c r="M94" s="104"/>
    </row>
    <row r="95" spans="1:17" ht="22.5" customHeight="1" x14ac:dyDescent="0.3">
      <c r="A95" s="257" t="s">
        <v>177</v>
      </c>
      <c r="B95" s="257"/>
      <c r="C95" s="257"/>
      <c r="D95" s="257"/>
      <c r="E95" s="257"/>
      <c r="F95" s="257"/>
      <c r="G95" s="257"/>
      <c r="H95" s="257"/>
      <c r="I95" s="257"/>
      <c r="J95" s="257"/>
      <c r="K95" s="257"/>
      <c r="L95" s="257"/>
    </row>
    <row r="96" spans="1:17" s="91" customFormat="1" ht="250.5" customHeight="1" x14ac:dyDescent="0.3">
      <c r="A96" s="136" t="s">
        <v>146</v>
      </c>
      <c r="B96" s="137" t="s">
        <v>264</v>
      </c>
      <c r="C96" s="138" t="s">
        <v>270</v>
      </c>
      <c r="D96" s="138" t="s">
        <v>160</v>
      </c>
      <c r="E96" s="138" t="s">
        <v>158</v>
      </c>
      <c r="F96" s="118">
        <f>G96+H96+I96+J96+K96</f>
        <v>554995.56000000006</v>
      </c>
      <c r="G96" s="118">
        <v>299995.56</v>
      </c>
      <c r="H96" s="130"/>
      <c r="I96" s="118">
        <v>255000</v>
      </c>
      <c r="J96" s="138"/>
      <c r="K96" s="138"/>
      <c r="L96" s="138" t="s">
        <v>262</v>
      </c>
      <c r="M96" s="104"/>
      <c r="N96" s="94"/>
      <c r="Q96" s="90"/>
    </row>
    <row r="97" spans="1:13" s="94" customFormat="1" ht="16.8" x14ac:dyDescent="0.3">
      <c r="A97" s="95"/>
      <c r="B97" s="257" t="s">
        <v>137</v>
      </c>
      <c r="C97" s="257"/>
      <c r="D97" s="257"/>
      <c r="E97" s="257"/>
      <c r="F97" s="105">
        <f>G97+H97+I97+J97+K97</f>
        <v>208247732.70000002</v>
      </c>
      <c r="G97" s="105">
        <f>G12+G41+G50+G51+G52+G53+G54+G66+G67+G68+G69+G70+G71+G72+G73+G74+G75++G79+G80+G96+G81+G82+G83+G84+G85+G86+G87</f>
        <v>51459018.660000004</v>
      </c>
      <c r="H97" s="105">
        <f>H12+H41+H50+H51+H52+H53+H54+H66+H67+H68+H69+H70+H71+H72+H73+H74+H75++H79+H80+H96+H81+H82+H83+H84+H85+H86+H87</f>
        <v>36303779.049999997</v>
      </c>
      <c r="I97" s="105">
        <f>I12+I41+I50+I51+I52+I53+I54+I66+I67+I68+I69+I70+I71+I72+I73+I74+I75++I79+I80+I96+I81+I82+I83+I84+I85+I86+I87</f>
        <v>55516310.990000002</v>
      </c>
      <c r="J97" s="105">
        <f>J12+J41+J50+J51+J52+J53+J54+J66+J67+J68+J69+J70+J71+J72+J73+J74+J75++J79+J80+J96+J81+J82+J83+J84+J85+J86+J88+J87+J89+J90+J91+J92+J94+J93</f>
        <v>64968624</v>
      </c>
      <c r="K97" s="105">
        <f>K12+K41+K50+K51+K52+K53+K54+K66+K67+K68+K69+K70+K71+K72+K73+K74+K75++K79+K80+K96+K81+K82+K83+K84+K85+K86+K87</f>
        <v>0</v>
      </c>
      <c r="L97" s="96"/>
      <c r="M97" s="111"/>
    </row>
    <row r="98" spans="1:13" s="82" customFormat="1" ht="18" x14ac:dyDescent="0.35">
      <c r="A98" s="97" t="s">
        <v>332</v>
      </c>
      <c r="B98" s="98"/>
      <c r="C98" s="98"/>
      <c r="D98" s="98"/>
      <c r="E98" s="98"/>
      <c r="F98" s="99"/>
      <c r="G98" s="99"/>
      <c r="H98" s="100"/>
      <c r="I98" s="101"/>
      <c r="J98" s="101"/>
      <c r="K98" s="101"/>
      <c r="M98" s="86"/>
    </row>
    <row r="99" spans="1:13" s="82" customFormat="1" ht="18" x14ac:dyDescent="0.35">
      <c r="A99" s="97"/>
      <c r="B99" s="98"/>
      <c r="C99" s="98"/>
      <c r="D99" s="98"/>
      <c r="E99" s="98"/>
      <c r="F99" s="99"/>
      <c r="G99" s="99"/>
      <c r="H99" s="100"/>
      <c r="I99" s="101"/>
      <c r="J99" s="101"/>
      <c r="K99" s="101"/>
      <c r="M99" s="86"/>
    </row>
    <row r="100" spans="1:13" s="132" customFormat="1" ht="21" x14ac:dyDescent="0.4">
      <c r="B100" s="133" t="s">
        <v>294</v>
      </c>
      <c r="C100" s="133"/>
      <c r="D100" s="133"/>
      <c r="E100" s="133"/>
      <c r="F100" s="133"/>
      <c r="G100" s="133"/>
      <c r="H100" s="133"/>
      <c r="M100" s="134"/>
    </row>
    <row r="101" spans="1:13" s="103" customFormat="1" ht="15.6" x14ac:dyDescent="0.3">
      <c r="A101" s="102"/>
      <c r="M101" s="112"/>
    </row>
    <row r="103" spans="1:13" x14ac:dyDescent="0.3">
      <c r="G103" s="142"/>
      <c r="H103" s="142"/>
      <c r="I103" s="85"/>
    </row>
    <row r="104" spans="1:13" x14ac:dyDescent="0.3">
      <c r="F104" s="142"/>
      <c r="G104" s="142"/>
      <c r="H104" s="142"/>
      <c r="I104" s="142"/>
      <c r="J104" s="142"/>
      <c r="K104" s="142"/>
    </row>
    <row r="105" spans="1:13" s="82" customFormat="1" ht="18" x14ac:dyDescent="0.35">
      <c r="A105" s="89"/>
      <c r="F105" s="86"/>
      <c r="G105" s="86"/>
      <c r="H105" s="86"/>
      <c r="I105" s="86"/>
      <c r="J105" s="86"/>
      <c r="K105" s="86"/>
      <c r="M105" s="86"/>
    </row>
    <row r="106" spans="1:13" x14ac:dyDescent="0.3">
      <c r="F106" s="85"/>
      <c r="G106" s="85"/>
      <c r="H106" s="85"/>
      <c r="I106" s="85"/>
    </row>
    <row r="107" spans="1:13" ht="18" x14ac:dyDescent="0.35">
      <c r="F107" s="85"/>
      <c r="G107" s="81"/>
      <c r="H107" s="142"/>
      <c r="J107" s="142"/>
    </row>
    <row r="108" spans="1:13" x14ac:dyDescent="0.3">
      <c r="F108" s="85"/>
    </row>
    <row r="112" spans="1:13" ht="18" x14ac:dyDescent="0.35">
      <c r="C112" s="82"/>
      <c r="D112" s="82"/>
      <c r="E112" s="82"/>
      <c r="F112" s="113"/>
      <c r="G112" s="82"/>
      <c r="H112" s="82"/>
    </row>
    <row r="113" spans="3:12" ht="18" x14ac:dyDescent="0.35">
      <c r="C113" s="82"/>
      <c r="D113" s="82"/>
      <c r="E113" s="82"/>
      <c r="F113" s="82"/>
      <c r="G113" s="82"/>
      <c r="H113" s="82"/>
    </row>
    <row r="114" spans="3:12" ht="18" x14ac:dyDescent="0.35">
      <c r="C114" s="81"/>
      <c r="D114" s="82"/>
      <c r="E114" s="87"/>
      <c r="F114" s="82"/>
      <c r="G114" s="82"/>
      <c r="H114" s="82"/>
    </row>
    <row r="115" spans="3:12" ht="18" x14ac:dyDescent="0.35">
      <c r="C115" s="82"/>
      <c r="D115" s="82"/>
      <c r="E115" s="87"/>
      <c r="F115" s="82"/>
      <c r="G115" s="82"/>
      <c r="H115" s="82"/>
    </row>
    <row r="116" spans="3:12" ht="18" x14ac:dyDescent="0.35">
      <c r="C116" s="82"/>
      <c r="D116" s="82"/>
      <c r="E116" s="87"/>
      <c r="F116" s="82"/>
      <c r="G116" s="82"/>
      <c r="H116" s="82"/>
      <c r="I116" s="85"/>
      <c r="L116" s="142"/>
    </row>
    <row r="117" spans="3:12" ht="18" x14ac:dyDescent="0.35">
      <c r="C117" s="82"/>
      <c r="D117" s="82"/>
      <c r="E117" s="87"/>
      <c r="F117" s="82"/>
      <c r="G117" s="82"/>
      <c r="H117" s="82"/>
      <c r="I117" s="85"/>
    </row>
    <row r="118" spans="3:12" ht="18" x14ac:dyDescent="0.35">
      <c r="C118" s="82"/>
      <c r="D118" s="82"/>
      <c r="E118" s="87"/>
      <c r="F118" s="82"/>
      <c r="G118" s="82"/>
      <c r="H118" s="82"/>
      <c r="I118" s="85"/>
    </row>
    <row r="119" spans="3:12" ht="18" x14ac:dyDescent="0.35">
      <c r="C119" s="82"/>
      <c r="D119" s="82"/>
      <c r="E119" s="87"/>
      <c r="F119" s="82"/>
      <c r="G119" s="82"/>
      <c r="H119" s="82"/>
    </row>
    <row r="120" spans="3:12" ht="18" x14ac:dyDescent="0.35">
      <c r="C120" s="82"/>
      <c r="D120" s="82"/>
      <c r="E120" s="82"/>
      <c r="F120" s="81"/>
      <c r="G120" s="82"/>
      <c r="H120" s="82"/>
    </row>
    <row r="121" spans="3:12" ht="18" x14ac:dyDescent="0.35">
      <c r="C121" s="82"/>
      <c r="D121" s="82"/>
      <c r="E121" s="82"/>
      <c r="F121" s="82"/>
      <c r="G121" s="82"/>
      <c r="H121" s="82"/>
      <c r="I121" s="142"/>
    </row>
    <row r="122" spans="3:12" ht="18" x14ac:dyDescent="0.35">
      <c r="C122" s="82"/>
      <c r="D122" s="82"/>
      <c r="E122" s="82"/>
      <c r="F122" s="81"/>
      <c r="H122" s="82"/>
    </row>
    <row r="123" spans="3:12" ht="18" x14ac:dyDescent="0.35">
      <c r="C123" s="82"/>
      <c r="D123" s="82"/>
      <c r="E123" s="82"/>
      <c r="F123" s="82"/>
      <c r="G123" s="82"/>
      <c r="H123" s="82"/>
    </row>
    <row r="141" spans="6:9" ht="23.4" x14ac:dyDescent="0.45">
      <c r="F141" s="84"/>
      <c r="G141" s="84"/>
      <c r="H141" s="84"/>
    </row>
    <row r="142" spans="6:9" ht="23.4" x14ac:dyDescent="0.45">
      <c r="F142" s="84"/>
      <c r="G142" s="84"/>
      <c r="H142" s="83"/>
    </row>
    <row r="143" spans="6:9" ht="23.4" x14ac:dyDescent="0.45">
      <c r="F143" s="84"/>
      <c r="G143" s="84"/>
      <c r="H143" s="84"/>
      <c r="I143" s="142"/>
    </row>
    <row r="144" spans="6:9" ht="23.4" x14ac:dyDescent="0.45">
      <c r="F144" s="84"/>
      <c r="G144" s="84"/>
      <c r="H144" s="84"/>
      <c r="I144" s="142"/>
    </row>
    <row r="145" spans="6:9" ht="23.4" x14ac:dyDescent="0.45">
      <c r="F145" s="84"/>
      <c r="G145" s="84"/>
      <c r="H145" s="84"/>
    </row>
    <row r="146" spans="6:9" ht="23.4" x14ac:dyDescent="0.45">
      <c r="F146" s="84"/>
      <c r="G146" s="84"/>
      <c r="H146" s="84"/>
      <c r="I146" s="142"/>
    </row>
    <row r="147" spans="6:9" ht="23.4" x14ac:dyDescent="0.45">
      <c r="F147" s="84"/>
      <c r="G147" s="84"/>
      <c r="H147" s="84"/>
    </row>
    <row r="148" spans="6:9" ht="23.4" x14ac:dyDescent="0.45">
      <c r="F148" s="84"/>
      <c r="G148" s="84"/>
      <c r="H148" s="84"/>
    </row>
    <row r="149" spans="6:9" ht="23.4" x14ac:dyDescent="0.45">
      <c r="F149" s="84"/>
      <c r="G149" s="266"/>
      <c r="H149" s="266"/>
    </row>
    <row r="150" spans="6:9" ht="23.4" x14ac:dyDescent="0.45">
      <c r="F150" s="84"/>
      <c r="G150" s="84"/>
      <c r="H150" s="84"/>
    </row>
  </sheetData>
  <mergeCells count="34">
    <mergeCell ref="D26:D29"/>
    <mergeCell ref="E26:E29"/>
    <mergeCell ref="L26:L29"/>
    <mergeCell ref="A11:L11"/>
    <mergeCell ref="A5:L5"/>
    <mergeCell ref="A7:A9"/>
    <mergeCell ref="B7:B9"/>
    <mergeCell ref="C7:C9"/>
    <mergeCell ref="D7:D9"/>
    <mergeCell ref="E7:E9"/>
    <mergeCell ref="F7:K7"/>
    <mergeCell ref="L7:L9"/>
    <mergeCell ref="F8:F9"/>
    <mergeCell ref="G8:K8"/>
    <mergeCell ref="C26:C29"/>
    <mergeCell ref="A95:L95"/>
    <mergeCell ref="B97:E97"/>
    <mergeCell ref="G149:H149"/>
    <mergeCell ref="A50:A51"/>
    <mergeCell ref="B50:B51"/>
    <mergeCell ref="D50:D51"/>
    <mergeCell ref="E50:E51"/>
    <mergeCell ref="L50:L51"/>
    <mergeCell ref="L75:L78"/>
    <mergeCell ref="A65:L65"/>
    <mergeCell ref="C47:C49"/>
    <mergeCell ref="D47:D49"/>
    <mergeCell ref="E47:E49"/>
    <mergeCell ref="L47:L49"/>
    <mergeCell ref="A30:A32"/>
    <mergeCell ref="C30:C32"/>
    <mergeCell ref="D30:D32"/>
    <mergeCell ref="E30:E32"/>
    <mergeCell ref="L30:L32"/>
  </mergeCells>
  <pageMargins left="0.9055118110236221" right="0.51181102362204722" top="0.6692913385826772" bottom="0.39370078740157483" header="0.31496062992125984" footer="0.31496062992125984"/>
  <pageSetup paperSize="9" scale="40" fitToWidth="9" fitToHeight="8" orientation="landscape" r:id="rId1"/>
  <headerFooter differentFirst="1">
    <oddHeader>&amp;C&amp;P</oddHeader>
  </headerFooter>
  <rowBreaks count="2" manualBreakCount="2">
    <brk id="64" max="11" man="1"/>
    <brk id="94" max="1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2</vt:i4>
      </vt:variant>
      <vt:variant>
        <vt:lpstr>Іменовані діапазони</vt:lpstr>
      </vt:variant>
      <vt:variant>
        <vt:i4>3</vt:i4>
      </vt:variant>
    </vt:vector>
  </HeadingPairs>
  <TitlesOfParts>
    <vt:vector size="5" baseType="lpstr">
      <vt:lpstr>поточ_кап</vt:lpstr>
      <vt:lpstr>2024 зі змінами</vt:lpstr>
      <vt:lpstr>'2024 зі змінами'!Заголовки_для_друку</vt:lpstr>
      <vt:lpstr>'2024 зі змінами'!Область_друку</vt:lpstr>
      <vt:lpstr>поточ_кап!Область_друку</vt:lpstr>
    </vt:vector>
  </TitlesOfParts>
  <Company>Grizli777</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Администратор</dc:creator>
  <cp:lastModifiedBy>ilya</cp:lastModifiedBy>
  <cp:lastPrinted>2024-11-24T13:18:15Z</cp:lastPrinted>
  <dcterms:created xsi:type="dcterms:W3CDTF">2013-02-08T07:02:54Z</dcterms:created>
  <dcterms:modified xsi:type="dcterms:W3CDTF">2024-11-25T05:24:45Z</dcterms:modified>
</cp:coreProperties>
</file>