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4\УТОЧНЕННЯ\12_НАСТУПНЕ\на сайт рада\"/>
    </mc:Choice>
  </mc:AlternateContent>
  <bookViews>
    <workbookView xWindow="-108" yWindow="-108" windowWidth="23256" windowHeight="12576" firstSheet="1" activeTab="1"/>
  </bookViews>
  <sheets>
    <sheet name="Лист1" sheetId="13" state="hidden" r:id="rId1"/>
    <sheet name="2024" sheetId="19" r:id="rId2"/>
  </sheets>
  <definedNames>
    <definedName name="_xlnm.Print_Titles" localSheetId="1">'2024'!$12:$14</definedName>
    <definedName name="_xlnm.Print_Area" localSheetId="1">'2024'!$A$1:$I$196</definedName>
  </definedNames>
  <calcPr calcId="152511"/>
</workbook>
</file>

<file path=xl/calcChain.xml><?xml version="1.0" encoding="utf-8"?>
<calcChain xmlns="http://schemas.openxmlformats.org/spreadsheetml/2006/main">
  <c r="G76" i="19" l="1"/>
  <c r="H76" i="19"/>
  <c r="I76" i="19"/>
  <c r="F76" i="19"/>
  <c r="G94" i="19"/>
  <c r="F94" i="19"/>
  <c r="G107" i="19" l="1"/>
  <c r="F107" i="19"/>
  <c r="G134" i="19" l="1"/>
  <c r="H134" i="19"/>
  <c r="I134" i="19"/>
  <c r="F134" i="19"/>
  <c r="G165" i="19"/>
  <c r="F111" i="19"/>
  <c r="I155" i="19" l="1"/>
  <c r="G186" i="19"/>
  <c r="F186" i="19"/>
  <c r="F188" i="19"/>
  <c r="G188" i="19"/>
  <c r="G183" i="19"/>
  <c r="F183" i="19"/>
  <c r="G176" i="19"/>
  <c r="F176" i="19"/>
  <c r="G175" i="19"/>
  <c r="F175" i="19"/>
  <c r="G173" i="19"/>
  <c r="F173" i="19"/>
  <c r="G172" i="19"/>
  <c r="F172" i="19"/>
  <c r="G156" i="19"/>
  <c r="G147" i="19"/>
  <c r="F147" i="19"/>
  <c r="G140" i="19"/>
  <c r="F140" i="19"/>
  <c r="G135" i="19"/>
  <c r="F135" i="19"/>
  <c r="G111" i="19"/>
  <c r="H111" i="19"/>
  <c r="I111" i="19"/>
  <c r="G115" i="19"/>
  <c r="I112" i="19"/>
  <c r="F112" i="19"/>
  <c r="G51" i="19"/>
  <c r="F51" i="19"/>
  <c r="G44" i="19"/>
  <c r="F44" i="19"/>
  <c r="H16" i="19"/>
  <c r="I16" i="19"/>
  <c r="G35" i="19"/>
  <c r="F35" i="19"/>
  <c r="G28" i="19"/>
  <c r="F28" i="19"/>
  <c r="G96" i="19"/>
  <c r="F165" i="19" l="1"/>
  <c r="F96" i="19" l="1"/>
  <c r="G179" i="19" l="1"/>
  <c r="G178" i="19" s="1"/>
  <c r="F179" i="19"/>
  <c r="F178" i="19" s="1"/>
  <c r="G158" i="19"/>
  <c r="F158" i="19"/>
  <c r="F155" i="19" s="1"/>
  <c r="H137" i="19"/>
  <c r="I137" i="19"/>
  <c r="G104" i="19"/>
  <c r="F104" i="19"/>
  <c r="G102" i="19"/>
  <c r="F102" i="19"/>
  <c r="G79" i="19"/>
  <c r="I79" i="19"/>
  <c r="G69" i="19"/>
  <c r="G68" i="19" s="1"/>
  <c r="F69" i="19"/>
  <c r="F68" i="19" s="1"/>
  <c r="G64" i="19"/>
  <c r="F64" i="19"/>
  <c r="G61" i="19"/>
  <c r="F61" i="19"/>
  <c r="G56" i="19"/>
  <c r="F56" i="19"/>
  <c r="G48" i="19"/>
  <c r="F48" i="19"/>
  <c r="G47" i="19"/>
  <c r="F47" i="19"/>
  <c r="G46" i="19"/>
  <c r="F46" i="19"/>
  <c r="G41" i="19"/>
  <c r="F41" i="19"/>
  <c r="F32" i="19" l="1"/>
  <c r="F31" i="19"/>
  <c r="F30" i="19" l="1"/>
  <c r="H155" i="19"/>
  <c r="H77" i="19" l="1"/>
  <c r="H75" i="19" s="1"/>
  <c r="I77" i="19"/>
  <c r="I75" i="19" s="1"/>
  <c r="G155" i="19"/>
  <c r="G150" i="19"/>
  <c r="H150" i="19"/>
  <c r="I150" i="19"/>
  <c r="F150" i="19"/>
  <c r="G125" i="19"/>
  <c r="F125" i="19"/>
  <c r="G72" i="19" l="1"/>
  <c r="G71" i="19" s="1"/>
  <c r="F72" i="19"/>
  <c r="F71" i="19" s="1"/>
  <c r="H39" i="19"/>
  <c r="I39" i="19"/>
  <c r="G59" i="19"/>
  <c r="F59" i="19"/>
  <c r="G60" i="19"/>
  <c r="F60" i="19"/>
  <c r="G62" i="19"/>
  <c r="F62" i="19"/>
  <c r="G49" i="19"/>
  <c r="G45" i="19" s="1"/>
  <c r="F49" i="19"/>
  <c r="F45" i="19" s="1"/>
  <c r="G33" i="19"/>
  <c r="F33" i="19"/>
  <c r="G27" i="19"/>
  <c r="F27" i="19"/>
  <c r="F58" i="19" l="1"/>
  <c r="G58" i="19"/>
  <c r="H162" i="19" l="1"/>
  <c r="I162" i="19"/>
  <c r="G30" i="19" l="1"/>
  <c r="G189" i="19" l="1"/>
  <c r="F189" i="19"/>
  <c r="G101" i="19" l="1"/>
  <c r="F101" i="19"/>
  <c r="G81" i="19"/>
  <c r="F81" i="19"/>
  <c r="G83" i="19"/>
  <c r="F83" i="19"/>
  <c r="G82" i="19"/>
  <c r="F82" i="19"/>
  <c r="G77" i="19" l="1"/>
  <c r="F77" i="19"/>
  <c r="G163" i="19"/>
  <c r="F163" i="19"/>
  <c r="H64" i="19" l="1"/>
  <c r="H63" i="19" s="1"/>
  <c r="I64" i="19"/>
  <c r="I63" i="19" s="1"/>
  <c r="G153" i="19" l="1"/>
  <c r="F153" i="19"/>
  <c r="G20" i="19" l="1"/>
  <c r="F20" i="19"/>
  <c r="F18" i="19" l="1"/>
  <c r="F16" i="19" s="1"/>
  <c r="G18" i="19"/>
  <c r="G16" i="19" s="1"/>
  <c r="F182" i="19"/>
  <c r="G182" i="19"/>
  <c r="G40" i="19" l="1"/>
  <c r="G39" i="19" s="1"/>
  <c r="F40" i="19"/>
  <c r="F39" i="19" s="1"/>
  <c r="H174" i="19" l="1"/>
  <c r="I174" i="19"/>
  <c r="F174" i="19"/>
  <c r="G177" i="19"/>
  <c r="G174" i="19" s="1"/>
  <c r="G167" i="19"/>
  <c r="F167" i="19"/>
  <c r="G162" i="19"/>
  <c r="F162" i="19"/>
  <c r="G148" i="19"/>
  <c r="G146" i="19"/>
  <c r="G145" i="19"/>
  <c r="G144" i="19"/>
  <c r="G143" i="19"/>
  <c r="G142" i="19"/>
  <c r="G141" i="19"/>
  <c r="G139" i="19"/>
  <c r="G138" i="19"/>
  <c r="F148" i="19"/>
  <c r="F146" i="19"/>
  <c r="F145" i="19"/>
  <c r="F144" i="19"/>
  <c r="F143" i="19"/>
  <c r="F142" i="19"/>
  <c r="F141" i="19"/>
  <c r="F139" i="19"/>
  <c r="F138" i="19"/>
  <c r="G100" i="19"/>
  <c r="G63" i="19" s="1"/>
  <c r="F100" i="19"/>
  <c r="F63" i="19" s="1"/>
  <c r="G85" i="19"/>
  <c r="G84" i="19"/>
  <c r="F85" i="19"/>
  <c r="F84" i="19"/>
  <c r="I74" i="19"/>
  <c r="H74" i="19"/>
  <c r="F137" i="19" l="1"/>
  <c r="G137" i="19"/>
  <c r="I133" i="19"/>
  <c r="H133" i="19"/>
  <c r="F75" i="19"/>
  <c r="G75" i="19"/>
  <c r="H38" i="19"/>
  <c r="I38" i="19"/>
  <c r="G181" i="19"/>
  <c r="F133" i="19" l="1"/>
  <c r="G133" i="19"/>
  <c r="F74" i="19"/>
  <c r="G74" i="19"/>
  <c r="F38" i="19"/>
  <c r="G38" i="19"/>
  <c r="F181" i="19" l="1"/>
  <c r="G15" i="19" l="1"/>
  <c r="G194" i="19" s="1"/>
  <c r="I15" i="19" l="1"/>
  <c r="H15" i="19"/>
  <c r="H194" i="19" s="1"/>
  <c r="I194" i="19" l="1"/>
  <c r="F15" i="19"/>
  <c r="F194" i="19" s="1"/>
</calcChain>
</file>

<file path=xl/sharedStrings.xml><?xml version="1.0" encoding="utf-8"?>
<sst xmlns="http://schemas.openxmlformats.org/spreadsheetml/2006/main" count="411" uniqueCount="320">
  <si>
    <t>ВСЬОГО</t>
  </si>
  <si>
    <t>Код Функціональної класифікації видатків та кредитування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</si>
  <si>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</si>
  <si>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</si>
  <si>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</si>
  <si>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</si>
  <si>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(код бюджету)</t>
  </si>
  <si>
    <t>0200000</t>
  </si>
  <si>
    <t>0210000</t>
  </si>
  <si>
    <t>Виконавчий комітет Чорноморської  міської ради  Одеського району Одеської області</t>
  </si>
  <si>
    <t>Капітальні видатки разом, в т.ч.:</t>
  </si>
  <si>
    <t>з них за рахунок:</t>
  </si>
  <si>
    <r>
      <t xml:space="preserve">залишку коштів бюджету розвитку на початок року
</t>
    </r>
    <r>
      <rPr>
        <b/>
        <sz val="12"/>
        <rFont val="Times New Roman"/>
        <family val="1"/>
        <charset val="204"/>
      </rPr>
      <t>208100</t>
    </r>
  </si>
  <si>
    <t>0610</t>
  </si>
  <si>
    <t>Експлуатація та технічне обслуговування житлового фонду</t>
  </si>
  <si>
    <t>6011</t>
  </si>
  <si>
    <t>Найменування робіт</t>
  </si>
  <si>
    <t>6.1</t>
  </si>
  <si>
    <t>6.2</t>
  </si>
  <si>
    <t>6.3</t>
  </si>
  <si>
    <t>Начальник фінансового управління                                                                                          Ольга ЯКОВЕНКО</t>
  </si>
  <si>
    <t xml:space="preserve">Розподіл коштів бюджету розвитку у складі бюджету Чорноморської міської територіальної громади  на 2024 рік </t>
  </si>
  <si>
    <t>0218240</t>
  </si>
  <si>
    <t>8240</t>
  </si>
  <si>
    <t>0380</t>
  </si>
  <si>
    <t>Заходи та роботи з територіальної оборони</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</si>
  <si>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4"/>
        <rFont val="Times New Roman"/>
        <family val="1"/>
        <charset val="204"/>
      </rPr>
      <t>Капітальні видатки</t>
    </r>
  </si>
  <si>
    <t>3700000</t>
  </si>
  <si>
    <t/>
  </si>
  <si>
    <t>Фiнансове управлiння Чорноморської мiської ради Одеського району Одеської областi</t>
  </si>
  <si>
    <t>3710000</t>
  </si>
  <si>
    <t>3719800</t>
  </si>
  <si>
    <t>9800</t>
  </si>
  <si>
    <t>0180</t>
  </si>
  <si>
    <t>Субвенція з місцевого бюджету державному бюджету на виконання програм соціально-економічного розвитку регіонів</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</si>
  <si>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</si>
  <si>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</si>
  <si>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</si>
  <si>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0212010</t>
  </si>
  <si>
    <t>2010</t>
  </si>
  <si>
    <t>Багатопрофільна стаціонарна медична допомога населенню</t>
  </si>
  <si>
    <t>0731</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</si>
  <si>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</si>
  <si>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Обсяг видатків бюджету розвитку на 2024 рік, грн</t>
  </si>
  <si>
    <t>0610000</t>
  </si>
  <si>
    <t>0600000</t>
  </si>
  <si>
    <t>Управління освіти Чорноморської  міської ради  Одеського району Одеської області</t>
  </si>
  <si>
    <t>0611010</t>
  </si>
  <si>
    <t>1010</t>
  </si>
  <si>
    <t>Надання дошкільної освіти</t>
  </si>
  <si>
    <t>0910</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</si>
  <si>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</si>
  <si>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</si>
  <si>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</si>
  <si>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0611021</t>
  </si>
  <si>
    <t>1021</t>
  </si>
  <si>
    <t>0921</t>
  </si>
  <si>
    <t>Надання загальної середньої освіти закладами загальної середньої освіти за рахунок коштів місцевого бюджету</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</si>
  <si>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</si>
  <si>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</si>
  <si>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</si>
  <si>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0618110</t>
  </si>
  <si>
    <t>8110</t>
  </si>
  <si>
    <t>Заходи із запобігання та ліквідації надзвичайних ситуацій та наслідків стихійного лиха</t>
  </si>
  <si>
    <t>0320</t>
  </si>
  <si>
    <t>1200000</t>
  </si>
  <si>
    <t>1210000</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</si>
  <si>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</si>
  <si>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</si>
  <si>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</si>
  <si>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</si>
  <si>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</si>
  <si>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4"/>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</si>
  <si>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4"/>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</si>
  <si>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</si>
  <si>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</si>
  <si>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</si>
  <si>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</si>
  <si>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</si>
  <si>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вул.1 Травня, 2 (розробка пректно-кошторисної документації, експертиза)</t>
    </r>
  </si>
  <si>
    <t>1216015</t>
  </si>
  <si>
    <t>6015</t>
  </si>
  <si>
    <t>Забезпечення надійної та безперебійної експлуатації ліфтів</t>
  </si>
  <si>
    <t>0620</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</si>
  <si>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</si>
  <si>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1216030</t>
  </si>
  <si>
    <t>6030</t>
  </si>
  <si>
    <t>Реконструкція скверу за адресою: Одеська область, м.Чорноморськ, проспект Миру, 14. Коригування</t>
  </si>
  <si>
    <t>Організація благоустрою населених пунктів</t>
  </si>
  <si>
    <t>Капітальні видатки</t>
  </si>
  <si>
    <t>1500000</t>
  </si>
  <si>
    <t>1510000</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</si>
  <si>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</si>
  <si>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</si>
  <si>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</si>
  <si>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1516013</t>
  </si>
  <si>
    <t>6013</t>
  </si>
  <si>
    <t>Забезпечення діяльності водопровідно-каналізаційного господарства</t>
  </si>
  <si>
    <t>Придбання затворів (засувок) з демонтажними вставками для заміни на водогонах</t>
  </si>
  <si>
    <t>1516015</t>
  </si>
  <si>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</si>
  <si>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вул.Лазурна, 7 (1)</t>
    </r>
  </si>
  <si>
    <r>
      <t>Капітальний ремонт (заміна) ліфтів за адресою: м. Чорноморськ,</t>
    </r>
    <r>
      <rPr>
        <sz val="14"/>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</si>
  <si>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</si>
  <si>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</si>
  <si>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</si>
  <si>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</si>
  <si>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</si>
  <si>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вул.Парусна, 10 (2)</t>
    </r>
  </si>
  <si>
    <r>
      <t>Капітальний ремонт (заміна) ліфтів за адресою: м. Чорноморськ,</t>
    </r>
    <r>
      <rPr>
        <sz val="14"/>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</si>
  <si>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вул.1 Травня, 5 (1)</t>
    </r>
  </si>
  <si>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</si>
  <si>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</si>
  <si>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</si>
  <si>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7370</t>
  </si>
  <si>
    <t>0490</t>
  </si>
  <si>
    <t>Реалізація інших заходів щодо соціально-економічного розвитку територій</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</si>
  <si>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</si>
  <si>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1517640</t>
  </si>
  <si>
    <t>7640</t>
  </si>
  <si>
    <t>0470</t>
  </si>
  <si>
    <t>Заходи з енергозбереження</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</si>
  <si>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</si>
  <si>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</si>
  <si>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</si>
  <si>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</si>
  <si>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</si>
  <si>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7</t>
    </r>
  </si>
  <si>
    <t>1518110</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</si>
  <si>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</si>
  <si>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</si>
  <si>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</si>
  <si>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</si>
  <si>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</si>
  <si>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</si>
  <si>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0217350</t>
  </si>
  <si>
    <t>7350</t>
  </si>
  <si>
    <t>0443</t>
  </si>
  <si>
    <t>Розроблення схем планування та забудови територій (містобудівної документації)</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</si>
  <si>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</si>
  <si>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</si>
  <si>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</si>
  <si>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</si>
  <si>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</si>
  <si>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</si>
  <si>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Міська цільова соціальна програма розвитку цивільного захисту Чорноморської міської територіальної громади на 2021-2025 роки</t>
  </si>
  <si>
    <t>0160</t>
  </si>
  <si>
    <t>0111</t>
  </si>
  <si>
    <t>0212111</t>
  </si>
  <si>
    <t>2111</t>
  </si>
  <si>
    <t>0726</t>
  </si>
  <si>
    <t xml:space="preserve"> Первинна медична допомога населенню, що надається центрами первинної медичної (медико-санітарної) допомоги</t>
  </si>
  <si>
    <t>3719770</t>
  </si>
  <si>
    <t>9770</t>
  </si>
  <si>
    <t>Інші субвенції з місцевого бюджету</t>
  </si>
  <si>
    <t>0218210</t>
  </si>
  <si>
    <t>8210</t>
  </si>
  <si>
    <t>Муніципальні формування з охорони громадського порядку</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</si>
  <si>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</si>
  <si>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</si>
  <si>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</si>
  <si>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</si>
  <si>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 xml:space="preserve">                                                                           до  рішення Чорноморської міської ради </t>
  </si>
  <si>
    <t xml:space="preserve">                                                                          "Додаток 5</t>
  </si>
  <si>
    <t xml:space="preserve">                                                                           до рішення Чорноморської міської ради </t>
  </si>
  <si>
    <t xml:space="preserve">                                                                           від  22.12.2023  № 522 - VIII"</t>
  </si>
  <si>
    <t xml:space="preserve">                                                                           Додаток 5</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</si>
  <si>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</si>
  <si>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0800000</t>
  </si>
  <si>
    <t>0810000</t>
  </si>
  <si>
    <t>Управління соціальної політики Чорноморської  міської ради  Одеського району Одеської області</t>
  </si>
  <si>
    <t>0813221</t>
  </si>
  <si>
    <t>0813223</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</si>
  <si>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</si>
  <si>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</si>
  <si>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3221</t>
  </si>
  <si>
    <t>3223</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</si>
  <si>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</si>
  <si>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</si>
  <si>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</si>
  <si>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</si>
  <si>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</si>
  <si>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</si>
  <si>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</si>
  <si>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фасаду житлового будинку за адресою: Одеська область, Одеський район, м.Чорноморськ, вул.Паркова, 22-А (ОСББ "Паркова - 22-А")</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</si>
  <si>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</si>
  <si>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r>
      <t>Виготовлення проектно-кошторисної документації по об'єкту "К</t>
    </r>
    <r>
      <rPr>
        <sz val="14"/>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</si>
  <si>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</si>
  <si>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Капітальний ремонт покрівлі житлового багатоквартирного будинку № 20 по вул.Парусна, м.Чорноморськ</t>
  </si>
  <si>
    <t>Збільшення електропотужностей для 13-го мікрорайону міста Чорноморськ, Одеської області</t>
  </si>
  <si>
    <t>7520</t>
  </si>
  <si>
    <t>Реалізація Національної програми інформатизації</t>
  </si>
  <si>
    <t>0460</t>
  </si>
  <si>
    <t>0217520</t>
  </si>
  <si>
    <t>0218230</t>
  </si>
  <si>
    <t>8230</t>
  </si>
  <si>
    <t>Інші заходи громадського порядку та безпеки</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</si>
  <si>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</si>
  <si>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1517310</t>
  </si>
  <si>
    <t>7310</t>
  </si>
  <si>
    <t>Будівництво об'єктів житлово-комунального господарства</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</si>
  <si>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</si>
  <si>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Придбання пристроїв резервного живлення для світлофорних об'єктів</t>
  </si>
  <si>
    <r>
      <t xml:space="preserve">Реконструкція водопровідної мережі по </t>
    </r>
    <r>
      <rPr>
        <sz val="14"/>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</si>
  <si>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4"/>
        <color indexed="8"/>
        <rFont val="Times New Roman"/>
        <family val="1"/>
        <charset val="204"/>
      </rPr>
      <t>м.Чорноморськ, вул.Паркова, 46-50</t>
    </r>
  </si>
  <si>
    <t>1216017</t>
  </si>
  <si>
    <t>6017</t>
  </si>
  <si>
    <t>Інша діяльність, пов`язана з експлуатацією об`єктів житлово-комунального господарства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</si>
  <si>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</si>
  <si>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4"/>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</si>
  <si>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</si>
  <si>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</si>
  <si>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</si>
  <si>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ігрового та спортивного обладнання для ігрових майданчиків по Олександрівському закладу загальної середньої освіти Чорноморської міської ради Одеського району Одеської області за адресою: Україна, Одеська область, сел.Олександрівка, вул.Центральна, 85</t>
  </si>
  <si>
    <t>0611141</t>
  </si>
  <si>
    <t>1141</t>
  </si>
  <si>
    <t>Забезпечення діяльності інших закладів у сфері освіти</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</si>
  <si>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</si>
  <si>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</si>
  <si>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</si>
  <si>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</si>
  <si>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</si>
  <si>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</si>
  <si>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0617520</t>
  </si>
  <si>
    <t>Відділ культури Чорноморської  міської ради  Одеського району Одеської області</t>
  </si>
  <si>
    <t>1014040</t>
  </si>
  <si>
    <t>4040</t>
  </si>
  <si>
    <t>Забезпечення діяльності музеїв і виставок</t>
  </si>
  <si>
    <t>0824</t>
  </si>
  <si>
    <t>Капітальний ремонт, заміна каналізаційних випусків багатоквартирного будинку за адресою: м.Чорноморськ, вул.Олександрійська, 24</t>
  </si>
  <si>
    <t>Капітальний ремонт внутрішньобудинкових мереж багатоквартирного будинку за адресою: м.Чорноморськ, вул.Паркова, 36</t>
  </si>
  <si>
    <t>Капітальний ремонт ганку 1-го під'їзду в житловому багатоквартирному будинку ОСББ "НОМЕР СІМ" за адресою: м.Чорноморськ, вул.Лазурна, 2</t>
  </si>
  <si>
    <t>Капітальний ремонт мереж водопостачання та водовідведення в житловому багатоквартирному будинку ЖБК "Лазурна 1" за адресою: м.Чорноморськ, вул.Лазурна, 1</t>
  </si>
  <si>
    <t>Капітальний ремонт багатоквартирного житлового будинку, оздоблення пандусів ОСББ "Паркова 22-А", за адресою: м.Чорноморськ, вул.Паркова 22-А</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</si>
  <si>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</si>
  <si>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</si>
  <si>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</si>
  <si>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Встановлення системи блискавкозахисту на будівлі станції знезараження води діоксидом хлору КП "Чорноморськводоканал", розташованої за адресою: вул.Перемоги, 35-А, м.Чорноморськ, Одеського району, Одеської області</t>
  </si>
  <si>
    <t>1217520</t>
  </si>
  <si>
    <t>1217670</t>
  </si>
  <si>
    <t>7670</t>
  </si>
  <si>
    <t>Внески до статутного капіталу суб'єктів господарювання</t>
  </si>
  <si>
    <t>Придбання обладнання і предметів довгострокового користування / генератора</t>
  </si>
  <si>
    <t>1516017</t>
  </si>
  <si>
    <t>Інша діяльність, пов'язана з експлуатацією об'єктів житлово-комунального господарства</t>
  </si>
  <si>
    <r>
      <t xml:space="preserve">коштів, що передаються із загального фонду до бюджету розвитку (спеціального фонду)
</t>
    </r>
    <r>
      <rPr>
        <b/>
        <sz val="12"/>
        <rFont val="Times New Roman"/>
        <family val="1"/>
        <charset val="204"/>
      </rPr>
      <t>208400
УКБ - субвенції ЗФ</t>
    </r>
  </si>
  <si>
    <t>Олександрівська селищна адміністрація Чорноморської міської ради Одеського району Одеської області - придбання автомобіля</t>
  </si>
  <si>
    <t>Розроблення детального плану частини території 13-го мікрорайону м. Чорноморська Одеського району Одеської області загальною площею 1,0 га для будівництва багатоповерхового житлового будинку</t>
  </si>
  <si>
    <t>Модернізація та енергоефективність бювета, що розташований за адресою: Одеська область, Одеський район, м.Чорноморськ, просп.Миру, 15-Ж (проектні роботи)</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</si>
  <si>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</si>
  <si>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м.Чорноморськ, вул.Перемоги, 35-а</t>
  </si>
  <si>
    <t>Реконструкція водопровідної мережі по вул.Єдності в смт.Олександрівка, м.Чорноморськ, Одеського району, Одеської області</t>
  </si>
  <si>
    <t>Реконструкція водопровідної мережі по вул.Набережній в смт.Олександрівка, м.Чорноморськ, Одеського району, Одеської області</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</si>
  <si>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 В.Шума, 4</t>
  </si>
  <si>
    <t>Капітальні видатки - придбання основного капіталу</t>
  </si>
  <si>
    <t>Придбання дровоколу гідравлічного для  КП "Зеленгосп"</t>
  </si>
  <si>
    <t>Придбання вантажопасажирського  бортового автомобіля для  КП "МУЖКГ"</t>
  </si>
  <si>
    <t>Заходи із запобігання та ліквідації наслідків надзвичайної ситуації на об'єктах транспортної та дорожньої інфраструктури за рахунок коштів резервного фонду місцевого бюджету</t>
  </si>
  <si>
    <t>1218733</t>
  </si>
  <si>
    <t>8733</t>
  </si>
  <si>
    <r>
      <t>Реконструкція напірного каналізаційного колектору за адресою: Одеська область, Одеський район, м.Чорноморськ,</t>
    </r>
    <r>
      <rPr>
        <sz val="14"/>
        <color indexed="8"/>
        <rFont val="Times New Roman"/>
        <family val="1"/>
        <charset val="204"/>
      </rPr>
      <t xml:space="preserve"> від вул.Космонавтів, 59Г в с.Малодолинське до вул.Світла, 51 в смт.Олександрівка</t>
    </r>
  </si>
  <si>
    <t>Капітальний ремонт світлофорного об'єкту на перехресті вул.Перемоги - пост ДАІ за адресою: автомобільні дороги М27 Одеса - Чорноморськ, Н-33 Одеса - Білгород-Дністровський - Монаші - /М-15/ Під'їзд до порту Чорноморськ, та Т-16-47 /Н-33/ - Кароліно-Бугаз-Грибівка-Санжійка - /М-27/</t>
  </si>
  <si>
    <t>0212100</t>
  </si>
  <si>
    <t>2100</t>
  </si>
  <si>
    <t>0722</t>
  </si>
  <si>
    <t>Стоматологічна допомога населенню</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</si>
  <si>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</si>
  <si>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7373</t>
  </si>
  <si>
    <t>3121</t>
  </si>
  <si>
    <t>0813121</t>
  </si>
  <si>
    <t>1040</t>
  </si>
  <si>
    <t>Утримання та забезпечення діяльності центрів соціальних служб</t>
  </si>
  <si>
    <r>
      <t xml:space="preserve">доходів
</t>
    </r>
    <r>
      <rPr>
        <b/>
        <sz val="12"/>
        <rFont val="Times New Roman"/>
        <family val="1"/>
        <charset val="204"/>
      </rPr>
      <t>33010100,
субвенції СФ</t>
    </r>
  </si>
  <si>
    <t>Служба у справах дітей Чорноморської  міської ради  Одеського району Одеської області</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</si>
  <si>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</si>
  <si>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</si>
  <si>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</si>
  <si>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Капітальні видатки - Придбання житла для дитячого будинку сімейного типу, що тимчасово переміщений (евакуйований) в межах України (за рахунок субвенції з державного бюджету)</t>
  </si>
  <si>
    <t>Придбання насосних станцій підвищення тиску на ВНС м.Чорноморська Одеського району Одеської області</t>
  </si>
  <si>
    <t>Встановлення системи блискавкозахисту будівель і споруд резервуару чистої води об'ємом 10000 м3, розташованих за адресою: Санжійська дорога, 3-Б, с.Молодіжне, Одеського району, Одеської області</t>
  </si>
  <si>
    <t>Придбання зварювального терморезисторного апарату для КП "Чорноморськводоканал"</t>
  </si>
  <si>
    <t>Встановлення ліфтового обладнання / Монтажні та пусконалагоджувальні роботи по ліфту в/п 320-500 кг на 19 зупинок в будівлі за адресою: Одеська обл, м.Чорноморськ, вул.Парусна, 18</t>
  </si>
  <si>
    <t>3100000</t>
  </si>
  <si>
    <t>3110000</t>
  </si>
  <si>
    <t>Управління комунальної власності та земельних відносин Чорноморської мiської ради Одеського району Одеської областi</t>
  </si>
  <si>
    <t>3117693</t>
  </si>
  <si>
    <t>7693</t>
  </si>
  <si>
    <t>Інші заходи, пов`язані з економічною діяльністю</t>
  </si>
  <si>
    <t>1000000</t>
  </si>
  <si>
    <t>1010000</t>
  </si>
  <si>
    <t>0900000</t>
  </si>
  <si>
    <t>0910000</t>
  </si>
  <si>
    <t>Капітальні видатки - Придбання автомобіля для мобільної бригади соціально-психологічної допомоги особам, які постраждали від домашнього насильства та/або насильства за ознакою статі КУ "Центр соціальних служб Чорноморської міської ради Одеського району Одеської області"</t>
  </si>
  <si>
    <t>Міська цільова програма фінансової підтримки Іллічівського міського суду Одеської області на 2024 рік</t>
  </si>
  <si>
    <t>Придбання занурювальних одноступінчатих насосів для заміни на КНС по вул.Пляжна, 37 в м.Чорноморську Одеського району Одеської області</t>
  </si>
  <si>
    <t>Придбання газонокосарки для відновлення технічних потужностей на виконання робіт з покосу трави для КП "Зеленгосп"</t>
  </si>
  <si>
    <t>Придбання моторолеру трьохколісного для вивозу сміття та скошеної трави з території парків міста для КП "Зеленгосп"</t>
  </si>
  <si>
    <t>Придбання екскаватора для КП "Чорноморськводоканал"</t>
  </si>
  <si>
    <t>Придбання двохтактної трамбувальної машини для ущільнення грунту для КП "Чорноморськводоканал"</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</si>
  <si>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</si>
  <si>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1517373</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</si>
  <si>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</si>
  <si>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 xml:space="preserve">                                                                           від             11.2024  №            - VIII</t>
  </si>
  <si>
    <t>0218110</t>
  </si>
  <si>
    <t>Олександрівська селищна адміністрація Чорноморської міської ради Одеського району Одеської області - придбання зарядної станції</t>
  </si>
  <si>
    <t>Придбання автомобіля</t>
  </si>
  <si>
    <t>Придбання шкільного автобуса</t>
  </si>
  <si>
    <t>Придбання вакуумного прибиральника (пилососа) для КП "МУЖКГ"</t>
  </si>
  <si>
    <t>Придбання вантажного електричного трициклу для КП "МУЖКГ"</t>
  </si>
  <si>
    <t>Придбання трактора для КП "МУЖКГ"</t>
  </si>
  <si>
    <t>Придбання вакуумного садового пилососу для КП "Зеленгосп"</t>
  </si>
  <si>
    <t>Придбання автоцистерни для транспортування та роздачі питної води для КП "Чорноморськводоканал"</t>
  </si>
  <si>
    <t>Придбання мережевих насосів для КП "Чорноморськтеплоенерго"</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</si>
  <si>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</si>
  <si>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цільова програма підтримки Департаменту кіберполіції  Національної  поліції  України на 2024 рік</t>
  </si>
  <si>
    <t>Модернізація та енергоефективність бювета, що розташований за адресою: Одеська область, Одеський район, м.Чорноморськ, вул.Парусна, 4-б (проектні роботи)</t>
  </si>
  <si>
    <t>Будівництво станції знезараження питної води діоксиду хлору за адресою: Одеська область, Одеський район, с.Великий Дальник, вул.Маяцька, 21 (проектні роботи)</t>
  </si>
  <si>
    <t>Придбання тенту для КП "МУЖКГ"</t>
  </si>
  <si>
    <t>Капітальний ремонт, заміна каналізаційних відпусків багатоквартирного будинку за адресою: м.Чорноморськ, вул.Олександрійська, 20</t>
  </si>
  <si>
    <t>Капітальний ремонт, заміна каналізаційних відпусків багатоквартирного будинку за адресою: м.Чорноморськ, вул.Олександрійська, 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</si>
</sst>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_-* #,##0.00_р_._-;\-* #,##0.00_р_._-;_-* &quot;-&quot;??_р_._-;_-@_-"/>
  </numFmts>
  <fonts count="31">
    <font>
      <sz val="10"/>
      <name val="Arial Cyr"/>
      <charset val="204"/>
    </font>
    <font>
      <sz val="11"/>
      <color theme="1"/>
      <name val="Calibri"/>
      <family val="2"/>
      <charset val="204"/>
      <scheme val="minor"/>
    </font>
    <font>
      <b/>
      <sz val="14"/>
      <name val="Times New Roman"/>
      <family val="1"/>
      <charset val="204"/>
    </font>
    <font>
      <sz val="14"/>
      <name val="Times New Roman"/>
      <family val="1"/>
      <charset val="204"/>
    </font>
    <font>
      <sz val="16"/>
      <name val="Times New Roman"/>
      <family val="1"/>
      <charset val="204"/>
    </font>
    <font>
      <sz val="11"/>
      <color indexed="8"/>
      <name val="Calibri"/>
      <family val="2"/>
      <charset val="204"/>
    </font>
    <font>
      <b/>
      <sz val="16"/>
      <name val="Times New Roman"/>
      <family val="1"/>
      <charset val="204"/>
    </font>
    <font>
      <sz val="12"/>
      <name val="Times New Roman"/>
      <family val="1"/>
      <charset val="204"/>
    </font>
    <font>
      <sz val="8"/>
      <name val="Arial Cyr"/>
      <charset val="204"/>
    </font>
    <font>
      <sz val="11"/>
      <color theme="1"/>
      <name val="Calibri"/>
      <family val="2"/>
      <charset val="204"/>
      <scheme val="minor"/>
    </font>
    <font>
      <sz val="14"/>
      <name val="Times New Roman"/>
      <family val="1"/>
    </font>
    <font>
      <i/>
      <sz val="14"/>
      <name val="Times New Roman"/>
      <family val="1"/>
      <charset val="204"/>
    </font>
    <font>
      <sz val="12"/>
      <name val="Arial Cyr"/>
      <charset val="204"/>
    </font>
    <font>
      <b/>
      <vertAlign val="superscript"/>
      <sz val="8"/>
      <name val="Times New Roman"/>
      <family val="1"/>
      <charset val="204"/>
    </font>
    <font>
      <u/>
      <sz val="14"/>
      <name val="Times New Roman"/>
      <family val="1"/>
      <charset val="204"/>
    </font>
    <font>
      <sz val="14"/>
      <color theme="1"/>
      <name val="Times New Roman"/>
      <family val="1"/>
      <charset val="204"/>
    </font>
    <font>
      <b/>
      <sz val="12"/>
      <name val="Times New Roman"/>
      <family val="1"/>
      <charset val="204"/>
    </font>
    <font>
      <i/>
      <sz val="14"/>
      <color theme="1"/>
      <name val="Times New Roman"/>
      <family val="1"/>
      <charset val="204"/>
    </font>
    <font>
      <sz val="10"/>
      <color rgb="FF000000"/>
      <name val="Arimo"/>
    </font>
    <font>
      <sz val="10"/>
      <name val="Arial"/>
      <family val="2"/>
      <charset val="204"/>
    </font>
    <font>
      <sz val="14"/>
      <color indexed="8"/>
      <name val="Times New Roman"/>
      <family val="1"/>
      <charset val="204"/>
    </font>
    <font>
      <sz val="10"/>
      <color indexed="8"/>
      <name val="Arial"/>
      <family val="2"/>
      <charset val="204"/>
    </font>
    <font>
      <i/>
      <sz val="14"/>
      <color rgb="FFFF0000"/>
      <name val="Times New Roman"/>
      <family val="1"/>
      <charset val="204"/>
    </font>
    <font>
      <sz val="10"/>
      <name val="Arial Cyr"/>
      <charset val="204"/>
    </font>
    <font>
      <sz val="10"/>
      <color indexed="8"/>
      <name val="Arial"/>
      <family val="2"/>
      <charset val="204"/>
    </font>
    <font>
      <sz val="10"/>
      <name val="Times New Roman"/>
      <family val="1"/>
      <charset val="204"/>
    </font>
    <font>
      <sz val="10"/>
      <color theme="1"/>
      <name val="Calibri"/>
      <family val="2"/>
      <charset val="204"/>
      <scheme val="minor"/>
    </font>
    <font>
      <sz val="11"/>
      <color rgb="FF9C5700"/>
      <name val="Calibri"/>
      <family val="2"/>
      <charset val="204"/>
      <scheme val="minor"/>
    </font>
    <font>
      <sz val="12"/>
      <color theme="1"/>
      <name val="Times New Roman"/>
      <family val="1"/>
      <charset val="204"/>
    </font>
    <font>
      <b/>
      <sz val="14"/>
      <color theme="1"/>
      <name val="Times New Roman"/>
      <family val="1"/>
      <charset val="204"/>
    </font>
    <font>
      <b/>
      <i/>
      <sz val="14"/>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EB9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0" fontId="5" fillId="0" borderId="0"/>
    <xf numFmtId="0" fontId="5" fillId="0" borderId="0"/>
    <xf numFmtId="0" fontId="5" fillId="0" borderId="0"/>
    <xf numFmtId="0" fontId="5" fillId="0" borderId="0"/>
    <xf numFmtId="0" fontId="9" fillId="0" borderId="0"/>
    <xf numFmtId="0" fontId="5" fillId="0" borderId="0"/>
    <xf numFmtId="0" fontId="18" fillId="0" borderId="0"/>
    <xf numFmtId="0" fontId="19" fillId="0" borderId="0"/>
    <xf numFmtId="0" fontId="5" fillId="0" borderId="0"/>
    <xf numFmtId="0" fontId="21" fillId="0" borderId="0"/>
    <xf numFmtId="0" fontId="24" fillId="0" borderId="0"/>
    <xf numFmtId="0" fontId="19" fillId="0" borderId="0"/>
    <xf numFmtId="164" fontId="19" fillId="0" borderId="0" applyFont="0" applyFill="0" applyBorder="0" applyAlignment="0" applyProtection="0"/>
    <xf numFmtId="164" fontId="19" fillId="0" borderId="0" applyFont="0" applyFill="0" applyBorder="0" applyAlignment="0" applyProtection="0"/>
    <xf numFmtId="0" fontId="27" fillId="4" borderId="0" applyNumberFormat="0" applyBorder="0" applyAlignment="0" applyProtection="0"/>
    <xf numFmtId="0" fontId="25" fillId="0" borderId="0"/>
    <xf numFmtId="0" fontId="26" fillId="0" borderId="0"/>
    <xf numFmtId="0" fontId="26" fillId="0" borderId="0"/>
    <xf numFmtId="0" fontId="1" fillId="0" borderId="0"/>
    <xf numFmtId="0" fontId="23" fillId="0" borderId="0"/>
    <xf numFmtId="0" fontId="5" fillId="0" borderId="0"/>
    <xf numFmtId="0" fontId="25" fillId="0" borderId="0"/>
    <xf numFmtId="0" fontId="25" fillId="0" borderId="0"/>
    <xf numFmtId="0" fontId="5" fillId="0" borderId="0"/>
    <xf numFmtId="0" fontId="23" fillId="0" borderId="0"/>
    <xf numFmtId="0" fontId="5" fillId="0" borderId="0"/>
    <xf numFmtId="0" fontId="1" fillId="0" borderId="0"/>
    <xf numFmtId="0" fontId="1" fillId="0" borderId="0"/>
    <xf numFmtId="0" fontId="1" fillId="0" borderId="0"/>
    <xf numFmtId="165" fontId="26" fillId="0" borderId="0" applyFont="0" applyFill="0" applyBorder="0" applyAlignment="0" applyProtection="0"/>
  </cellStyleXfs>
  <cellXfs count="108">
    <xf numFmtId="0" fontId="0" fillId="0" borderId="0" xfId="0"/>
    <xf numFmtId="4" fontId="3" fillId="2" borderId="0" xfId="0" applyNumberFormat="1" applyFont="1" applyFill="1"/>
    <xf numFmtId="0" fontId="2" fillId="2" borderId="1" xfId="0" applyFont="1" applyFill="1" applyBorder="1"/>
    <xf numFmtId="0" fontId="4" fillId="2" borderId="0" xfId="0" applyFont="1" applyFill="1"/>
    <xf numFmtId="49" fontId="3" fillId="2" borderId="0" xfId="0" applyNumberFormat="1"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4"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xf>
    <xf numFmtId="0" fontId="2" fillId="2" borderId="1" xfId="0" applyFont="1" applyFill="1" applyBorder="1" applyAlignment="1">
      <alignment horizontal="left" wrapText="1"/>
    </xf>
    <xf numFmtId="0" fontId="3" fillId="2" borderId="0" xfId="0" applyFont="1" applyFill="1" applyAlignment="1">
      <alignment horizontal="right" vertical="center" wrapText="1"/>
    </xf>
    <xf numFmtId="4" fontId="3" fillId="2" borderId="0" xfId="0" applyNumberFormat="1" applyFont="1" applyFill="1" applyAlignment="1">
      <alignment horizontal="center"/>
    </xf>
    <xf numFmtId="0" fontId="7" fillId="2" borderId="0" xfId="0" applyFont="1" applyFill="1"/>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0" fillId="2" borderId="0" xfId="0" applyFont="1" applyFill="1"/>
    <xf numFmtId="4" fontId="2" fillId="2" borderId="1" xfId="0" applyNumberFormat="1" applyFont="1" applyFill="1" applyBorder="1" applyAlignment="1">
      <alignment horizontal="center" vertical="center" wrapText="1"/>
    </xf>
    <xf numFmtId="0" fontId="13" fillId="0" borderId="0" xfId="0" applyFont="1"/>
    <xf numFmtId="0" fontId="11" fillId="2" borderId="0" xfId="0" applyFont="1" applyFill="1"/>
    <xf numFmtId="49" fontId="3"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5" fillId="2" borderId="1" xfId="0" quotePrefix="1" applyFont="1" applyFill="1" applyBorder="1" applyAlignment="1">
      <alignment vertical="center" wrapText="1"/>
    </xf>
    <xf numFmtId="4" fontId="3"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7" fillId="2" borderId="1" xfId="0" quotePrefix="1" applyFont="1" applyFill="1" applyBorder="1" applyAlignment="1">
      <alignment vertical="center" wrapText="1"/>
    </xf>
    <xf numFmtId="0" fontId="17"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wrapText="1"/>
    </xf>
    <xf numFmtId="0" fontId="3" fillId="3" borderId="0" xfId="0" applyFont="1" applyFill="1"/>
    <xf numFmtId="0" fontId="7" fillId="3" borderId="0" xfId="0" applyFont="1" applyFill="1" applyAlignment="1">
      <alignment horizontal="right"/>
    </xf>
    <xf numFmtId="49" fontId="3"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4" fontId="3" fillId="3" borderId="0" xfId="0" applyNumberFormat="1" applyFont="1" applyFill="1" applyAlignment="1">
      <alignment horizontal="center"/>
    </xf>
    <xf numFmtId="4" fontId="3" fillId="3" borderId="0" xfId="0" applyNumberFormat="1" applyFont="1" applyFill="1"/>
    <xf numFmtId="0" fontId="7" fillId="2" borderId="0" xfId="0" applyFont="1" applyFill="1" applyAlignment="1"/>
    <xf numFmtId="0" fontId="3" fillId="2" borderId="5"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0" fontId="11" fillId="2" borderId="5" xfId="0" quotePrefix="1" applyFont="1" applyFill="1" applyBorder="1" applyAlignment="1">
      <alignment horizontal="left" vertical="center" wrapText="1"/>
    </xf>
    <xf numFmtId="0" fontId="3" fillId="2" borderId="4" xfId="6" applyFont="1" applyFill="1" applyBorder="1" applyAlignment="1">
      <alignment horizontal="left" vertical="center" wrapText="1"/>
    </xf>
    <xf numFmtId="4" fontId="3" fillId="2" borderId="0" xfId="0" applyNumberFormat="1" applyFont="1" applyFill="1" applyAlignment="1">
      <alignment vertical="center"/>
    </xf>
    <xf numFmtId="0" fontId="3" fillId="2" borderId="0" xfId="0" applyFont="1" applyFill="1" applyAlignment="1">
      <alignment vertical="center"/>
    </xf>
    <xf numFmtId="0" fontId="3" fillId="2" borderId="1" xfId="6" applyFont="1" applyFill="1" applyBorder="1" applyAlignment="1">
      <alignment horizontal="center" vertical="center" wrapText="1"/>
    </xf>
    <xf numFmtId="0" fontId="3" fillId="2" borderId="1" xfId="6" applyFont="1" applyFill="1" applyBorder="1" applyAlignment="1">
      <alignment horizontal="left" vertical="center" wrapText="1"/>
    </xf>
    <xf numFmtId="0" fontId="15" fillId="2" borderId="4" xfId="0" quotePrefix="1" applyFont="1" applyFill="1" applyBorder="1" applyAlignment="1">
      <alignment vertical="center" wrapText="1"/>
    </xf>
    <xf numFmtId="0" fontId="3" fillId="0" borderId="1" xfId="0" quotePrefix="1" applyFont="1" applyFill="1" applyBorder="1" applyAlignment="1">
      <alignment vertical="center" wrapText="1"/>
    </xf>
    <xf numFmtId="0" fontId="3" fillId="2" borderId="1" xfId="0" quotePrefix="1" applyFont="1" applyFill="1" applyBorder="1" applyAlignment="1">
      <alignment vertical="center" wrapText="1"/>
    </xf>
    <xf numFmtId="4" fontId="1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5" fillId="0" borderId="1" xfId="0" applyFont="1" applyBorder="1" applyAlignment="1">
      <alignment vertical="center" wrapText="1"/>
    </xf>
    <xf numFmtId="4" fontId="11"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17" fillId="2" borderId="4" xfId="0" quotePrefix="1" applyFont="1" applyFill="1" applyBorder="1" applyAlignment="1">
      <alignment vertical="center" wrapText="1"/>
    </xf>
    <xf numFmtId="0" fontId="15" fillId="2" borderId="1" xfId="0" applyFont="1" applyFill="1" applyBorder="1" applyAlignment="1">
      <alignment vertical="center" wrapText="1"/>
    </xf>
    <xf numFmtId="3" fontId="3" fillId="2" borderId="0" xfId="0" applyNumberFormat="1" applyFont="1" applyFill="1"/>
    <xf numFmtId="0" fontId="3" fillId="2" borderId="5" xfId="6" applyFont="1" applyFill="1" applyBorder="1" applyAlignment="1">
      <alignment horizontal="left" vertical="center" wrapText="1"/>
    </xf>
    <xf numFmtId="49" fontId="15" fillId="2" borderId="1" xfId="0" quotePrefix="1" applyNumberFormat="1" applyFont="1" applyFill="1" applyBorder="1" applyAlignment="1">
      <alignment horizontal="center" vertical="center" wrapText="1"/>
    </xf>
    <xf numFmtId="0" fontId="15" fillId="2" borderId="1" xfId="10" quotePrefix="1" applyFont="1" applyFill="1" applyBorder="1" applyAlignment="1">
      <alignment vertical="center" wrapText="1"/>
    </xf>
    <xf numFmtId="0" fontId="15" fillId="2" borderId="5" xfId="10" quotePrefix="1" applyFont="1" applyFill="1" applyBorder="1" applyAlignment="1">
      <alignment vertical="center" wrapText="1"/>
    </xf>
    <xf numFmtId="0" fontId="11" fillId="2" borderId="0" xfId="0" applyFont="1" applyFill="1" applyAlignment="1">
      <alignment vertical="center"/>
    </xf>
    <xf numFmtId="49" fontId="17" fillId="2" borderId="1" xfId="0" quotePrefix="1" applyNumberFormat="1" applyFont="1" applyFill="1" applyBorder="1" applyAlignment="1">
      <alignment horizontal="center" vertical="center" wrapText="1"/>
    </xf>
    <xf numFmtId="0" fontId="11" fillId="2" borderId="1" xfId="0" quotePrefix="1" applyFont="1" applyFill="1" applyBorder="1" applyAlignment="1">
      <alignment horizontal="left" vertical="center" wrapText="1"/>
    </xf>
    <xf numFmtId="0" fontId="3" fillId="2" borderId="0" xfId="0" applyFont="1" applyFill="1" applyAlignment="1">
      <alignment horizontal="right" vertical="center"/>
    </xf>
    <xf numFmtId="0" fontId="22" fillId="2" borderId="0" xfId="0" applyFont="1" applyFill="1" applyAlignment="1">
      <alignment vertical="center"/>
    </xf>
    <xf numFmtId="0" fontId="15" fillId="2" borderId="1" xfId="11" quotePrefix="1" applyFont="1" applyFill="1" applyBorder="1" applyAlignment="1">
      <alignment vertical="center" wrapText="1"/>
    </xf>
    <xf numFmtId="0" fontId="11" fillId="2" borderId="1" xfId="10" applyFont="1" applyFill="1" applyBorder="1" applyAlignment="1">
      <alignment horizontal="left" vertical="center" wrapText="1"/>
    </xf>
    <xf numFmtId="0" fontId="7"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xf>
    <xf numFmtId="4" fontId="11" fillId="3" borderId="1" xfId="0" applyNumberFormat="1" applyFont="1" applyFill="1" applyBorder="1" applyAlignment="1">
      <alignment horizontal="center" vertical="center"/>
    </xf>
    <xf numFmtId="0" fontId="3" fillId="2" borderId="1" xfId="10" applyFont="1" applyFill="1" applyBorder="1" applyAlignment="1">
      <alignment horizontal="left" vertical="center" wrapText="1"/>
    </xf>
    <xf numFmtId="0" fontId="15" fillId="0" borderId="1" xfId="10" applyFont="1" applyBorder="1" applyAlignment="1">
      <alignment horizontal="left" vertical="center" wrapText="1"/>
    </xf>
    <xf numFmtId="0" fontId="20" fillId="2" borderId="1" xfId="10" quotePrefix="1" applyFont="1" applyFill="1" applyBorder="1" applyAlignment="1">
      <alignment vertical="center" wrapText="1"/>
    </xf>
    <xf numFmtId="0" fontId="15" fillId="0" borderId="5" xfId="10" applyFont="1" applyBorder="1" applyAlignment="1">
      <alignment horizontal="left" vertical="center" wrapText="1"/>
    </xf>
    <xf numFmtId="0" fontId="28" fillId="2" borderId="1" xfId="0" applyFont="1" applyFill="1" applyBorder="1" applyAlignment="1">
      <alignment horizontal="center" vertical="center" wrapText="1"/>
    </xf>
    <xf numFmtId="0" fontId="28" fillId="2" borderId="1" xfId="0" quotePrefix="1" applyFont="1" applyFill="1" applyBorder="1" applyAlignment="1">
      <alignment vertical="center" wrapText="1"/>
    </xf>
    <xf numFmtId="0" fontId="29" fillId="2" borderId="1" xfId="0" applyFont="1" applyFill="1" applyBorder="1" applyAlignment="1">
      <alignment horizontal="center" vertical="center" wrapText="1"/>
    </xf>
    <xf numFmtId="4" fontId="2" fillId="2" borderId="0" xfId="0" applyNumberFormat="1" applyFont="1" applyFill="1"/>
    <xf numFmtId="0" fontId="2" fillId="2" borderId="0" xfId="0" applyFont="1" applyFill="1"/>
    <xf numFmtId="0" fontId="30" fillId="2" borderId="0" xfId="0" applyFont="1" applyFill="1"/>
    <xf numFmtId="0" fontId="3" fillId="2" borderId="1" xfId="10" quotePrefix="1" applyFont="1" applyFill="1" applyBorder="1" applyAlignment="1">
      <alignment horizontal="left" vertical="center" wrapText="1"/>
    </xf>
    <xf numFmtId="0" fontId="15" fillId="2" borderId="5" xfId="0" quotePrefix="1" applyFont="1" applyFill="1" applyBorder="1" applyAlignment="1">
      <alignment vertical="center" wrapText="1"/>
    </xf>
    <xf numFmtId="0" fontId="2" fillId="2" borderId="4" xfId="6" applyFont="1" applyFill="1" applyBorder="1" applyAlignment="1">
      <alignment horizontal="center" wrapText="1"/>
    </xf>
    <xf numFmtId="0" fontId="2" fillId="2" borderId="5" xfId="6" applyFont="1" applyFill="1" applyBorder="1" applyAlignment="1">
      <alignment horizontal="center" wrapText="1"/>
    </xf>
    <xf numFmtId="0" fontId="2" fillId="2" borderId="4" xfId="6" applyFont="1" applyFill="1" applyBorder="1" applyAlignment="1">
      <alignment horizontal="center" vertical="center" wrapText="1"/>
    </xf>
    <xf numFmtId="0" fontId="2" fillId="2" borderId="5" xfId="6" applyFont="1" applyFill="1" applyBorder="1" applyAlignment="1">
      <alignment horizontal="center" vertical="center" wrapText="1"/>
    </xf>
    <xf numFmtId="0" fontId="14" fillId="2" borderId="0" xfId="0" applyFont="1" applyFill="1" applyAlignment="1">
      <alignment horizontal="center"/>
    </xf>
    <xf numFmtId="0" fontId="7" fillId="2" borderId="0" xfId="0" applyFont="1" applyFill="1" applyAlignment="1">
      <alignment horizontal="center" wrapText="1"/>
    </xf>
    <xf numFmtId="0" fontId="6"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12" fillId="0" borderId="2" xfId="0" applyFont="1" applyBorder="1"/>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5" fillId="0" borderId="4" xfId="10" applyFont="1" applyBorder="1" applyAlignment="1">
      <alignment horizontal="left" vertical="center" wrapText="1"/>
    </xf>
    <xf numFmtId="0" fontId="15" fillId="0" borderId="5" xfId="10" applyFont="1" applyBorder="1" applyAlignment="1">
      <alignment horizontal="left" vertical="center" wrapText="1"/>
    </xf>
    <xf numFmtId="0" fontId="29" fillId="0" borderId="4" xfId="10" applyFont="1" applyBorder="1" applyAlignment="1">
      <alignment horizontal="center" vertical="center" wrapText="1"/>
    </xf>
    <xf numFmtId="0" fontId="29" fillId="0" borderId="5" xfId="10" applyFont="1" applyBorder="1" applyAlignment="1">
      <alignment horizontal="center" vertical="center" wrapText="1"/>
    </xf>
    <xf numFmtId="4" fontId="15" fillId="2" borderId="4" xfId="0" quotePrefix="1" applyNumberFormat="1" applyFont="1" applyFill="1" applyBorder="1" applyAlignment="1">
      <alignment vertical="center" wrapText="1"/>
    </xf>
  </cellXfs>
  <cellStyles count="31">
    <cellStyle name="Excel Built-in Normal" xfId="9"/>
    <cellStyle name="Normal_Доходи" xfId="12"/>
    <cellStyle name="Денежный 2" xfId="13"/>
    <cellStyle name="Денежный 2 2" xfId="14"/>
    <cellStyle name="Звичайний" xfId="0" builtinId="0"/>
    <cellStyle name="Звичайний 2" xfId="11"/>
    <cellStyle name="Нейтральный 2" xfId="15"/>
    <cellStyle name="Обычный 10" xfId="7"/>
    <cellStyle name="Обычный 11 2" xfId="16"/>
    <cellStyle name="Обычный 17" xfId="17"/>
    <cellStyle name="Обычный 17 5 6" xfId="18"/>
    <cellStyle name="Обычный 2" xfId="1"/>
    <cellStyle name="Обычный 2 2" xfId="20"/>
    <cellStyle name="Обычный 2 3" xfId="21"/>
    <cellStyle name="Обычный 2 4" xfId="19"/>
    <cellStyle name="Обычный 3" xfId="2"/>
    <cellStyle name="Обычный 3 2" xfId="23"/>
    <cellStyle name="Обычный 3 3" xfId="24"/>
    <cellStyle name="Обычный 3 4" xfId="22"/>
    <cellStyle name="Обычный 4" xfId="3"/>
    <cellStyle name="Обычный 4 2" xfId="26"/>
    <cellStyle name="Обычный 4 3" xfId="25"/>
    <cellStyle name="Обычный 5" xfId="4"/>
    <cellStyle name="Обычный 6" xfId="5"/>
    <cellStyle name="Обычный 6 2" xfId="27"/>
    <cellStyle name="Обычный 7" xfId="8"/>
    <cellStyle name="Обычный 7 2" xfId="28"/>
    <cellStyle name="Обычный 8" xfId="29"/>
    <cellStyle name="Обычный 9" xfId="10"/>
    <cellStyle name="Обычный_дод 3" xfId="6"/>
    <cellStyle name="Финансовый 2" xfId="30"/>
  </cellStyles>
  <dxfs count="0"/>
  <tableStyles count="0" defaultTableStyle="TableStyleMedium9" defaultPivotStyle="PivotStyleLight16"/>
  <colors>
    <mruColors>
      <color rgb="FF060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4"/>
  <sheetViews>
    <sheetView tabSelected="1" view="pageBreakPreview" topLeftCell="A94" zoomScale="70" zoomScaleNormal="100" zoomScaleSheetLayoutView="70" workbookViewId="0">
      <selection activeCell="E101" sqref="E101"/>
    </sheetView>
  </sheetViews>
  <sheetFormatPr defaultColWidth="9.109375" defaultRowHeight="18"/>
  <cols>
    <col min="1" max="1" width="17.109375" style="12" customWidth="1"/>
    <col min="2" max="2" width="13.33203125" style="5" customWidth="1"/>
    <col min="3" max="3" width="15.33203125" style="5" customWidth="1"/>
    <col min="4" max="4" width="38.33203125" style="5" customWidth="1"/>
    <col min="5" max="5" width="67.33203125" style="6" customWidth="1"/>
    <col min="6" max="6" width="27.109375" style="5" customWidth="1"/>
    <col min="7" max="9" width="27.109375" style="34" hidden="1" customWidth="1"/>
    <col min="10" max="10" width="27.109375" style="5" customWidth="1"/>
    <col min="11" max="11" width="19" style="5" customWidth="1"/>
    <col min="12" max="12" width="15.33203125" style="5" bestFit="1" customWidth="1"/>
    <col min="13" max="16384" width="9.109375" style="5"/>
  </cols>
  <sheetData>
    <row r="1" spans="1:11">
      <c r="E1" s="42" t="s">
        <v>166</v>
      </c>
    </row>
    <row r="2" spans="1:11">
      <c r="E2" s="42" t="s">
        <v>162</v>
      </c>
    </row>
    <row r="3" spans="1:11">
      <c r="E3" s="42" t="s">
        <v>302</v>
      </c>
    </row>
    <row r="5" spans="1:11">
      <c r="E5" s="42" t="s">
        <v>163</v>
      </c>
      <c r="F5" s="42"/>
    </row>
    <row r="6" spans="1:11">
      <c r="E6" s="42" t="s">
        <v>164</v>
      </c>
      <c r="F6" s="42"/>
    </row>
    <row r="7" spans="1:11">
      <c r="E7" s="42" t="s">
        <v>165</v>
      </c>
      <c r="F7" s="42"/>
    </row>
    <row r="8" spans="1:11">
      <c r="A8" s="96">
        <v>1558900000</v>
      </c>
      <c r="B8" s="96"/>
    </row>
    <row r="9" spans="1:11">
      <c r="A9" s="97" t="s">
        <v>6</v>
      </c>
      <c r="B9" s="97"/>
      <c r="D9" s="12"/>
    </row>
    <row r="10" spans="1:11" s="3" customFormat="1" ht="28.95" customHeight="1">
      <c r="A10" s="98" t="s">
        <v>21</v>
      </c>
      <c r="B10" s="98"/>
      <c r="C10" s="98"/>
      <c r="D10" s="98"/>
      <c r="E10" s="98"/>
      <c r="F10" s="98"/>
      <c r="G10" s="98"/>
      <c r="H10" s="98"/>
      <c r="I10" s="98"/>
    </row>
    <row r="11" spans="1:11" s="3" customFormat="1" ht="21">
      <c r="A11" s="7"/>
      <c r="D11" s="8"/>
      <c r="E11" s="9"/>
      <c r="F11" s="8"/>
      <c r="G11" s="35" t="s">
        <v>2</v>
      </c>
      <c r="H11" s="35"/>
      <c r="I11" s="35"/>
    </row>
    <row r="12" spans="1:11" s="16" customFormat="1" ht="15.6" customHeight="1">
      <c r="A12" s="99" t="s">
        <v>3</v>
      </c>
      <c r="B12" s="99" t="s">
        <v>4</v>
      </c>
      <c r="C12" s="99" t="s">
        <v>1</v>
      </c>
      <c r="D12" s="99" t="s">
        <v>5</v>
      </c>
      <c r="E12" s="99" t="s">
        <v>16</v>
      </c>
      <c r="F12" s="99" t="s">
        <v>43</v>
      </c>
      <c r="G12" s="102" t="s">
        <v>11</v>
      </c>
      <c r="H12" s="102"/>
      <c r="I12" s="102"/>
    </row>
    <row r="13" spans="1:11" s="16" customFormat="1" ht="99.6" customHeight="1">
      <c r="A13" s="100"/>
      <c r="B13" s="100"/>
      <c r="C13" s="100"/>
      <c r="D13" s="101"/>
      <c r="E13" s="101"/>
      <c r="F13" s="101"/>
      <c r="G13" s="77" t="s">
        <v>245</v>
      </c>
      <c r="H13" s="77" t="s">
        <v>12</v>
      </c>
      <c r="I13" s="77" t="s">
        <v>272</v>
      </c>
    </row>
    <row r="14" spans="1:11">
      <c r="A14" s="10">
        <v>1</v>
      </c>
      <c r="B14" s="10">
        <v>2</v>
      </c>
      <c r="C14" s="10">
        <v>3</v>
      </c>
      <c r="D14" s="11">
        <v>4</v>
      </c>
      <c r="E14" s="11">
        <v>5</v>
      </c>
      <c r="F14" s="11">
        <v>6</v>
      </c>
      <c r="G14" s="36" t="s">
        <v>17</v>
      </c>
      <c r="H14" s="36" t="s">
        <v>18</v>
      </c>
      <c r="I14" s="36" t="s">
        <v>19</v>
      </c>
    </row>
    <row r="15" spans="1:11" ht="18.75" customHeight="1">
      <c r="A15" s="19" t="s">
        <v>7</v>
      </c>
      <c r="B15" s="19"/>
      <c r="C15" s="19"/>
      <c r="D15" s="92" t="s">
        <v>9</v>
      </c>
      <c r="E15" s="93"/>
      <c r="F15" s="22">
        <f t="shared" ref="F15:I15" si="0">F16</f>
        <v>12316596</v>
      </c>
      <c r="G15" s="37">
        <f>G16</f>
        <v>12316596</v>
      </c>
      <c r="H15" s="37">
        <f t="shared" si="0"/>
        <v>0</v>
      </c>
      <c r="I15" s="37">
        <f t="shared" si="0"/>
        <v>0</v>
      </c>
      <c r="J15" s="1"/>
      <c r="K15" s="1"/>
    </row>
    <row r="16" spans="1:11" ht="18.75" customHeight="1">
      <c r="A16" s="19" t="s">
        <v>8</v>
      </c>
      <c r="B16" s="18"/>
      <c r="C16" s="18"/>
      <c r="D16" s="92" t="s">
        <v>9</v>
      </c>
      <c r="E16" s="93"/>
      <c r="F16" s="22">
        <f>F17+F18+F26+F27+F30+F33+F34+F35+F36+F37</f>
        <v>12316596</v>
      </c>
      <c r="G16" s="22">
        <f>G17+G18+G26+G27+G30+G33+G34+G35+G36+G37</f>
        <v>12316596</v>
      </c>
      <c r="H16" s="22">
        <f t="shared" ref="H16:I16" si="1">H17+H18+H26+H27+H30+H33+H34+H35+H36+H37</f>
        <v>0</v>
      </c>
      <c r="I16" s="22">
        <f t="shared" si="1"/>
        <v>0</v>
      </c>
      <c r="J16" s="1"/>
    </row>
    <row r="17" spans="1:13" s="51" customFormat="1" ht="126">
      <c r="A17" s="20" t="s">
        <v>210</v>
      </c>
      <c r="B17" s="20" t="s">
        <v>211</v>
      </c>
      <c r="C17" s="20" t="s">
        <v>147</v>
      </c>
      <c r="D17" s="49" t="s">
        <v>212</v>
      </c>
      <c r="E17" s="17" t="s">
        <v>246</v>
      </c>
      <c r="F17" s="28">
        <v>1100000</v>
      </c>
      <c r="G17" s="38">
        <v>1100000</v>
      </c>
      <c r="H17" s="38"/>
      <c r="I17" s="38"/>
      <c r="J17" s="50"/>
    </row>
    <row r="18" spans="1:13" s="51" customFormat="1" ht="36">
      <c r="A18" s="20" t="s">
        <v>38</v>
      </c>
      <c r="B18" s="20" t="s">
        <v>39</v>
      </c>
      <c r="C18" s="20" t="s">
        <v>41</v>
      </c>
      <c r="D18" s="49" t="s">
        <v>40</v>
      </c>
      <c r="E18" s="17" t="s">
        <v>10</v>
      </c>
      <c r="F18" s="28">
        <f>SUM(F19:F25)</f>
        <v>4863749</v>
      </c>
      <c r="G18" s="38">
        <f>SUM(G19:G25)</f>
        <v>4863749</v>
      </c>
      <c r="H18" s="38"/>
      <c r="I18" s="38"/>
      <c r="J18" s="50"/>
    </row>
    <row r="19" spans="1:13" s="51" customFormat="1" ht="108">
      <c r="A19" s="20"/>
      <c r="B19" s="20"/>
      <c r="C19" s="20"/>
      <c r="D19" s="52"/>
      <c r="E19" s="53" t="s">
        <v>253</v>
      </c>
      <c r="F19" s="28">
        <v>334805</v>
      </c>
      <c r="G19" s="38">
        <v>334805</v>
      </c>
      <c r="H19" s="38"/>
      <c r="I19" s="38"/>
      <c r="J19" s="50"/>
    </row>
    <row r="20" spans="1:13" s="51" customFormat="1" ht="72">
      <c r="A20" s="20"/>
      <c r="B20" s="20"/>
      <c r="C20" s="20"/>
      <c r="D20" s="52"/>
      <c r="E20" s="53" t="s">
        <v>42</v>
      </c>
      <c r="F20" s="28">
        <f>1400000+700000</f>
        <v>2100000</v>
      </c>
      <c r="G20" s="38">
        <f>1400000+700000</f>
        <v>2100000</v>
      </c>
      <c r="H20" s="38"/>
      <c r="I20" s="38"/>
      <c r="J20" s="50"/>
    </row>
    <row r="21" spans="1:13" s="51" customFormat="1" ht="126">
      <c r="A21" s="20"/>
      <c r="B21" s="20"/>
      <c r="C21" s="20"/>
      <c r="D21" s="52"/>
      <c r="E21" s="66" t="s">
        <v>134</v>
      </c>
      <c r="F21" s="28">
        <v>66000</v>
      </c>
      <c r="G21" s="38">
        <v>66000</v>
      </c>
      <c r="H21" s="38"/>
      <c r="I21" s="38"/>
      <c r="J21" s="50"/>
    </row>
    <row r="22" spans="1:13" s="51" customFormat="1" ht="180">
      <c r="A22" s="20"/>
      <c r="B22" s="20"/>
      <c r="C22" s="20"/>
      <c r="D22" s="52"/>
      <c r="E22" s="82" t="s">
        <v>185</v>
      </c>
      <c r="F22" s="28">
        <v>47706</v>
      </c>
      <c r="G22" s="38">
        <v>47706</v>
      </c>
      <c r="H22" s="38"/>
      <c r="I22" s="38"/>
      <c r="J22" s="50"/>
    </row>
    <row r="23" spans="1:13" s="51" customFormat="1" ht="144">
      <c r="A23" s="20"/>
      <c r="B23" s="20"/>
      <c r="C23" s="20"/>
      <c r="D23" s="52"/>
      <c r="E23" s="82" t="s">
        <v>249</v>
      </c>
      <c r="F23" s="28">
        <v>2193059</v>
      </c>
      <c r="G23" s="38">
        <v>2193059</v>
      </c>
      <c r="H23" s="38"/>
      <c r="I23" s="38"/>
      <c r="J23" s="50"/>
    </row>
    <row r="24" spans="1:13" s="51" customFormat="1" ht="162">
      <c r="A24" s="20"/>
      <c r="B24" s="20"/>
      <c r="C24" s="20"/>
      <c r="D24" s="52"/>
      <c r="E24" s="68" t="s">
        <v>186</v>
      </c>
      <c r="F24" s="28">
        <v>47706</v>
      </c>
      <c r="G24" s="38">
        <v>47706</v>
      </c>
      <c r="H24" s="38"/>
      <c r="I24" s="38"/>
      <c r="J24" s="50"/>
    </row>
    <row r="25" spans="1:13" s="51" customFormat="1" ht="72">
      <c r="A25" s="20"/>
      <c r="B25" s="20"/>
      <c r="C25" s="20"/>
      <c r="D25" s="52"/>
      <c r="E25" s="69" t="s">
        <v>187</v>
      </c>
      <c r="F25" s="28">
        <v>74473</v>
      </c>
      <c r="G25" s="38">
        <v>74473</v>
      </c>
      <c r="H25" s="38"/>
      <c r="I25" s="38"/>
      <c r="J25" s="50"/>
    </row>
    <row r="26" spans="1:13" s="51" customFormat="1">
      <c r="A26" s="20" t="s">
        <v>262</v>
      </c>
      <c r="B26" s="20" t="s">
        <v>263</v>
      </c>
      <c r="C26" s="84" t="s">
        <v>264</v>
      </c>
      <c r="D26" s="85" t="s">
        <v>265</v>
      </c>
      <c r="E26" s="69" t="s">
        <v>254</v>
      </c>
      <c r="F26" s="28">
        <v>870000</v>
      </c>
      <c r="G26" s="38">
        <v>870000</v>
      </c>
      <c r="H26" s="38"/>
      <c r="I26" s="38"/>
      <c r="J26" s="50"/>
    </row>
    <row r="27" spans="1:13" s="51" customFormat="1" ht="72">
      <c r="A27" s="20" t="s">
        <v>148</v>
      </c>
      <c r="B27" s="20" t="s">
        <v>149</v>
      </c>
      <c r="C27" s="20" t="s">
        <v>150</v>
      </c>
      <c r="D27" s="53" t="s">
        <v>151</v>
      </c>
      <c r="E27" s="66" t="s">
        <v>10</v>
      </c>
      <c r="F27" s="28">
        <f>F28+F29</f>
        <v>2315800</v>
      </c>
      <c r="G27" s="38">
        <f>G28+G29</f>
        <v>2315800</v>
      </c>
      <c r="H27" s="38"/>
      <c r="I27" s="38"/>
      <c r="J27" s="50"/>
    </row>
    <row r="28" spans="1:13" s="51" customFormat="1">
      <c r="A28" s="20"/>
      <c r="B28" s="20"/>
      <c r="C28" s="20"/>
      <c r="D28" s="53"/>
      <c r="E28" s="66" t="s">
        <v>254</v>
      </c>
      <c r="F28" s="28">
        <f>1000000-36000-56200+130000-246600</f>
        <v>791200</v>
      </c>
      <c r="G28" s="38">
        <f>1000000-36000-56200+130000-246600</f>
        <v>791200</v>
      </c>
      <c r="H28" s="38"/>
      <c r="I28" s="38"/>
      <c r="J28" s="50"/>
    </row>
    <row r="29" spans="1:13" s="51" customFormat="1" ht="126">
      <c r="A29" s="20"/>
      <c r="B29" s="20"/>
      <c r="C29" s="20"/>
      <c r="D29" s="53"/>
      <c r="E29" s="66" t="s">
        <v>299</v>
      </c>
      <c r="F29" s="28">
        <v>1524600</v>
      </c>
      <c r="G29" s="38">
        <v>1524600</v>
      </c>
      <c r="H29" s="38"/>
      <c r="I29" s="38"/>
      <c r="J29" s="50"/>
    </row>
    <row r="30" spans="1:13" s="51" customFormat="1" ht="54">
      <c r="A30" s="20" t="s">
        <v>135</v>
      </c>
      <c r="B30" s="20" t="s">
        <v>136</v>
      </c>
      <c r="C30" s="33" t="s">
        <v>137</v>
      </c>
      <c r="D30" s="27" t="s">
        <v>138</v>
      </c>
      <c r="E30" s="66" t="s">
        <v>10</v>
      </c>
      <c r="F30" s="28">
        <f>F31+F32</f>
        <v>660000</v>
      </c>
      <c r="G30" s="38">
        <f>260000+400000</f>
        <v>660000</v>
      </c>
      <c r="H30" s="38"/>
      <c r="I30" s="38"/>
      <c r="J30" s="24"/>
      <c r="K30" s="24"/>
      <c r="L30" s="24"/>
      <c r="M30" s="24"/>
    </row>
    <row r="31" spans="1:13" s="51" customFormat="1" ht="72">
      <c r="A31" s="20"/>
      <c r="B31" s="20"/>
      <c r="C31" s="33"/>
      <c r="D31" s="27"/>
      <c r="E31" s="66" t="s">
        <v>144</v>
      </c>
      <c r="F31" s="28">
        <f>260000</f>
        <v>260000</v>
      </c>
      <c r="G31" s="38">
        <v>260000</v>
      </c>
      <c r="H31" s="38"/>
      <c r="I31" s="38"/>
      <c r="J31" s="24"/>
      <c r="K31" s="24"/>
      <c r="L31" s="24"/>
      <c r="M31" s="24"/>
    </row>
    <row r="32" spans="1:13" s="51" customFormat="1" ht="72">
      <c r="A32" s="20"/>
      <c r="B32" s="20"/>
      <c r="C32" s="33"/>
      <c r="D32" s="27"/>
      <c r="E32" s="66" t="s">
        <v>247</v>
      </c>
      <c r="F32" s="28">
        <f>400000</f>
        <v>400000</v>
      </c>
      <c r="G32" s="38">
        <v>400000</v>
      </c>
      <c r="H32" s="38"/>
      <c r="I32" s="38"/>
      <c r="J32" s="24"/>
      <c r="K32" s="24"/>
      <c r="L32" s="24"/>
      <c r="M32" s="24"/>
    </row>
    <row r="33" spans="1:13" s="24" customFormat="1" ht="36">
      <c r="A33" s="20" t="s">
        <v>193</v>
      </c>
      <c r="B33" s="20" t="s">
        <v>190</v>
      </c>
      <c r="C33" s="33" t="s">
        <v>192</v>
      </c>
      <c r="D33" s="27" t="s">
        <v>191</v>
      </c>
      <c r="E33" s="47" t="s">
        <v>89</v>
      </c>
      <c r="F33" s="58">
        <f>58200+60000+75597+690000</f>
        <v>883797</v>
      </c>
      <c r="G33" s="78">
        <f>58200+60000+75597+690000</f>
        <v>883797</v>
      </c>
      <c r="H33" s="38"/>
      <c r="I33" s="38"/>
      <c r="J33" s="50"/>
      <c r="K33" s="51"/>
      <c r="L33" s="51"/>
      <c r="M33" s="51"/>
    </row>
    <row r="34" spans="1:13" s="24" customFormat="1" ht="54">
      <c r="A34" s="20" t="s">
        <v>303</v>
      </c>
      <c r="B34" s="20" t="s">
        <v>62</v>
      </c>
      <c r="C34" s="33" t="s">
        <v>64</v>
      </c>
      <c r="D34" s="54" t="s">
        <v>63</v>
      </c>
      <c r="E34" s="17" t="s">
        <v>304</v>
      </c>
      <c r="F34" s="58">
        <v>120000</v>
      </c>
      <c r="G34" s="78">
        <v>120000</v>
      </c>
      <c r="H34" s="38"/>
      <c r="I34" s="38"/>
      <c r="J34" s="50"/>
      <c r="K34" s="51"/>
      <c r="L34" s="51"/>
      <c r="M34" s="51"/>
    </row>
    <row r="35" spans="1:13" s="51" customFormat="1" ht="36">
      <c r="A35" s="20" t="s">
        <v>155</v>
      </c>
      <c r="B35" s="20" t="s">
        <v>156</v>
      </c>
      <c r="C35" s="45" t="s">
        <v>24</v>
      </c>
      <c r="D35" s="27" t="s">
        <v>157</v>
      </c>
      <c r="E35" s="66" t="s">
        <v>89</v>
      </c>
      <c r="F35" s="28">
        <f>37299-1349</f>
        <v>35950</v>
      </c>
      <c r="G35" s="38">
        <f>37299-1349</f>
        <v>35950</v>
      </c>
      <c r="H35" s="38"/>
      <c r="I35" s="38"/>
      <c r="J35" s="50"/>
    </row>
    <row r="36" spans="1:13" s="51" customFormat="1" ht="36">
      <c r="A36" s="20" t="s">
        <v>194</v>
      </c>
      <c r="B36" s="20" t="s">
        <v>195</v>
      </c>
      <c r="C36" s="33" t="s">
        <v>24</v>
      </c>
      <c r="D36" s="27" t="s">
        <v>196</v>
      </c>
      <c r="E36" s="66" t="s">
        <v>89</v>
      </c>
      <c r="F36" s="28">
        <v>190800</v>
      </c>
      <c r="G36" s="38">
        <v>190800</v>
      </c>
      <c r="H36" s="38"/>
      <c r="I36" s="38"/>
      <c r="J36" s="24"/>
      <c r="K36" s="24"/>
      <c r="L36" s="24"/>
      <c r="M36" s="24"/>
    </row>
    <row r="37" spans="1:13" s="24" customFormat="1" ht="108">
      <c r="A37" s="20" t="s">
        <v>22</v>
      </c>
      <c r="B37" s="20" t="s">
        <v>23</v>
      </c>
      <c r="C37" s="33" t="s">
        <v>24</v>
      </c>
      <c r="D37" s="27" t="s">
        <v>25</v>
      </c>
      <c r="E37" s="43" t="s">
        <v>26</v>
      </c>
      <c r="F37" s="28">
        <v>1276500</v>
      </c>
      <c r="G37" s="38">
        <v>1276500</v>
      </c>
      <c r="H37" s="38"/>
      <c r="I37" s="38"/>
      <c r="J37" s="1"/>
      <c r="K37" s="1"/>
      <c r="L37" s="5"/>
      <c r="M37" s="5"/>
    </row>
    <row r="38" spans="1:13" ht="18.75" customHeight="1">
      <c r="A38" s="19" t="s">
        <v>45</v>
      </c>
      <c r="B38" s="19"/>
      <c r="C38" s="19"/>
      <c r="D38" s="92" t="s">
        <v>46</v>
      </c>
      <c r="E38" s="93"/>
      <c r="F38" s="22">
        <f t="shared" ref="F38:I38" si="2">F39</f>
        <v>26555829.359999999</v>
      </c>
      <c r="G38" s="37">
        <f>G39</f>
        <v>26555829.359999999</v>
      </c>
      <c r="H38" s="37">
        <f t="shared" si="2"/>
        <v>0</v>
      </c>
      <c r="I38" s="37">
        <f t="shared" si="2"/>
        <v>0</v>
      </c>
      <c r="J38" s="1"/>
    </row>
    <row r="39" spans="1:13" ht="18.75" customHeight="1">
      <c r="A39" s="19" t="s">
        <v>44</v>
      </c>
      <c r="B39" s="18"/>
      <c r="C39" s="18"/>
      <c r="D39" s="92" t="s">
        <v>46</v>
      </c>
      <c r="E39" s="93"/>
      <c r="F39" s="22">
        <f>F40+F45+F51+F54+F55+F56+F57+F58</f>
        <v>26555829.359999999</v>
      </c>
      <c r="G39" s="37">
        <f>G40+G45+G51+G54+G55+G56+G57+G58</f>
        <v>26555829.359999999</v>
      </c>
      <c r="H39" s="37">
        <f>H40+H45+H51+H54+H55+H56+H57+H58</f>
        <v>0</v>
      </c>
      <c r="I39" s="37">
        <f>I40+I45+I51+I54+I55+I56+I57+I58</f>
        <v>0</v>
      </c>
      <c r="J39" s="50"/>
      <c r="K39" s="51"/>
      <c r="L39" s="51"/>
      <c r="M39" s="51"/>
    </row>
    <row r="40" spans="1:13" s="51" customFormat="1">
      <c r="A40" s="20" t="s">
        <v>47</v>
      </c>
      <c r="B40" s="20" t="s">
        <v>48</v>
      </c>
      <c r="C40" s="20" t="s">
        <v>50</v>
      </c>
      <c r="D40" s="49" t="s">
        <v>49</v>
      </c>
      <c r="E40" s="17" t="s">
        <v>10</v>
      </c>
      <c r="F40" s="28">
        <f>SUM(F41:F44)</f>
        <v>5545713</v>
      </c>
      <c r="G40" s="38">
        <f>SUM(G41:G44)</f>
        <v>5545713</v>
      </c>
      <c r="H40" s="38"/>
      <c r="I40" s="38"/>
      <c r="J40" s="24"/>
      <c r="K40" s="24"/>
      <c r="L40" s="24"/>
      <c r="M40" s="24"/>
    </row>
    <row r="41" spans="1:13" s="24" customFormat="1" ht="72">
      <c r="A41" s="20"/>
      <c r="B41" s="20"/>
      <c r="C41" s="33"/>
      <c r="D41" s="54"/>
      <c r="E41" s="55" t="s">
        <v>51</v>
      </c>
      <c r="F41" s="58">
        <f>1071430-166000</f>
        <v>905430</v>
      </c>
      <c r="G41" s="78">
        <f>1071430-166000</f>
        <v>905430</v>
      </c>
      <c r="H41" s="38"/>
      <c r="I41" s="38"/>
    </row>
    <row r="42" spans="1:13" s="24" customFormat="1" ht="72">
      <c r="A42" s="20"/>
      <c r="B42" s="20"/>
      <c r="C42" s="33"/>
      <c r="D42" s="54"/>
      <c r="E42" s="55" t="s">
        <v>52</v>
      </c>
      <c r="F42" s="58">
        <v>1100000</v>
      </c>
      <c r="G42" s="78">
        <v>1100000</v>
      </c>
      <c r="H42" s="38"/>
      <c r="I42" s="38"/>
    </row>
    <row r="43" spans="1:13" s="24" customFormat="1" ht="72">
      <c r="A43" s="20"/>
      <c r="B43" s="20"/>
      <c r="C43" s="33"/>
      <c r="D43" s="54"/>
      <c r="E43" s="56" t="s">
        <v>53</v>
      </c>
      <c r="F43" s="58">
        <v>200000</v>
      </c>
      <c r="G43" s="78">
        <v>200000</v>
      </c>
      <c r="H43" s="38"/>
      <c r="I43" s="38"/>
    </row>
    <row r="44" spans="1:13" s="24" customFormat="1" ht="90">
      <c r="A44" s="20"/>
      <c r="B44" s="20"/>
      <c r="C44" s="33"/>
      <c r="D44" s="54"/>
      <c r="E44" s="55" t="s">
        <v>139</v>
      </c>
      <c r="F44" s="58">
        <f>287283+2100000+953000</f>
        <v>3340283</v>
      </c>
      <c r="G44" s="78">
        <f>287283+2100000+953000</f>
        <v>3340283</v>
      </c>
      <c r="H44" s="38"/>
      <c r="I44" s="38"/>
      <c r="J44" s="50"/>
      <c r="K44" s="51"/>
      <c r="L44" s="51"/>
      <c r="M44" s="51"/>
    </row>
    <row r="45" spans="1:13" s="51" customFormat="1" ht="72">
      <c r="A45" s="20" t="s">
        <v>54</v>
      </c>
      <c r="B45" s="20" t="s">
        <v>55</v>
      </c>
      <c r="C45" s="20" t="s">
        <v>56</v>
      </c>
      <c r="D45" s="49" t="s">
        <v>57</v>
      </c>
      <c r="E45" s="17" t="s">
        <v>10</v>
      </c>
      <c r="F45" s="28">
        <f>SUM(F46:F50)</f>
        <v>3606770</v>
      </c>
      <c r="G45" s="38">
        <f>SUM(G46:G50)</f>
        <v>3606770</v>
      </c>
      <c r="H45" s="38"/>
      <c r="I45" s="38"/>
      <c r="J45" s="24"/>
      <c r="K45" s="24"/>
      <c r="L45" s="24"/>
      <c r="M45" s="24"/>
    </row>
    <row r="46" spans="1:13" s="24" customFormat="1" ht="54">
      <c r="A46" s="20"/>
      <c r="B46" s="20"/>
      <c r="C46" s="33"/>
      <c r="D46" s="54"/>
      <c r="E46" s="47" t="s">
        <v>58</v>
      </c>
      <c r="F46" s="58">
        <f>1173330-153000</f>
        <v>1020330</v>
      </c>
      <c r="G46" s="78">
        <f>1173330-153000</f>
        <v>1020330</v>
      </c>
      <c r="H46" s="38"/>
      <c r="I46" s="38"/>
    </row>
    <row r="47" spans="1:13" s="24" customFormat="1" ht="54">
      <c r="A47" s="20"/>
      <c r="B47" s="20"/>
      <c r="C47" s="33"/>
      <c r="D47" s="54"/>
      <c r="E47" s="47" t="s">
        <v>59</v>
      </c>
      <c r="F47" s="58">
        <f>888180-108000</f>
        <v>780180</v>
      </c>
      <c r="G47" s="78">
        <f>888180-108000</f>
        <v>780180</v>
      </c>
      <c r="H47" s="38"/>
      <c r="I47" s="38"/>
    </row>
    <row r="48" spans="1:13" s="24" customFormat="1" ht="54">
      <c r="A48" s="20"/>
      <c r="B48" s="20"/>
      <c r="C48" s="33"/>
      <c r="D48" s="54"/>
      <c r="E48" s="47" t="s">
        <v>60</v>
      </c>
      <c r="F48" s="58">
        <f>193260-37000</f>
        <v>156260</v>
      </c>
      <c r="G48" s="78">
        <f>193260-37000</f>
        <v>156260</v>
      </c>
      <c r="H48" s="38"/>
      <c r="I48" s="38"/>
    </row>
    <row r="49" spans="1:13" s="24" customFormat="1" ht="126">
      <c r="A49" s="20"/>
      <c r="B49" s="20"/>
      <c r="C49" s="33"/>
      <c r="D49" s="54"/>
      <c r="E49" s="47" t="s">
        <v>167</v>
      </c>
      <c r="F49" s="58">
        <f>1720000-270000</f>
        <v>1450000</v>
      </c>
      <c r="G49" s="78">
        <f>1720000-270000</f>
        <v>1450000</v>
      </c>
      <c r="H49" s="38"/>
      <c r="I49" s="38"/>
    </row>
    <row r="50" spans="1:13" s="24" customFormat="1" ht="90">
      <c r="A50" s="20"/>
      <c r="B50" s="20"/>
      <c r="C50" s="33"/>
      <c r="D50" s="54"/>
      <c r="E50" s="47" t="s">
        <v>213</v>
      </c>
      <c r="F50" s="58">
        <v>200000</v>
      </c>
      <c r="G50" s="78">
        <v>200000</v>
      </c>
      <c r="H50" s="38"/>
      <c r="I50" s="38"/>
    </row>
    <row r="51" spans="1:13" s="24" customFormat="1" ht="36">
      <c r="A51" s="20" t="s">
        <v>214</v>
      </c>
      <c r="B51" s="20" t="s">
        <v>215</v>
      </c>
      <c r="C51" s="33" t="s">
        <v>142</v>
      </c>
      <c r="D51" s="54" t="s">
        <v>216</v>
      </c>
      <c r="E51" s="47" t="s">
        <v>10</v>
      </c>
      <c r="F51" s="58">
        <f>F52+F53</f>
        <v>4630000</v>
      </c>
      <c r="G51" s="58">
        <f>G52+G53</f>
        <v>4630000</v>
      </c>
      <c r="H51" s="38"/>
      <c r="I51" s="38"/>
    </row>
    <row r="52" spans="1:13" s="24" customFormat="1" ht="24" customHeight="1">
      <c r="A52" s="26"/>
      <c r="B52" s="26"/>
      <c r="C52" s="62"/>
      <c r="D52" s="63"/>
      <c r="E52" s="72" t="s">
        <v>305</v>
      </c>
      <c r="F52" s="57">
        <v>1130000</v>
      </c>
      <c r="G52" s="79">
        <v>1130000</v>
      </c>
      <c r="H52" s="39"/>
      <c r="I52" s="39"/>
    </row>
    <row r="53" spans="1:13" s="24" customFormat="1" ht="23.4" customHeight="1">
      <c r="A53" s="26"/>
      <c r="B53" s="26"/>
      <c r="C53" s="62"/>
      <c r="D53" s="63"/>
      <c r="E53" s="72" t="s">
        <v>306</v>
      </c>
      <c r="F53" s="57">
        <v>3500000</v>
      </c>
      <c r="G53" s="79">
        <v>3500000</v>
      </c>
      <c r="H53" s="39"/>
      <c r="I53" s="39"/>
    </row>
    <row r="54" spans="1:13" s="24" customFormat="1" ht="126">
      <c r="A54" s="20" t="s">
        <v>217</v>
      </c>
      <c r="B54" s="20" t="s">
        <v>219</v>
      </c>
      <c r="C54" s="33" t="s">
        <v>142</v>
      </c>
      <c r="D54" s="54" t="s">
        <v>221</v>
      </c>
      <c r="E54" s="47" t="s">
        <v>89</v>
      </c>
      <c r="F54" s="58">
        <v>1012084</v>
      </c>
      <c r="G54" s="78">
        <v>1012084</v>
      </c>
      <c r="H54" s="38"/>
      <c r="I54" s="38"/>
    </row>
    <row r="55" spans="1:13" s="24" customFormat="1" ht="126">
      <c r="A55" s="20" t="s">
        <v>218</v>
      </c>
      <c r="B55" s="20" t="s">
        <v>220</v>
      </c>
      <c r="C55" s="33" t="s">
        <v>142</v>
      </c>
      <c r="D55" s="54" t="s">
        <v>222</v>
      </c>
      <c r="E55" s="47" t="s">
        <v>89</v>
      </c>
      <c r="F55" s="58">
        <v>2361528</v>
      </c>
      <c r="G55" s="78">
        <v>2361528</v>
      </c>
      <c r="H55" s="38"/>
      <c r="I55" s="38"/>
    </row>
    <row r="56" spans="1:13" s="24" customFormat="1" ht="180">
      <c r="A56" s="20" t="s">
        <v>140</v>
      </c>
      <c r="B56" s="20" t="s">
        <v>141</v>
      </c>
      <c r="C56" s="20" t="s">
        <v>142</v>
      </c>
      <c r="D56" s="27" t="s">
        <v>143</v>
      </c>
      <c r="E56" s="47" t="s">
        <v>89</v>
      </c>
      <c r="F56" s="58">
        <f>656964+784845</f>
        <v>1441809</v>
      </c>
      <c r="G56" s="78">
        <f>656964+784845</f>
        <v>1441809</v>
      </c>
      <c r="H56" s="38"/>
      <c r="I56" s="38"/>
    </row>
    <row r="57" spans="1:13" s="24" customFormat="1" ht="36">
      <c r="A57" s="20" t="s">
        <v>223</v>
      </c>
      <c r="B57" s="20" t="s">
        <v>190</v>
      </c>
      <c r="C57" s="33" t="s">
        <v>192</v>
      </c>
      <c r="D57" s="27" t="s">
        <v>191</v>
      </c>
      <c r="E57" s="47" t="s">
        <v>89</v>
      </c>
      <c r="F57" s="58">
        <v>205000</v>
      </c>
      <c r="G57" s="78">
        <v>205000</v>
      </c>
      <c r="H57" s="38"/>
      <c r="I57" s="38"/>
    </row>
    <row r="58" spans="1:13" s="24" customFormat="1" ht="54">
      <c r="A58" s="20" t="s">
        <v>61</v>
      </c>
      <c r="B58" s="20" t="s">
        <v>62</v>
      </c>
      <c r="C58" s="33" t="s">
        <v>64</v>
      </c>
      <c r="D58" s="54" t="s">
        <v>63</v>
      </c>
      <c r="E58" s="17" t="s">
        <v>10</v>
      </c>
      <c r="F58" s="28">
        <f>SUM(F59:F62)</f>
        <v>7752925.3600000003</v>
      </c>
      <c r="G58" s="38">
        <f>SUM(G59:G62)</f>
        <v>7752925.3600000003</v>
      </c>
      <c r="H58" s="38"/>
      <c r="I58" s="38"/>
    </row>
    <row r="59" spans="1:13" s="24" customFormat="1" ht="120.75" customHeight="1">
      <c r="A59" s="20"/>
      <c r="B59" s="20"/>
      <c r="C59" s="33"/>
      <c r="D59" s="54"/>
      <c r="E59" s="47" t="s">
        <v>182</v>
      </c>
      <c r="F59" s="58">
        <f>1400000+383680+1822017-421900</f>
        <v>3183797</v>
      </c>
      <c r="G59" s="78">
        <f>1400000+383680+1822017-421900</f>
        <v>3183797</v>
      </c>
      <c r="H59" s="38"/>
      <c r="I59" s="38"/>
    </row>
    <row r="60" spans="1:13" s="24" customFormat="1" ht="90">
      <c r="A60" s="20"/>
      <c r="B60" s="20"/>
      <c r="C60" s="33"/>
      <c r="D60" s="54"/>
      <c r="E60" s="47" t="s">
        <v>181</v>
      </c>
      <c r="F60" s="58">
        <f>900000+306196+667364-373200</f>
        <v>1500360</v>
      </c>
      <c r="G60" s="78">
        <f>900000+306196+667364-373200</f>
        <v>1500360</v>
      </c>
      <c r="H60" s="38"/>
      <c r="I60" s="38"/>
    </row>
    <row r="61" spans="1:13" s="24" customFormat="1" ht="90">
      <c r="A61" s="20"/>
      <c r="B61" s="20"/>
      <c r="C61" s="33"/>
      <c r="D61" s="54"/>
      <c r="E61" s="47" t="s">
        <v>183</v>
      </c>
      <c r="F61" s="58">
        <f>168768.36+5000000-3500000-100000</f>
        <v>1568768.3600000003</v>
      </c>
      <c r="G61" s="78">
        <f>168768.36+5000000-3500000-100000</f>
        <v>1568768.3600000003</v>
      </c>
      <c r="H61" s="38"/>
      <c r="I61" s="38"/>
    </row>
    <row r="62" spans="1:13" s="24" customFormat="1" ht="108">
      <c r="A62" s="20"/>
      <c r="B62" s="20"/>
      <c r="C62" s="33"/>
      <c r="D62" s="27"/>
      <c r="E62" s="47" t="s">
        <v>201</v>
      </c>
      <c r="F62" s="58">
        <f>2000000-500000</f>
        <v>1500000</v>
      </c>
      <c r="G62" s="78">
        <f>2000000-500000</f>
        <v>1500000</v>
      </c>
      <c r="H62" s="38"/>
      <c r="I62" s="38"/>
      <c r="J62" s="1"/>
      <c r="K62" s="1"/>
      <c r="L62" s="5"/>
      <c r="M62" s="5"/>
    </row>
    <row r="63" spans="1:13" ht="36.6" customHeight="1">
      <c r="A63" s="19" t="s">
        <v>168</v>
      </c>
      <c r="B63" s="19"/>
      <c r="C63" s="19"/>
      <c r="D63" s="92" t="s">
        <v>170</v>
      </c>
      <c r="E63" s="93"/>
      <c r="F63" s="22">
        <f t="shared" ref="F63:I63" si="3">F64</f>
        <v>8603847</v>
      </c>
      <c r="G63" s="37">
        <f>G64</f>
        <v>8603847</v>
      </c>
      <c r="H63" s="37">
        <f t="shared" si="3"/>
        <v>0</v>
      </c>
      <c r="I63" s="37">
        <f t="shared" si="3"/>
        <v>0</v>
      </c>
      <c r="J63" s="1"/>
    </row>
    <row r="64" spans="1:13" ht="36.6" customHeight="1">
      <c r="A64" s="19" t="s">
        <v>169</v>
      </c>
      <c r="B64" s="18"/>
      <c r="C64" s="18"/>
      <c r="D64" s="92" t="s">
        <v>170</v>
      </c>
      <c r="E64" s="93"/>
      <c r="F64" s="22">
        <f>F65+F66+F67</f>
        <v>8603847</v>
      </c>
      <c r="G64" s="37">
        <f>G65+G66+G67</f>
        <v>8603847</v>
      </c>
      <c r="H64" s="37">
        <f t="shared" ref="H64:I64" si="4">H66+H67</f>
        <v>0</v>
      </c>
      <c r="I64" s="37">
        <f t="shared" si="4"/>
        <v>0</v>
      </c>
      <c r="J64" s="24"/>
      <c r="K64" s="24"/>
      <c r="L64" s="24"/>
      <c r="M64" s="24"/>
    </row>
    <row r="65" spans="1:13" ht="92.4" customHeight="1">
      <c r="A65" s="20" t="s">
        <v>269</v>
      </c>
      <c r="B65" s="20" t="s">
        <v>268</v>
      </c>
      <c r="C65" s="45" t="s">
        <v>270</v>
      </c>
      <c r="D65" s="27" t="s">
        <v>271</v>
      </c>
      <c r="E65" s="66" t="s">
        <v>292</v>
      </c>
      <c r="F65" s="28">
        <v>2000000</v>
      </c>
      <c r="G65" s="38">
        <v>2000000</v>
      </c>
      <c r="H65" s="37"/>
      <c r="I65" s="38"/>
      <c r="J65" s="51"/>
      <c r="K65" s="24"/>
      <c r="L65" s="24"/>
      <c r="M65" s="24"/>
    </row>
    <row r="66" spans="1:13" s="24" customFormat="1" ht="159" customHeight="1">
      <c r="A66" s="20" t="s">
        <v>171</v>
      </c>
      <c r="B66" s="20" t="s">
        <v>175</v>
      </c>
      <c r="C66" s="45">
        <v>1060</v>
      </c>
      <c r="D66" s="103" t="s">
        <v>173</v>
      </c>
      <c r="E66" s="104"/>
      <c r="F66" s="58">
        <v>1859158</v>
      </c>
      <c r="G66" s="78">
        <v>1859158</v>
      </c>
      <c r="H66" s="38"/>
      <c r="I66" s="38"/>
    </row>
    <row r="67" spans="1:13" s="24" customFormat="1" ht="107.4" customHeight="1">
      <c r="A67" s="20" t="s">
        <v>172</v>
      </c>
      <c r="B67" s="20" t="s">
        <v>176</v>
      </c>
      <c r="C67" s="45">
        <v>1060</v>
      </c>
      <c r="D67" s="103" t="s">
        <v>174</v>
      </c>
      <c r="E67" s="104"/>
      <c r="F67" s="58">
        <v>4744689</v>
      </c>
      <c r="G67" s="78">
        <v>4744689</v>
      </c>
      <c r="H67" s="38"/>
      <c r="I67" s="38"/>
      <c r="J67" s="1"/>
      <c r="K67" s="1"/>
      <c r="L67" s="5"/>
      <c r="M67" s="5"/>
    </row>
    <row r="68" spans="1:13" s="89" customFormat="1">
      <c r="A68" s="44" t="s">
        <v>290</v>
      </c>
      <c r="B68" s="44"/>
      <c r="C68" s="86"/>
      <c r="D68" s="105" t="s">
        <v>273</v>
      </c>
      <c r="E68" s="106"/>
      <c r="F68" s="32">
        <f>F69</f>
        <v>4231735</v>
      </c>
      <c r="G68" s="32">
        <f>G69</f>
        <v>4231735</v>
      </c>
      <c r="H68" s="37"/>
      <c r="I68" s="37"/>
      <c r="J68" s="87"/>
      <c r="K68" s="87"/>
      <c r="L68" s="88"/>
      <c r="M68" s="88"/>
    </row>
    <row r="69" spans="1:13" s="89" customFormat="1">
      <c r="A69" s="44" t="s">
        <v>291</v>
      </c>
      <c r="B69" s="44"/>
      <c r="C69" s="86"/>
      <c r="D69" s="105" t="s">
        <v>273</v>
      </c>
      <c r="E69" s="106"/>
      <c r="F69" s="32">
        <f>F70</f>
        <v>4231735</v>
      </c>
      <c r="G69" s="32">
        <f>G70</f>
        <v>4231735</v>
      </c>
      <c r="H69" s="37"/>
      <c r="I69" s="37"/>
      <c r="J69" s="87"/>
      <c r="K69" s="87"/>
      <c r="L69" s="88"/>
      <c r="M69" s="88"/>
    </row>
    <row r="70" spans="1:13" s="24" customFormat="1" ht="162">
      <c r="A70" s="20" t="s">
        <v>274</v>
      </c>
      <c r="B70" s="20" t="s">
        <v>275</v>
      </c>
      <c r="C70" s="33" t="s">
        <v>13</v>
      </c>
      <c r="D70" s="27" t="s">
        <v>276</v>
      </c>
      <c r="E70" s="83" t="s">
        <v>277</v>
      </c>
      <c r="F70" s="58">
        <v>4231735</v>
      </c>
      <c r="G70" s="78">
        <v>4231735</v>
      </c>
      <c r="H70" s="38"/>
      <c r="I70" s="38"/>
      <c r="J70" s="50"/>
      <c r="K70" s="1"/>
      <c r="L70" s="5"/>
      <c r="M70" s="5"/>
    </row>
    <row r="71" spans="1:13">
      <c r="A71" s="19" t="s">
        <v>288</v>
      </c>
      <c r="B71" s="19"/>
      <c r="C71" s="19"/>
      <c r="D71" s="92" t="s">
        <v>224</v>
      </c>
      <c r="E71" s="93"/>
      <c r="F71" s="22">
        <f>F72</f>
        <v>190000</v>
      </c>
      <c r="G71" s="37">
        <f>G72</f>
        <v>190000</v>
      </c>
      <c r="H71" s="37"/>
      <c r="I71" s="37"/>
      <c r="J71" s="1"/>
    </row>
    <row r="72" spans="1:13">
      <c r="A72" s="19" t="s">
        <v>289</v>
      </c>
      <c r="B72" s="18"/>
      <c r="C72" s="18"/>
      <c r="D72" s="92" t="s">
        <v>224</v>
      </c>
      <c r="E72" s="93"/>
      <c r="F72" s="22">
        <f>F73</f>
        <v>190000</v>
      </c>
      <c r="G72" s="37">
        <f>G73</f>
        <v>190000</v>
      </c>
      <c r="H72" s="37"/>
      <c r="I72" s="37"/>
      <c r="J72" s="24"/>
      <c r="K72" s="24"/>
      <c r="L72" s="24"/>
      <c r="M72" s="24"/>
    </row>
    <row r="73" spans="1:13" s="24" customFormat="1" ht="36">
      <c r="A73" s="20" t="s">
        <v>225</v>
      </c>
      <c r="B73" s="20" t="s">
        <v>226</v>
      </c>
      <c r="C73" s="33" t="s">
        <v>228</v>
      </c>
      <c r="D73" s="81" t="s">
        <v>227</v>
      </c>
      <c r="E73" s="81" t="s">
        <v>89</v>
      </c>
      <c r="F73" s="58">
        <v>190000</v>
      </c>
      <c r="G73" s="78">
        <v>190000</v>
      </c>
      <c r="H73" s="38"/>
      <c r="I73" s="38"/>
      <c r="J73" s="1"/>
      <c r="K73" s="1"/>
      <c r="L73" s="5"/>
      <c r="M73" s="5"/>
    </row>
    <row r="74" spans="1:13" ht="36.6" customHeight="1">
      <c r="A74" s="19" t="s">
        <v>65</v>
      </c>
      <c r="B74" s="19"/>
      <c r="C74" s="19"/>
      <c r="D74" s="92" t="s">
        <v>67</v>
      </c>
      <c r="E74" s="93"/>
      <c r="F74" s="22">
        <f t="shared" ref="F74:I74" si="5">F75</f>
        <v>32381486.759999998</v>
      </c>
      <c r="G74" s="37">
        <f>G75</f>
        <v>29962486.759999998</v>
      </c>
      <c r="H74" s="37">
        <f t="shared" si="5"/>
        <v>0</v>
      </c>
      <c r="I74" s="37">
        <f t="shared" si="5"/>
        <v>2419000</v>
      </c>
      <c r="J74" s="1"/>
    </row>
    <row r="75" spans="1:13" ht="36.6" customHeight="1">
      <c r="A75" s="19" t="s">
        <v>66</v>
      </c>
      <c r="B75" s="18"/>
      <c r="C75" s="18"/>
      <c r="D75" s="92" t="s">
        <v>67</v>
      </c>
      <c r="E75" s="93"/>
      <c r="F75" s="22">
        <f>F76+F96+F100+F103+F104+F107+F110+F111+F125+F131+F132</f>
        <v>32381486.759999998</v>
      </c>
      <c r="G75" s="22">
        <f>G76+G96+G100+G103+G104+G107+G110+G111+G125+G131+G132</f>
        <v>29962486.759999998</v>
      </c>
      <c r="H75" s="22">
        <f t="shared" ref="H75:I75" si="6">H76+H96+H100+H103+H104+H107+H110+H111+H125+H131+H132</f>
        <v>0</v>
      </c>
      <c r="I75" s="22">
        <f t="shared" si="6"/>
        <v>2419000</v>
      </c>
      <c r="J75" s="24"/>
      <c r="K75" s="24"/>
      <c r="L75" s="24"/>
      <c r="M75" s="24"/>
    </row>
    <row r="76" spans="1:13" s="24" customFormat="1" ht="54">
      <c r="A76" s="20" t="s">
        <v>68</v>
      </c>
      <c r="B76" s="20" t="s">
        <v>15</v>
      </c>
      <c r="C76" s="33" t="s">
        <v>13</v>
      </c>
      <c r="D76" s="54" t="s">
        <v>14</v>
      </c>
      <c r="E76" s="17" t="s">
        <v>10</v>
      </c>
      <c r="F76" s="58">
        <f>F77+F84+F85+F86+F87+F88+F89+F90+F91+F92+F93+F94+F95</f>
        <v>5393826</v>
      </c>
      <c r="G76" s="58">
        <f t="shared" ref="G76:I76" si="7">G77+G84+G85+G86+G87+G88+G89+G90+G91+G92+G93+G94+G95</f>
        <v>5145526</v>
      </c>
      <c r="H76" s="58">
        <f t="shared" si="7"/>
        <v>0</v>
      </c>
      <c r="I76" s="58">
        <f t="shared" si="7"/>
        <v>248300</v>
      </c>
    </row>
    <row r="77" spans="1:13" s="24" customFormat="1" ht="90">
      <c r="A77" s="20"/>
      <c r="B77" s="20"/>
      <c r="C77" s="33"/>
      <c r="D77" s="54"/>
      <c r="E77" s="27" t="s">
        <v>69</v>
      </c>
      <c r="F77" s="28">
        <f>F78+F79+F80+F81+F82+F83</f>
        <v>3741524</v>
      </c>
      <c r="G77" s="38">
        <f>G78+G79+G80+G81+G82+G83</f>
        <v>3493224</v>
      </c>
      <c r="H77" s="38">
        <f t="shared" ref="H77:I77" si="8">H78+H79+H80+H81+H82+H83</f>
        <v>0</v>
      </c>
      <c r="I77" s="38">
        <f t="shared" si="8"/>
        <v>248300</v>
      </c>
    </row>
    <row r="78" spans="1:13" s="24" customFormat="1" ht="54">
      <c r="A78" s="20"/>
      <c r="B78" s="20"/>
      <c r="C78" s="33"/>
      <c r="D78" s="54"/>
      <c r="E78" s="30" t="s">
        <v>231</v>
      </c>
      <c r="F78" s="29">
        <v>45000</v>
      </c>
      <c r="G78" s="39">
        <v>45000</v>
      </c>
      <c r="H78" s="38"/>
      <c r="I78" s="38"/>
    </row>
    <row r="79" spans="1:13" s="24" customFormat="1" ht="72">
      <c r="A79" s="20"/>
      <c r="B79" s="20"/>
      <c r="C79" s="33"/>
      <c r="D79" s="54"/>
      <c r="E79" s="30" t="s">
        <v>232</v>
      </c>
      <c r="F79" s="29">
        <v>360000</v>
      </c>
      <c r="G79" s="39">
        <f>61700+50000</f>
        <v>111700</v>
      </c>
      <c r="H79" s="38"/>
      <c r="I79" s="38">
        <f>298300-50000</f>
        <v>248300</v>
      </c>
    </row>
    <row r="80" spans="1:13" s="24" customFormat="1" ht="54">
      <c r="A80" s="20"/>
      <c r="B80" s="20"/>
      <c r="C80" s="33"/>
      <c r="D80" s="54"/>
      <c r="E80" s="76" t="s">
        <v>233</v>
      </c>
      <c r="F80" s="29">
        <v>90000</v>
      </c>
      <c r="G80" s="39">
        <v>90000</v>
      </c>
      <c r="H80" s="38"/>
      <c r="I80" s="38"/>
    </row>
    <row r="81" spans="1:9" s="24" customFormat="1" ht="72">
      <c r="A81" s="20"/>
      <c r="B81" s="20"/>
      <c r="C81" s="33"/>
      <c r="D81" s="54"/>
      <c r="E81" s="30" t="s">
        <v>184</v>
      </c>
      <c r="F81" s="60">
        <f>973214-32514.68</f>
        <v>940699.32</v>
      </c>
      <c r="G81" s="39">
        <f>973214-32514.68</f>
        <v>940699.32</v>
      </c>
      <c r="H81" s="38"/>
      <c r="I81" s="38"/>
    </row>
    <row r="82" spans="1:9" s="24" customFormat="1" ht="72">
      <c r="A82" s="20"/>
      <c r="B82" s="20"/>
      <c r="C82" s="33"/>
      <c r="D82" s="54"/>
      <c r="E82" s="30" t="s">
        <v>70</v>
      </c>
      <c r="F82" s="60">
        <f>1878462+277921.81</f>
        <v>2156383.81</v>
      </c>
      <c r="G82" s="39">
        <f>1878462+277921.81</f>
        <v>2156383.81</v>
      </c>
      <c r="H82" s="38"/>
      <c r="I82" s="38"/>
    </row>
    <row r="83" spans="1:9" s="24" customFormat="1" ht="72">
      <c r="A83" s="20"/>
      <c r="B83" s="20"/>
      <c r="C83" s="33"/>
      <c r="D83" s="54"/>
      <c r="E83" s="30" t="s">
        <v>71</v>
      </c>
      <c r="F83" s="60">
        <f>192509-43068.13</f>
        <v>149440.87</v>
      </c>
      <c r="G83" s="39">
        <f>192509-43068.13</f>
        <v>149440.87</v>
      </c>
      <c r="H83" s="38"/>
      <c r="I83" s="38"/>
    </row>
    <row r="84" spans="1:9" s="24" customFormat="1" ht="180">
      <c r="A84" s="20"/>
      <c r="B84" s="20"/>
      <c r="C84" s="33"/>
      <c r="D84" s="54"/>
      <c r="E84" s="27" t="s">
        <v>72</v>
      </c>
      <c r="F84" s="61">
        <f>158368.14+0.86</f>
        <v>158369</v>
      </c>
      <c r="G84" s="38">
        <f>158368.14+0.86</f>
        <v>158369</v>
      </c>
      <c r="H84" s="38"/>
      <c r="I84" s="38"/>
    </row>
    <row r="85" spans="1:9" s="24" customFormat="1" ht="180">
      <c r="A85" s="20"/>
      <c r="B85" s="20"/>
      <c r="C85" s="33"/>
      <c r="D85" s="54"/>
      <c r="E85" s="27" t="s">
        <v>73</v>
      </c>
      <c r="F85" s="61">
        <f>166805.43+0.57</f>
        <v>166806</v>
      </c>
      <c r="G85" s="38">
        <f>166805.43+0.57</f>
        <v>166806</v>
      </c>
      <c r="H85" s="38"/>
      <c r="I85" s="38"/>
    </row>
    <row r="86" spans="1:9" s="24" customFormat="1" ht="72">
      <c r="A86" s="20"/>
      <c r="B86" s="20"/>
      <c r="C86" s="33"/>
      <c r="D86" s="54"/>
      <c r="E86" s="59" t="s">
        <v>74</v>
      </c>
      <c r="F86" s="61">
        <v>182708</v>
      </c>
      <c r="G86" s="38">
        <v>182708</v>
      </c>
      <c r="H86" s="38"/>
      <c r="I86" s="38"/>
    </row>
    <row r="87" spans="1:9" s="24" customFormat="1" ht="72">
      <c r="A87" s="20"/>
      <c r="B87" s="20"/>
      <c r="C87" s="33"/>
      <c r="D87" s="54"/>
      <c r="E87" s="27" t="s">
        <v>75</v>
      </c>
      <c r="F87" s="61">
        <v>13964</v>
      </c>
      <c r="G87" s="38">
        <v>13964</v>
      </c>
      <c r="H87" s="38"/>
      <c r="I87" s="38"/>
    </row>
    <row r="88" spans="1:9" s="24" customFormat="1" ht="72">
      <c r="A88" s="20"/>
      <c r="B88" s="20"/>
      <c r="C88" s="33"/>
      <c r="D88" s="54"/>
      <c r="E88" s="59" t="s">
        <v>76</v>
      </c>
      <c r="F88" s="61">
        <v>151219</v>
      </c>
      <c r="G88" s="38">
        <v>151219</v>
      </c>
      <c r="H88" s="38"/>
      <c r="I88" s="38"/>
    </row>
    <row r="89" spans="1:9" s="24" customFormat="1" ht="72">
      <c r="A89" s="20"/>
      <c r="B89" s="20"/>
      <c r="C89" s="33"/>
      <c r="D89" s="54"/>
      <c r="E89" s="59" t="s">
        <v>77</v>
      </c>
      <c r="F89" s="61">
        <v>151219</v>
      </c>
      <c r="G89" s="38">
        <v>151219</v>
      </c>
      <c r="H89" s="38"/>
      <c r="I89" s="38"/>
    </row>
    <row r="90" spans="1:9" s="24" customFormat="1" ht="72">
      <c r="A90" s="20"/>
      <c r="B90" s="20"/>
      <c r="C90" s="33"/>
      <c r="D90" s="54"/>
      <c r="E90" s="27" t="s">
        <v>78</v>
      </c>
      <c r="F90" s="61">
        <v>13964</v>
      </c>
      <c r="G90" s="38">
        <v>13964</v>
      </c>
      <c r="H90" s="38"/>
      <c r="I90" s="38"/>
    </row>
    <row r="91" spans="1:9" s="24" customFormat="1" ht="72">
      <c r="A91" s="20"/>
      <c r="B91" s="20"/>
      <c r="C91" s="33"/>
      <c r="D91" s="54"/>
      <c r="E91" s="59" t="s">
        <v>79</v>
      </c>
      <c r="F91" s="61">
        <v>147053</v>
      </c>
      <c r="G91" s="38">
        <v>147053</v>
      </c>
      <c r="H91" s="38"/>
      <c r="I91" s="38"/>
    </row>
    <row r="92" spans="1:9" s="24" customFormat="1" ht="54">
      <c r="A92" s="20"/>
      <c r="B92" s="20"/>
      <c r="C92" s="33"/>
      <c r="D92" s="54"/>
      <c r="E92" s="59" t="s">
        <v>318</v>
      </c>
      <c r="F92" s="61">
        <v>94000</v>
      </c>
      <c r="G92" s="38">
        <v>94000</v>
      </c>
      <c r="H92" s="38"/>
      <c r="I92" s="38"/>
    </row>
    <row r="93" spans="1:9" s="24" customFormat="1" ht="54">
      <c r="A93" s="20"/>
      <c r="B93" s="20"/>
      <c r="C93" s="33"/>
      <c r="D93" s="54"/>
      <c r="E93" s="59" t="s">
        <v>319</v>
      </c>
      <c r="F93" s="61">
        <v>61000</v>
      </c>
      <c r="G93" s="38">
        <v>61000</v>
      </c>
      <c r="H93" s="38"/>
      <c r="I93" s="38"/>
    </row>
    <row r="94" spans="1:9" s="24" customFormat="1" ht="54">
      <c r="A94" s="20"/>
      <c r="B94" s="20"/>
      <c r="C94" s="33"/>
      <c r="D94" s="107"/>
      <c r="E94" s="27" t="s">
        <v>229</v>
      </c>
      <c r="F94" s="28">
        <f>300000-155000</f>
        <v>145000</v>
      </c>
      <c r="G94" s="38">
        <f>300000-155000</f>
        <v>145000</v>
      </c>
      <c r="H94" s="38"/>
      <c r="I94" s="38"/>
    </row>
    <row r="95" spans="1:9" s="24" customFormat="1" ht="54">
      <c r="A95" s="20"/>
      <c r="B95" s="20"/>
      <c r="C95" s="33"/>
      <c r="D95" s="54"/>
      <c r="E95" s="27" t="s">
        <v>230</v>
      </c>
      <c r="F95" s="61">
        <v>367000</v>
      </c>
      <c r="G95" s="38">
        <v>367000</v>
      </c>
      <c r="H95" s="38"/>
      <c r="I95" s="38"/>
    </row>
    <row r="96" spans="1:9" s="24" customFormat="1" ht="54">
      <c r="A96" s="20" t="s">
        <v>158</v>
      </c>
      <c r="B96" s="20" t="s">
        <v>96</v>
      </c>
      <c r="C96" s="33" t="s">
        <v>83</v>
      </c>
      <c r="D96" s="54" t="s">
        <v>97</v>
      </c>
      <c r="E96" s="59" t="s">
        <v>10</v>
      </c>
      <c r="F96" s="61">
        <f>F97+F98+F99</f>
        <v>2247563</v>
      </c>
      <c r="G96" s="61">
        <f>G97+G98+G99</f>
        <v>2247563</v>
      </c>
      <c r="H96" s="38"/>
      <c r="I96" s="38"/>
    </row>
    <row r="97" spans="1:9" s="24" customFormat="1">
      <c r="A97" s="20"/>
      <c r="B97" s="20"/>
      <c r="C97" s="33"/>
      <c r="D97" s="54"/>
      <c r="E97" s="59" t="s">
        <v>159</v>
      </c>
      <c r="F97" s="61">
        <v>1244281</v>
      </c>
      <c r="G97" s="38">
        <v>1244281</v>
      </c>
      <c r="H97" s="38"/>
      <c r="I97" s="38"/>
    </row>
    <row r="98" spans="1:9" s="24" customFormat="1" ht="54">
      <c r="A98" s="20"/>
      <c r="B98" s="20"/>
      <c r="C98" s="33"/>
      <c r="D98" s="54"/>
      <c r="E98" s="80" t="s">
        <v>294</v>
      </c>
      <c r="F98" s="61">
        <v>173000</v>
      </c>
      <c r="G98" s="38">
        <v>173000</v>
      </c>
      <c r="H98" s="38"/>
      <c r="I98" s="38"/>
    </row>
    <row r="99" spans="1:9" s="24" customFormat="1" ht="36">
      <c r="A99" s="20"/>
      <c r="B99" s="20"/>
      <c r="C99" s="33"/>
      <c r="D99" s="54"/>
      <c r="E99" s="80" t="s">
        <v>278</v>
      </c>
      <c r="F99" s="61">
        <v>830282</v>
      </c>
      <c r="G99" s="38">
        <v>830282</v>
      </c>
      <c r="H99" s="38"/>
      <c r="I99" s="38"/>
    </row>
    <row r="100" spans="1:9" s="24" customFormat="1" ht="36">
      <c r="A100" s="20" t="s">
        <v>80</v>
      </c>
      <c r="B100" s="20" t="s">
        <v>81</v>
      </c>
      <c r="C100" s="33" t="s">
        <v>83</v>
      </c>
      <c r="D100" s="54" t="s">
        <v>82</v>
      </c>
      <c r="E100" s="17" t="s">
        <v>10</v>
      </c>
      <c r="F100" s="58">
        <f>F101</f>
        <v>1834392.76</v>
      </c>
      <c r="G100" s="78">
        <f>G101</f>
        <v>1834392.76</v>
      </c>
      <c r="H100" s="38"/>
      <c r="I100" s="38"/>
    </row>
    <row r="101" spans="1:9" s="24" customFormat="1" ht="90">
      <c r="A101" s="20"/>
      <c r="B101" s="20"/>
      <c r="C101" s="33"/>
      <c r="D101" s="54"/>
      <c r="E101" s="27" t="s">
        <v>208</v>
      </c>
      <c r="F101" s="58">
        <f>F102</f>
        <v>1834392.76</v>
      </c>
      <c r="G101" s="78">
        <f>G102</f>
        <v>1834392.76</v>
      </c>
      <c r="H101" s="38"/>
      <c r="I101" s="38"/>
    </row>
    <row r="102" spans="1:9" s="24" customFormat="1" ht="72">
      <c r="A102" s="26"/>
      <c r="B102" s="26"/>
      <c r="C102" s="62"/>
      <c r="D102" s="63"/>
      <c r="E102" s="30" t="s">
        <v>84</v>
      </c>
      <c r="F102" s="57">
        <f>495000+1485702-146309.24</f>
        <v>1834392.76</v>
      </c>
      <c r="G102" s="79">
        <f>495000+1485702-146309.24</f>
        <v>1834392.76</v>
      </c>
      <c r="H102" s="39"/>
      <c r="I102" s="39"/>
    </row>
    <row r="103" spans="1:9" s="24" customFormat="1" ht="144">
      <c r="A103" s="20" t="s">
        <v>205</v>
      </c>
      <c r="B103" s="20" t="s">
        <v>206</v>
      </c>
      <c r="C103" s="45" t="s">
        <v>83</v>
      </c>
      <c r="D103" s="27" t="s">
        <v>207</v>
      </c>
      <c r="E103" s="47" t="s">
        <v>209</v>
      </c>
      <c r="F103" s="58">
        <v>1200000</v>
      </c>
      <c r="G103" s="78">
        <v>1200000</v>
      </c>
      <c r="H103" s="39"/>
      <c r="I103" s="39"/>
    </row>
    <row r="104" spans="1:9" s="24" customFormat="1" ht="90">
      <c r="A104" s="20" t="s">
        <v>234</v>
      </c>
      <c r="B104" s="20" t="s">
        <v>235</v>
      </c>
      <c r="C104" s="33" t="s">
        <v>83</v>
      </c>
      <c r="D104" s="54" t="s">
        <v>236</v>
      </c>
      <c r="E104" s="47" t="s">
        <v>10</v>
      </c>
      <c r="F104" s="58">
        <f>F105+F106</f>
        <v>993080</v>
      </c>
      <c r="G104" s="58">
        <f>G105+G106</f>
        <v>993080</v>
      </c>
      <c r="H104" s="39"/>
      <c r="I104" s="39"/>
    </row>
    <row r="105" spans="1:9" s="24" customFormat="1" ht="90">
      <c r="A105" s="20"/>
      <c r="B105" s="20"/>
      <c r="C105" s="33"/>
      <c r="D105" s="54"/>
      <c r="E105" s="47" t="s">
        <v>237</v>
      </c>
      <c r="F105" s="58">
        <v>126980</v>
      </c>
      <c r="G105" s="78">
        <v>126980</v>
      </c>
      <c r="H105" s="39"/>
      <c r="I105" s="39"/>
    </row>
    <row r="106" spans="1:9" s="24" customFormat="1" ht="72">
      <c r="A106" s="20"/>
      <c r="B106" s="20"/>
      <c r="C106" s="33"/>
      <c r="D106" s="54"/>
      <c r="E106" s="47" t="s">
        <v>279</v>
      </c>
      <c r="F106" s="58">
        <v>866100</v>
      </c>
      <c r="G106" s="78">
        <v>866100</v>
      </c>
      <c r="H106" s="39"/>
      <c r="I106" s="39"/>
    </row>
    <row r="107" spans="1:9" s="24" customFormat="1" ht="36">
      <c r="A107" s="20" t="s">
        <v>85</v>
      </c>
      <c r="B107" s="20" t="s">
        <v>86</v>
      </c>
      <c r="C107" s="33" t="s">
        <v>83</v>
      </c>
      <c r="D107" s="54" t="s">
        <v>88</v>
      </c>
      <c r="E107" s="17" t="s">
        <v>10</v>
      </c>
      <c r="F107" s="58">
        <f>F108+F109</f>
        <v>879500</v>
      </c>
      <c r="G107" s="58">
        <f>G108+G109</f>
        <v>879500</v>
      </c>
      <c r="H107" s="38"/>
      <c r="I107" s="38"/>
    </row>
    <row r="108" spans="1:9" s="24" customFormat="1" ht="36">
      <c r="A108" s="20"/>
      <c r="B108" s="20"/>
      <c r="C108" s="33"/>
      <c r="D108" s="27"/>
      <c r="E108" s="47" t="s">
        <v>87</v>
      </c>
      <c r="F108" s="58">
        <v>839500</v>
      </c>
      <c r="G108" s="78">
        <v>839500</v>
      </c>
      <c r="H108" s="38"/>
      <c r="I108" s="38"/>
    </row>
    <row r="109" spans="1:9" s="24" customFormat="1">
      <c r="A109" s="20"/>
      <c r="B109" s="20"/>
      <c r="C109" s="33"/>
      <c r="D109" s="27"/>
      <c r="E109" s="47" t="s">
        <v>317</v>
      </c>
      <c r="F109" s="58">
        <v>40000</v>
      </c>
      <c r="G109" s="78">
        <v>40000</v>
      </c>
      <c r="H109" s="38"/>
      <c r="I109" s="38"/>
    </row>
    <row r="110" spans="1:9" s="24" customFormat="1" ht="36">
      <c r="A110" s="20" t="s">
        <v>238</v>
      </c>
      <c r="B110" s="20" t="s">
        <v>190</v>
      </c>
      <c r="C110" s="33" t="s">
        <v>192</v>
      </c>
      <c r="D110" s="27" t="s">
        <v>191</v>
      </c>
      <c r="E110" s="47" t="s">
        <v>89</v>
      </c>
      <c r="F110" s="58">
        <v>36000</v>
      </c>
      <c r="G110" s="78">
        <v>36000</v>
      </c>
      <c r="H110" s="38"/>
      <c r="I110" s="38"/>
    </row>
    <row r="111" spans="1:9" s="24" customFormat="1" ht="36">
      <c r="A111" s="20" t="s">
        <v>239</v>
      </c>
      <c r="B111" s="20" t="s">
        <v>240</v>
      </c>
      <c r="C111" s="33" t="s">
        <v>115</v>
      </c>
      <c r="D111" s="27" t="s">
        <v>241</v>
      </c>
      <c r="E111" s="17" t="s">
        <v>10</v>
      </c>
      <c r="F111" s="58">
        <f>SUM(F112:F124)</f>
        <v>16769497</v>
      </c>
      <c r="G111" s="58">
        <f t="shared" ref="G111:I111" si="9">SUM(G112:G124)</f>
        <v>14598797</v>
      </c>
      <c r="H111" s="58">
        <f t="shared" si="9"/>
        <v>0</v>
      </c>
      <c r="I111" s="58">
        <f t="shared" si="9"/>
        <v>2170700</v>
      </c>
    </row>
    <row r="112" spans="1:9" ht="36">
      <c r="A112" s="20"/>
      <c r="B112" s="20"/>
      <c r="C112" s="33"/>
      <c r="D112" s="27"/>
      <c r="E112" s="59" t="s">
        <v>256</v>
      </c>
      <c r="F112" s="58">
        <f>1950000-331200</f>
        <v>1618800</v>
      </c>
      <c r="G112" s="78"/>
      <c r="H112" s="38"/>
      <c r="I112" s="38">
        <f>1950000-331200</f>
        <v>1618800</v>
      </c>
    </row>
    <row r="113" spans="1:9" ht="36">
      <c r="A113" s="20"/>
      <c r="B113" s="20"/>
      <c r="C113" s="33"/>
      <c r="D113" s="27"/>
      <c r="E113" s="59" t="s">
        <v>307</v>
      </c>
      <c r="F113" s="58">
        <v>150000</v>
      </c>
      <c r="G113" s="78">
        <v>150000</v>
      </c>
      <c r="H113" s="38"/>
      <c r="I113" s="38"/>
    </row>
    <row r="114" spans="1:9" ht="36">
      <c r="A114" s="20"/>
      <c r="B114" s="20"/>
      <c r="C114" s="33"/>
      <c r="D114" s="27"/>
      <c r="E114" s="59" t="s">
        <v>308</v>
      </c>
      <c r="F114" s="58">
        <v>141200</v>
      </c>
      <c r="G114" s="78">
        <v>141200</v>
      </c>
      <c r="H114" s="38"/>
      <c r="I114" s="38"/>
    </row>
    <row r="115" spans="1:9">
      <c r="A115" s="20"/>
      <c r="B115" s="20"/>
      <c r="C115" s="33"/>
      <c r="D115" s="27"/>
      <c r="E115" s="59" t="s">
        <v>309</v>
      </c>
      <c r="F115" s="58">
        <v>1500000</v>
      </c>
      <c r="G115" s="78">
        <f>1500000-331200</f>
        <v>1168800</v>
      </c>
      <c r="H115" s="38"/>
      <c r="I115" s="38">
        <v>331200</v>
      </c>
    </row>
    <row r="116" spans="1:9">
      <c r="A116" s="20"/>
      <c r="B116" s="20"/>
      <c r="C116" s="33"/>
      <c r="D116" s="27"/>
      <c r="E116" s="59" t="s">
        <v>255</v>
      </c>
      <c r="F116" s="58">
        <v>220700</v>
      </c>
      <c r="G116" s="78"/>
      <c r="H116" s="38"/>
      <c r="I116" s="38">
        <v>220700</v>
      </c>
    </row>
    <row r="117" spans="1:9" ht="54">
      <c r="A117" s="20"/>
      <c r="B117" s="20"/>
      <c r="C117" s="33"/>
      <c r="D117" s="27"/>
      <c r="E117" s="80" t="s">
        <v>295</v>
      </c>
      <c r="F117" s="58">
        <v>35997</v>
      </c>
      <c r="G117" s="78">
        <v>35997</v>
      </c>
      <c r="H117" s="38"/>
      <c r="I117" s="38"/>
    </row>
    <row r="118" spans="1:9" ht="54">
      <c r="A118" s="20"/>
      <c r="B118" s="20"/>
      <c r="C118" s="33"/>
      <c r="D118" s="27"/>
      <c r="E118" s="80" t="s">
        <v>296</v>
      </c>
      <c r="F118" s="58">
        <v>99000</v>
      </c>
      <c r="G118" s="78">
        <v>99000</v>
      </c>
      <c r="H118" s="38"/>
      <c r="I118" s="38"/>
    </row>
    <row r="119" spans="1:9" ht="36">
      <c r="A119" s="20"/>
      <c r="B119" s="20"/>
      <c r="C119" s="33"/>
      <c r="D119" s="27"/>
      <c r="E119" s="80" t="s">
        <v>310</v>
      </c>
      <c r="F119" s="58">
        <v>195500</v>
      </c>
      <c r="G119" s="78">
        <v>195500</v>
      </c>
      <c r="H119" s="38"/>
      <c r="I119" s="38"/>
    </row>
    <row r="120" spans="1:9" ht="36">
      <c r="A120" s="20"/>
      <c r="B120" s="20"/>
      <c r="C120" s="33"/>
      <c r="D120" s="27"/>
      <c r="E120" s="90" t="s">
        <v>280</v>
      </c>
      <c r="F120" s="58">
        <v>428800</v>
      </c>
      <c r="G120" s="78">
        <v>428800</v>
      </c>
      <c r="H120" s="38"/>
      <c r="I120" s="38"/>
    </row>
    <row r="121" spans="1:9" s="24" customFormat="1">
      <c r="A121" s="20"/>
      <c r="B121" s="20"/>
      <c r="C121" s="33"/>
      <c r="D121" s="27"/>
      <c r="E121" s="90" t="s">
        <v>297</v>
      </c>
      <c r="F121" s="58">
        <v>4191500</v>
      </c>
      <c r="G121" s="78">
        <v>4191500</v>
      </c>
      <c r="H121" s="38"/>
      <c r="I121" s="38"/>
    </row>
    <row r="122" spans="1:9" s="24" customFormat="1" ht="36">
      <c r="A122" s="20"/>
      <c r="B122" s="20"/>
      <c r="C122" s="33"/>
      <c r="D122" s="27"/>
      <c r="E122" s="90" t="s">
        <v>298</v>
      </c>
      <c r="F122" s="58">
        <v>188000</v>
      </c>
      <c r="G122" s="78">
        <v>188000</v>
      </c>
      <c r="H122" s="38"/>
      <c r="I122" s="38"/>
    </row>
    <row r="123" spans="1:9" s="24" customFormat="1" ht="36">
      <c r="A123" s="20"/>
      <c r="B123" s="20"/>
      <c r="C123" s="33"/>
      <c r="D123" s="27"/>
      <c r="E123" s="90" t="s">
        <v>311</v>
      </c>
      <c r="F123" s="58">
        <v>7400000</v>
      </c>
      <c r="G123" s="78">
        <v>7400000</v>
      </c>
      <c r="H123" s="38"/>
      <c r="I123" s="38"/>
    </row>
    <row r="124" spans="1:9" s="24" customFormat="1" ht="36">
      <c r="A124" s="20"/>
      <c r="B124" s="20"/>
      <c r="C124" s="33"/>
      <c r="D124" s="27"/>
      <c r="E124" s="90" t="s">
        <v>312</v>
      </c>
      <c r="F124" s="58">
        <v>600000</v>
      </c>
      <c r="G124" s="78">
        <v>600000</v>
      </c>
      <c r="H124" s="38"/>
      <c r="I124" s="38"/>
    </row>
    <row r="125" spans="1:9" s="24" customFormat="1" ht="54">
      <c r="A125" s="20" t="s">
        <v>160</v>
      </c>
      <c r="B125" s="20" t="s">
        <v>62</v>
      </c>
      <c r="C125" s="33" t="s">
        <v>64</v>
      </c>
      <c r="D125" s="27" t="s">
        <v>63</v>
      </c>
      <c r="E125" s="17" t="s">
        <v>10</v>
      </c>
      <c r="F125" s="58">
        <f>SUM(F126:F130)</f>
        <v>1853000</v>
      </c>
      <c r="G125" s="78">
        <f>SUM(G126:G130)</f>
        <v>1853000</v>
      </c>
      <c r="H125" s="38"/>
      <c r="I125" s="38"/>
    </row>
    <row r="126" spans="1:9" s="24" customFormat="1" ht="54">
      <c r="A126" s="20"/>
      <c r="B126" s="20"/>
      <c r="C126" s="33"/>
      <c r="D126" s="27"/>
      <c r="E126" s="47" t="s">
        <v>161</v>
      </c>
      <c r="F126" s="58">
        <v>150000</v>
      </c>
      <c r="G126" s="78">
        <v>150000</v>
      </c>
      <c r="H126" s="38"/>
      <c r="I126" s="38"/>
    </row>
    <row r="127" spans="1:9" s="24" customFormat="1" ht="90">
      <c r="A127" s="20"/>
      <c r="B127" s="20"/>
      <c r="C127" s="33"/>
      <c r="D127" s="27"/>
      <c r="E127" s="47" t="s">
        <v>197</v>
      </c>
      <c r="F127" s="58">
        <v>419000</v>
      </c>
      <c r="G127" s="78">
        <v>419000</v>
      </c>
      <c r="H127" s="38"/>
      <c r="I127" s="38"/>
    </row>
    <row r="128" spans="1:9" s="24" customFormat="1" ht="36">
      <c r="A128" s="20"/>
      <c r="B128" s="20"/>
      <c r="C128" s="33"/>
      <c r="D128" s="27"/>
      <c r="E128" s="47" t="s">
        <v>202</v>
      </c>
      <c r="F128" s="58">
        <v>594000</v>
      </c>
      <c r="G128" s="78">
        <v>594000</v>
      </c>
      <c r="H128" s="38"/>
      <c r="I128" s="38"/>
    </row>
    <row r="129" spans="1:13" s="24" customFormat="1" ht="72">
      <c r="A129" s="20"/>
      <c r="B129" s="20"/>
      <c r="C129" s="33"/>
      <c r="D129" s="27"/>
      <c r="E129" s="47" t="s">
        <v>250</v>
      </c>
      <c r="F129" s="58">
        <v>270000</v>
      </c>
      <c r="G129" s="78">
        <v>270000</v>
      </c>
      <c r="H129" s="38"/>
      <c r="I129" s="38"/>
    </row>
    <row r="130" spans="1:13" s="24" customFormat="1" ht="36">
      <c r="A130" s="20"/>
      <c r="B130" s="20"/>
      <c r="C130" s="33"/>
      <c r="D130" s="27"/>
      <c r="E130" s="47" t="s">
        <v>242</v>
      </c>
      <c r="F130" s="58">
        <v>420000</v>
      </c>
      <c r="G130" s="78">
        <v>420000</v>
      </c>
      <c r="H130" s="38"/>
      <c r="I130" s="38"/>
    </row>
    <row r="131" spans="1:13" s="24" customFormat="1" ht="108">
      <c r="A131" s="20" t="s">
        <v>177</v>
      </c>
      <c r="B131" s="20" t="s">
        <v>178</v>
      </c>
      <c r="C131" s="33" t="s">
        <v>179</v>
      </c>
      <c r="D131" s="27" t="s">
        <v>180</v>
      </c>
      <c r="E131" s="27" t="s">
        <v>188</v>
      </c>
      <c r="F131" s="58">
        <v>674628</v>
      </c>
      <c r="G131" s="78">
        <v>674628</v>
      </c>
      <c r="H131" s="38"/>
      <c r="I131" s="38"/>
    </row>
    <row r="132" spans="1:13" s="24" customFormat="1" ht="108">
      <c r="A132" s="20" t="s">
        <v>258</v>
      </c>
      <c r="B132" s="20" t="s">
        <v>259</v>
      </c>
      <c r="C132" s="33" t="s">
        <v>146</v>
      </c>
      <c r="D132" s="27" t="s">
        <v>257</v>
      </c>
      <c r="E132" s="27" t="s">
        <v>261</v>
      </c>
      <c r="F132" s="58">
        <v>500000</v>
      </c>
      <c r="G132" s="78">
        <v>500000</v>
      </c>
      <c r="H132" s="38"/>
      <c r="I132" s="38"/>
      <c r="J132" s="1"/>
      <c r="K132" s="1"/>
      <c r="L132" s="5"/>
      <c r="M132" s="5"/>
    </row>
    <row r="133" spans="1:13" ht="36" customHeight="1">
      <c r="A133" s="19" t="s">
        <v>90</v>
      </c>
      <c r="B133" s="19"/>
      <c r="C133" s="19"/>
      <c r="D133" s="92" t="s">
        <v>92</v>
      </c>
      <c r="E133" s="93"/>
      <c r="F133" s="22">
        <f t="shared" ref="F133:I133" si="10">F134</f>
        <v>79214177</v>
      </c>
      <c r="G133" s="37">
        <f>G134</f>
        <v>75664423</v>
      </c>
      <c r="H133" s="37">
        <f t="shared" si="10"/>
        <v>362900</v>
      </c>
      <c r="I133" s="37">
        <f t="shared" si="10"/>
        <v>3186854</v>
      </c>
      <c r="J133" s="1"/>
    </row>
    <row r="134" spans="1:13" ht="36.6" customHeight="1">
      <c r="A134" s="19" t="s">
        <v>91</v>
      </c>
      <c r="B134" s="18"/>
      <c r="C134" s="18"/>
      <c r="D134" s="92" t="s">
        <v>92</v>
      </c>
      <c r="E134" s="93"/>
      <c r="F134" s="22">
        <f>F135+F136+F137+F150+F153+F155+F162+F165+F167+F174</f>
        <v>79214177</v>
      </c>
      <c r="G134" s="22">
        <f t="shared" ref="G134:I134" si="11">G135+G136+G137+G150+G153+G155+G162+G165+G167+G174</f>
        <v>75664423</v>
      </c>
      <c r="H134" s="22">
        <f t="shared" si="11"/>
        <v>362900</v>
      </c>
      <c r="I134" s="22">
        <f t="shared" si="11"/>
        <v>3186854</v>
      </c>
      <c r="J134" s="24"/>
      <c r="K134" s="24"/>
      <c r="L134" s="24"/>
      <c r="M134" s="24"/>
    </row>
    <row r="135" spans="1:13" s="24" customFormat="1" ht="126">
      <c r="A135" s="20" t="s">
        <v>93</v>
      </c>
      <c r="B135" s="20" t="s">
        <v>39</v>
      </c>
      <c r="C135" s="33" t="s">
        <v>41</v>
      </c>
      <c r="D135" s="27" t="s">
        <v>40</v>
      </c>
      <c r="E135" s="47" t="s">
        <v>94</v>
      </c>
      <c r="F135" s="28">
        <f>1205627-30000-25000-19900</f>
        <v>1130727</v>
      </c>
      <c r="G135" s="38">
        <f>1205627-30000-25000-19900</f>
        <v>1130727</v>
      </c>
      <c r="H135" s="38"/>
      <c r="I135" s="38"/>
    </row>
    <row r="136" spans="1:13" s="24" customFormat="1" ht="54">
      <c r="A136" s="20" t="s">
        <v>95</v>
      </c>
      <c r="B136" s="20" t="s">
        <v>96</v>
      </c>
      <c r="C136" s="33" t="s">
        <v>83</v>
      </c>
      <c r="D136" s="27" t="s">
        <v>97</v>
      </c>
      <c r="E136" s="43" t="s">
        <v>98</v>
      </c>
      <c r="F136" s="28">
        <v>382750</v>
      </c>
      <c r="G136" s="38">
        <v>382750</v>
      </c>
      <c r="H136" s="38"/>
      <c r="I136" s="38"/>
    </row>
    <row r="137" spans="1:13" s="24" customFormat="1" ht="36">
      <c r="A137" s="20" t="s">
        <v>99</v>
      </c>
      <c r="B137" s="20" t="s">
        <v>81</v>
      </c>
      <c r="C137" s="33" t="s">
        <v>83</v>
      </c>
      <c r="D137" s="27" t="s">
        <v>82</v>
      </c>
      <c r="E137" s="17" t="s">
        <v>10</v>
      </c>
      <c r="F137" s="28">
        <f>SUM(F138:F149)</f>
        <v>15718117</v>
      </c>
      <c r="G137" s="28">
        <f t="shared" ref="G137:I137" si="12">SUM(G138:G149)</f>
        <v>15318217</v>
      </c>
      <c r="H137" s="28">
        <f t="shared" si="12"/>
        <v>0</v>
      </c>
      <c r="I137" s="28">
        <f t="shared" si="12"/>
        <v>399900</v>
      </c>
    </row>
    <row r="138" spans="1:13" s="24" customFormat="1" ht="54">
      <c r="A138" s="20"/>
      <c r="B138" s="20"/>
      <c r="C138" s="33"/>
      <c r="D138" s="54"/>
      <c r="E138" s="64" t="s">
        <v>100</v>
      </c>
      <c r="F138" s="28">
        <f>2056596.21+7494.74+0.05</f>
        <v>2064091</v>
      </c>
      <c r="G138" s="38">
        <f>2056596.21+7494.74+0.05</f>
        <v>2064091</v>
      </c>
      <c r="H138" s="38"/>
      <c r="I138" s="38"/>
    </row>
    <row r="139" spans="1:13" s="24" customFormat="1" ht="54">
      <c r="A139" s="20"/>
      <c r="B139" s="20"/>
      <c r="C139" s="33"/>
      <c r="D139" s="54"/>
      <c r="E139" s="64" t="s">
        <v>101</v>
      </c>
      <c r="F139" s="28">
        <f>1499167.78+4111.79+0.43</f>
        <v>1503280</v>
      </c>
      <c r="G139" s="38">
        <f>1499167.78+4111.79+0.43</f>
        <v>1503280</v>
      </c>
      <c r="H139" s="38"/>
      <c r="I139" s="38"/>
    </row>
    <row r="140" spans="1:13" s="24" customFormat="1" ht="36">
      <c r="A140" s="20"/>
      <c r="B140" s="20"/>
      <c r="C140" s="33"/>
      <c r="D140" s="54"/>
      <c r="E140" s="64" t="s">
        <v>102</v>
      </c>
      <c r="F140" s="61">
        <f>1100020-1000000</f>
        <v>100020</v>
      </c>
      <c r="G140" s="38">
        <f>1100020-1000000</f>
        <v>100020</v>
      </c>
      <c r="H140" s="38"/>
      <c r="I140" s="38"/>
    </row>
    <row r="141" spans="1:13" s="24" customFormat="1" ht="54">
      <c r="A141" s="20"/>
      <c r="B141" s="20"/>
      <c r="C141" s="33"/>
      <c r="D141" s="54"/>
      <c r="E141" s="64" t="s">
        <v>103</v>
      </c>
      <c r="F141" s="61">
        <f>38956.27+2126763.13+0.6</f>
        <v>2165720</v>
      </c>
      <c r="G141" s="38">
        <f>38956.27+2126763.13+0.6</f>
        <v>2165720</v>
      </c>
      <c r="H141" s="38"/>
      <c r="I141" s="38"/>
    </row>
    <row r="142" spans="1:13" s="24" customFormat="1" ht="54">
      <c r="A142" s="20"/>
      <c r="B142" s="20"/>
      <c r="C142" s="33"/>
      <c r="D142" s="54"/>
      <c r="E142" s="64" t="s">
        <v>104</v>
      </c>
      <c r="F142" s="61">
        <f>1971768.08+7494.74+0.18</f>
        <v>1979263</v>
      </c>
      <c r="G142" s="38">
        <f>1971768.08+7494.74+0.18</f>
        <v>1979263</v>
      </c>
      <c r="H142" s="38"/>
      <c r="I142" s="38"/>
    </row>
    <row r="143" spans="1:13" s="24" customFormat="1" ht="54">
      <c r="A143" s="20"/>
      <c r="B143" s="20"/>
      <c r="C143" s="33"/>
      <c r="D143" s="54"/>
      <c r="E143" s="64" t="s">
        <v>105</v>
      </c>
      <c r="F143" s="61">
        <f>1496810.5+4111.98+0.52</f>
        <v>1500923</v>
      </c>
      <c r="G143" s="38">
        <f>1496810.5+4111.98+0.52</f>
        <v>1500923</v>
      </c>
      <c r="H143" s="38"/>
      <c r="I143" s="38"/>
    </row>
    <row r="144" spans="1:13" s="24" customFormat="1" ht="54">
      <c r="A144" s="20"/>
      <c r="B144" s="20"/>
      <c r="C144" s="33"/>
      <c r="D144" s="54"/>
      <c r="E144" s="64" t="s">
        <v>106</v>
      </c>
      <c r="F144" s="61">
        <f>1496069.17+4111.98+0.85</f>
        <v>1500182</v>
      </c>
      <c r="G144" s="38">
        <f>1496069.17+4111.98+0.85</f>
        <v>1500182</v>
      </c>
      <c r="H144" s="38"/>
      <c r="I144" s="38"/>
    </row>
    <row r="145" spans="1:10" s="24" customFormat="1" ht="54">
      <c r="A145" s="20"/>
      <c r="B145" s="20"/>
      <c r="C145" s="33"/>
      <c r="D145" s="54"/>
      <c r="E145" s="64" t="s">
        <v>107</v>
      </c>
      <c r="F145" s="61">
        <f>1499053.98+4111.79+0.23</f>
        <v>1503166</v>
      </c>
      <c r="G145" s="38">
        <f>1499053.98+4111.79+0.23</f>
        <v>1503166</v>
      </c>
      <c r="H145" s="38"/>
      <c r="I145" s="38"/>
    </row>
    <row r="146" spans="1:10" s="24" customFormat="1" ht="54">
      <c r="A146" s="20"/>
      <c r="B146" s="20"/>
      <c r="C146" s="33"/>
      <c r="D146" s="54"/>
      <c r="E146" s="64" t="s">
        <v>108</v>
      </c>
      <c r="F146" s="61">
        <f>1444898.12+3747.36+0.52</f>
        <v>1448646.0000000002</v>
      </c>
      <c r="G146" s="38">
        <f>1444898.12+3747.36+0.52</f>
        <v>1448646.0000000002</v>
      </c>
      <c r="H146" s="38"/>
      <c r="I146" s="38"/>
    </row>
    <row r="147" spans="1:10" s="24" customFormat="1" ht="36">
      <c r="A147" s="20"/>
      <c r="B147" s="20"/>
      <c r="C147" s="33"/>
      <c r="D147" s="54"/>
      <c r="E147" s="64" t="s">
        <v>109</v>
      </c>
      <c r="F147" s="61">
        <f>1100020-1000000</f>
        <v>100020</v>
      </c>
      <c r="G147" s="38">
        <f>1100020-1000000</f>
        <v>100020</v>
      </c>
      <c r="H147" s="38"/>
      <c r="I147" s="38"/>
    </row>
    <row r="148" spans="1:10" s="24" customFormat="1" ht="54">
      <c r="A148" s="20"/>
      <c r="B148" s="20"/>
      <c r="C148" s="33"/>
      <c r="D148" s="54"/>
      <c r="E148" s="64" t="s">
        <v>110</v>
      </c>
      <c r="F148" s="61">
        <f>1449158.58+3747.36+0.06</f>
        <v>1452906.0000000002</v>
      </c>
      <c r="G148" s="38">
        <f>1449158.58+3747.36+0.06</f>
        <v>1452906.0000000002</v>
      </c>
      <c r="H148" s="38"/>
      <c r="I148" s="38"/>
      <c r="J148" s="74"/>
    </row>
    <row r="149" spans="1:10" s="24" customFormat="1" ht="72">
      <c r="A149" s="20"/>
      <c r="B149" s="20"/>
      <c r="C149" s="33"/>
      <c r="D149" s="54"/>
      <c r="E149" s="64" t="s">
        <v>281</v>
      </c>
      <c r="F149" s="61">
        <v>399900</v>
      </c>
      <c r="G149" s="38"/>
      <c r="H149" s="38"/>
      <c r="I149" s="38">
        <v>399900</v>
      </c>
      <c r="J149" s="51"/>
    </row>
    <row r="150" spans="1:10" s="24" customFormat="1" ht="54">
      <c r="A150" s="20" t="s">
        <v>243</v>
      </c>
      <c r="B150" s="20" t="s">
        <v>206</v>
      </c>
      <c r="C150" s="33" t="s">
        <v>83</v>
      </c>
      <c r="D150" s="54" t="s">
        <v>244</v>
      </c>
      <c r="E150" s="17" t="s">
        <v>10</v>
      </c>
      <c r="F150" s="61">
        <f>SUM(F151:F152)</f>
        <v>330000</v>
      </c>
      <c r="G150" s="38">
        <f t="shared" ref="G150:I150" si="13">SUM(G151:G152)</f>
        <v>0</v>
      </c>
      <c r="H150" s="38">
        <f t="shared" si="13"/>
        <v>0</v>
      </c>
      <c r="I150" s="38">
        <f t="shared" si="13"/>
        <v>330000</v>
      </c>
      <c r="J150" s="74"/>
    </row>
    <row r="151" spans="1:10" s="24" customFormat="1" ht="72">
      <c r="A151" s="20"/>
      <c r="B151" s="20"/>
      <c r="C151" s="33"/>
      <c r="D151" s="54"/>
      <c r="E151" s="27" t="s">
        <v>315</v>
      </c>
      <c r="F151" s="61">
        <v>155000</v>
      </c>
      <c r="G151" s="38"/>
      <c r="H151" s="38"/>
      <c r="I151" s="38">
        <v>155000</v>
      </c>
      <c r="J151" s="74"/>
    </row>
    <row r="152" spans="1:10" s="24" customFormat="1" ht="72">
      <c r="A152" s="20"/>
      <c r="B152" s="20"/>
      <c r="C152" s="33"/>
      <c r="D152" s="54"/>
      <c r="E152" s="27" t="s">
        <v>248</v>
      </c>
      <c r="F152" s="61">
        <v>175000</v>
      </c>
      <c r="G152" s="38"/>
      <c r="H152" s="38"/>
      <c r="I152" s="38">
        <v>175000</v>
      </c>
      <c r="J152" s="74"/>
    </row>
    <row r="153" spans="1:10" s="24" customFormat="1" ht="108">
      <c r="A153" s="45">
        <v>1516050</v>
      </c>
      <c r="B153" s="33" t="s">
        <v>111</v>
      </c>
      <c r="C153" s="33" t="s">
        <v>83</v>
      </c>
      <c r="D153" s="27" t="s">
        <v>112</v>
      </c>
      <c r="E153" s="17" t="s">
        <v>10</v>
      </c>
      <c r="F153" s="61">
        <f>F154</f>
        <v>1194873</v>
      </c>
      <c r="G153" s="38">
        <f>G154</f>
        <v>1194873</v>
      </c>
      <c r="H153" s="38"/>
      <c r="I153" s="38"/>
    </row>
    <row r="154" spans="1:10" s="24" customFormat="1" ht="72">
      <c r="A154" s="20"/>
      <c r="B154" s="20"/>
      <c r="C154" s="33"/>
      <c r="D154" s="54"/>
      <c r="E154" s="59" t="s">
        <v>113</v>
      </c>
      <c r="F154" s="61">
        <v>1194873</v>
      </c>
      <c r="G154" s="38">
        <v>1194873</v>
      </c>
      <c r="H154" s="38"/>
      <c r="I154" s="38"/>
    </row>
    <row r="155" spans="1:10" s="24" customFormat="1" ht="36">
      <c r="A155" s="20" t="s">
        <v>198</v>
      </c>
      <c r="B155" s="20" t="s">
        <v>199</v>
      </c>
      <c r="C155" s="33" t="s">
        <v>137</v>
      </c>
      <c r="D155" s="47" t="s">
        <v>200</v>
      </c>
      <c r="E155" s="17" t="s">
        <v>10</v>
      </c>
      <c r="F155" s="61">
        <f>SUM(F156:F161)</f>
        <v>13832250</v>
      </c>
      <c r="G155" s="38">
        <f>SUM(G156:G161)</f>
        <v>13375296</v>
      </c>
      <c r="H155" s="38">
        <f>SUM(H156:H161)</f>
        <v>0</v>
      </c>
      <c r="I155" s="38">
        <f>SUM(I156:I161)</f>
        <v>456954</v>
      </c>
    </row>
    <row r="156" spans="1:10" s="24" customFormat="1" ht="72">
      <c r="A156" s="20"/>
      <c r="B156" s="20"/>
      <c r="C156" s="33"/>
      <c r="D156" s="54"/>
      <c r="E156" s="27" t="s">
        <v>260</v>
      </c>
      <c r="F156" s="28">
        <v>4634170</v>
      </c>
      <c r="G156" s="38">
        <f>4634170-456954</f>
        <v>4177216</v>
      </c>
      <c r="H156" s="38"/>
      <c r="I156" s="38">
        <v>456954</v>
      </c>
    </row>
    <row r="157" spans="1:10" s="24" customFormat="1" ht="54">
      <c r="A157" s="20"/>
      <c r="B157" s="20"/>
      <c r="C157" s="33"/>
      <c r="D157" s="54"/>
      <c r="E157" s="75" t="s">
        <v>203</v>
      </c>
      <c r="F157" s="28">
        <v>1392820</v>
      </c>
      <c r="G157" s="38">
        <v>1392820</v>
      </c>
      <c r="H157" s="38"/>
      <c r="I157" s="38"/>
    </row>
    <row r="158" spans="1:10" s="24" customFormat="1" ht="54">
      <c r="A158" s="20"/>
      <c r="B158" s="20"/>
      <c r="C158" s="33"/>
      <c r="D158" s="54"/>
      <c r="E158" s="75" t="s">
        <v>204</v>
      </c>
      <c r="F158" s="28">
        <f>3374260+1027000</f>
        <v>4401260</v>
      </c>
      <c r="G158" s="38">
        <f>3374260+1027000</f>
        <v>4401260</v>
      </c>
      <c r="H158" s="38"/>
      <c r="I158" s="38"/>
    </row>
    <row r="159" spans="1:10" s="24" customFormat="1" ht="54">
      <c r="A159" s="20"/>
      <c r="B159" s="20"/>
      <c r="C159" s="33"/>
      <c r="D159" s="54"/>
      <c r="E159" s="80" t="s">
        <v>316</v>
      </c>
      <c r="F159" s="28">
        <v>1492000</v>
      </c>
      <c r="G159" s="38">
        <v>1492000</v>
      </c>
      <c r="H159" s="38"/>
      <c r="I159" s="38"/>
    </row>
    <row r="160" spans="1:10" s="24" customFormat="1" ht="54">
      <c r="A160" s="20"/>
      <c r="B160" s="20"/>
      <c r="C160" s="33"/>
      <c r="D160" s="54"/>
      <c r="E160" s="80" t="s">
        <v>251</v>
      </c>
      <c r="F160" s="28">
        <v>622000</v>
      </c>
      <c r="G160" s="38">
        <v>622000</v>
      </c>
      <c r="H160" s="38"/>
      <c r="I160" s="38"/>
    </row>
    <row r="161" spans="1:10" s="24" customFormat="1" ht="54">
      <c r="A161" s="20"/>
      <c r="B161" s="20"/>
      <c r="C161" s="33"/>
      <c r="D161" s="54"/>
      <c r="E161" s="80" t="s">
        <v>252</v>
      </c>
      <c r="F161" s="28">
        <v>1290000</v>
      </c>
      <c r="G161" s="38">
        <v>1290000</v>
      </c>
      <c r="H161" s="38"/>
      <c r="I161" s="38"/>
    </row>
    <row r="162" spans="1:10" s="24" customFormat="1" ht="54">
      <c r="A162" s="45">
        <v>1517370</v>
      </c>
      <c r="B162" s="33" t="s">
        <v>114</v>
      </c>
      <c r="C162" s="33" t="s">
        <v>115</v>
      </c>
      <c r="D162" s="27" t="s">
        <v>116</v>
      </c>
      <c r="E162" s="17" t="s">
        <v>10</v>
      </c>
      <c r="F162" s="61">
        <f>SUM(F163:F164)</f>
        <v>27703591</v>
      </c>
      <c r="G162" s="38">
        <f>SUM(G163:G164)</f>
        <v>25703591</v>
      </c>
      <c r="H162" s="38">
        <f>SUM(H163:H164)</f>
        <v>0</v>
      </c>
      <c r="I162" s="38">
        <f>SUM(I163:I164)</f>
        <v>2000000</v>
      </c>
      <c r="J162" s="70"/>
    </row>
    <row r="163" spans="1:10" s="24" customFormat="1" ht="36">
      <c r="A163" s="20"/>
      <c r="B163" s="20"/>
      <c r="C163" s="33"/>
      <c r="D163" s="54"/>
      <c r="E163" s="64" t="s">
        <v>189</v>
      </c>
      <c r="F163" s="61">
        <f>7664771+2000000+17920251</f>
        <v>27585022</v>
      </c>
      <c r="G163" s="38">
        <f>7664771+17920251</f>
        <v>25585022</v>
      </c>
      <c r="H163" s="38"/>
      <c r="I163" s="38">
        <v>2000000</v>
      </c>
      <c r="J163" s="70"/>
    </row>
    <row r="164" spans="1:10" s="24" customFormat="1" ht="54">
      <c r="A164" s="20"/>
      <c r="B164" s="20"/>
      <c r="C164" s="33"/>
      <c r="D164" s="54"/>
      <c r="E164" s="47" t="s">
        <v>117</v>
      </c>
      <c r="F164" s="61">
        <v>118569</v>
      </c>
      <c r="G164" s="38">
        <v>118569</v>
      </c>
      <c r="H164" s="38"/>
      <c r="I164" s="38"/>
    </row>
    <row r="165" spans="1:10" s="24" customFormat="1" ht="108">
      <c r="A165" s="20" t="s">
        <v>300</v>
      </c>
      <c r="B165" s="20" t="s">
        <v>267</v>
      </c>
      <c r="C165" s="33" t="s">
        <v>115</v>
      </c>
      <c r="D165" s="27" t="s">
        <v>266</v>
      </c>
      <c r="E165" s="66" t="s">
        <v>10</v>
      </c>
      <c r="F165" s="61">
        <f>F166</f>
        <v>550000</v>
      </c>
      <c r="G165" s="38">
        <f>G166</f>
        <v>550000</v>
      </c>
      <c r="H165" s="38"/>
      <c r="I165" s="38"/>
    </row>
    <row r="166" spans="1:10" s="24" customFormat="1" ht="144">
      <c r="A166" s="20"/>
      <c r="B166" s="20"/>
      <c r="C166" s="33"/>
      <c r="D166" s="54"/>
      <c r="E166" s="80" t="s">
        <v>301</v>
      </c>
      <c r="F166" s="61">
        <v>550000</v>
      </c>
      <c r="G166" s="38">
        <v>550000</v>
      </c>
      <c r="H166" s="38"/>
      <c r="I166" s="38"/>
    </row>
    <row r="167" spans="1:10" s="24" customFormat="1">
      <c r="A167" s="20" t="s">
        <v>118</v>
      </c>
      <c r="B167" s="20" t="s">
        <v>119</v>
      </c>
      <c r="C167" s="33" t="s">
        <v>120</v>
      </c>
      <c r="D167" s="27" t="s">
        <v>121</v>
      </c>
      <c r="E167" s="17" t="s">
        <v>10</v>
      </c>
      <c r="F167" s="61">
        <f>SUM(F168:F173)</f>
        <v>6451791</v>
      </c>
      <c r="G167" s="38">
        <f>SUM(G168:G173)</f>
        <v>6451791</v>
      </c>
      <c r="H167" s="38"/>
      <c r="I167" s="38"/>
    </row>
    <row r="168" spans="1:10" s="24" customFormat="1" ht="36">
      <c r="A168" s="20"/>
      <c r="B168" s="20"/>
      <c r="C168" s="33"/>
      <c r="D168" s="54"/>
      <c r="E168" s="27" t="s">
        <v>124</v>
      </c>
      <c r="F168" s="61">
        <v>15339</v>
      </c>
      <c r="G168" s="38">
        <v>15339</v>
      </c>
      <c r="H168" s="38"/>
      <c r="I168" s="38"/>
    </row>
    <row r="169" spans="1:10" s="24" customFormat="1" ht="36">
      <c r="A169" s="20"/>
      <c r="B169" s="20"/>
      <c r="C169" s="33"/>
      <c r="D169" s="54"/>
      <c r="E169" s="27" t="s">
        <v>125</v>
      </c>
      <c r="F169" s="61">
        <v>73574</v>
      </c>
      <c r="G169" s="38">
        <v>73574</v>
      </c>
      <c r="H169" s="38"/>
      <c r="I169" s="38"/>
    </row>
    <row r="170" spans="1:10" s="24" customFormat="1" ht="36">
      <c r="A170" s="20"/>
      <c r="B170" s="20"/>
      <c r="C170" s="33"/>
      <c r="D170" s="54"/>
      <c r="E170" s="27" t="s">
        <v>126</v>
      </c>
      <c r="F170" s="61">
        <v>14952</v>
      </c>
      <c r="G170" s="38">
        <v>14952</v>
      </c>
      <c r="H170" s="38"/>
      <c r="I170" s="38"/>
    </row>
    <row r="171" spans="1:10" s="24" customFormat="1" ht="36">
      <c r="A171" s="20"/>
      <c r="B171" s="20"/>
      <c r="C171" s="33"/>
      <c r="D171" s="54"/>
      <c r="E171" s="27" t="s">
        <v>127</v>
      </c>
      <c r="F171" s="61">
        <v>17357</v>
      </c>
      <c r="G171" s="38">
        <v>17357</v>
      </c>
      <c r="H171" s="38"/>
      <c r="I171" s="38"/>
    </row>
    <row r="172" spans="1:10" s="24" customFormat="1" ht="90">
      <c r="A172" s="20"/>
      <c r="B172" s="20"/>
      <c r="C172" s="33"/>
      <c r="D172" s="54"/>
      <c r="E172" s="64" t="s">
        <v>122</v>
      </c>
      <c r="F172" s="61">
        <f>4787741-966200</f>
        <v>3821541</v>
      </c>
      <c r="G172" s="38">
        <f>4787741-966200</f>
        <v>3821541</v>
      </c>
      <c r="H172" s="38"/>
      <c r="I172" s="38"/>
    </row>
    <row r="173" spans="1:10" s="24" customFormat="1" ht="72">
      <c r="A173" s="20"/>
      <c r="B173" s="20"/>
      <c r="C173" s="33"/>
      <c r="D173" s="54"/>
      <c r="E173" s="64" t="s">
        <v>123</v>
      </c>
      <c r="F173" s="61">
        <f>2811128-302100</f>
        <v>2509028</v>
      </c>
      <c r="G173" s="38">
        <f>2811128-302100</f>
        <v>2509028</v>
      </c>
      <c r="H173" s="38"/>
      <c r="I173" s="38"/>
    </row>
    <row r="174" spans="1:10" s="24" customFormat="1" ht="54">
      <c r="A174" s="20" t="s">
        <v>128</v>
      </c>
      <c r="B174" s="20" t="s">
        <v>62</v>
      </c>
      <c r="C174" s="33" t="s">
        <v>64</v>
      </c>
      <c r="D174" s="27" t="s">
        <v>63</v>
      </c>
      <c r="E174" s="17" t="s">
        <v>10</v>
      </c>
      <c r="F174" s="61">
        <f>SUM(F175:F177)</f>
        <v>11920078</v>
      </c>
      <c r="G174" s="38">
        <f t="shared" ref="G174:I174" si="14">SUM(G175:G177)</f>
        <v>11557178</v>
      </c>
      <c r="H174" s="38">
        <f t="shared" si="14"/>
        <v>362900</v>
      </c>
      <c r="I174" s="38">
        <f t="shared" si="14"/>
        <v>0</v>
      </c>
    </row>
    <row r="175" spans="1:10" s="24" customFormat="1" ht="108">
      <c r="A175" s="20"/>
      <c r="B175" s="20"/>
      <c r="C175" s="33"/>
      <c r="D175" s="54"/>
      <c r="E175" s="64" t="s">
        <v>129</v>
      </c>
      <c r="F175" s="28">
        <f>3707457-49000-40000-42500</f>
        <v>3575957</v>
      </c>
      <c r="G175" s="38">
        <f>3707457-49000-40000-42500</f>
        <v>3575957</v>
      </c>
      <c r="H175" s="38"/>
      <c r="I175" s="38"/>
    </row>
    <row r="176" spans="1:10" s="24" customFormat="1" ht="90">
      <c r="A176" s="20"/>
      <c r="B176" s="20"/>
      <c r="C176" s="33"/>
      <c r="D176" s="27"/>
      <c r="E176" s="64" t="s">
        <v>130</v>
      </c>
      <c r="F176" s="61">
        <f>1520477-282200</f>
        <v>1238277</v>
      </c>
      <c r="G176" s="38">
        <f>1520477-282200</f>
        <v>1238277</v>
      </c>
      <c r="H176" s="38"/>
      <c r="I176" s="38"/>
    </row>
    <row r="177" spans="1:13" s="24" customFormat="1" ht="90">
      <c r="A177" s="20"/>
      <c r="B177" s="20"/>
      <c r="C177" s="33"/>
      <c r="D177" s="27"/>
      <c r="E177" s="27" t="s">
        <v>131</v>
      </c>
      <c r="F177" s="61">
        <v>7105844</v>
      </c>
      <c r="G177" s="38">
        <f>2384785+4358159</f>
        <v>6742944</v>
      </c>
      <c r="H177" s="38">
        <v>362900</v>
      </c>
      <c r="I177" s="38"/>
    </row>
    <row r="178" spans="1:13" s="24" customFormat="1">
      <c r="A178" s="44" t="s">
        <v>282</v>
      </c>
      <c r="B178" s="20" t="s">
        <v>28</v>
      </c>
      <c r="C178" s="20" t="s">
        <v>28</v>
      </c>
      <c r="D178" s="94" t="s">
        <v>284</v>
      </c>
      <c r="E178" s="95"/>
      <c r="F178" s="22">
        <f>F179</f>
        <v>28500</v>
      </c>
      <c r="G178" s="37">
        <f>G179</f>
        <v>28500</v>
      </c>
      <c r="H178" s="39"/>
      <c r="I178" s="39"/>
    </row>
    <row r="179" spans="1:13" s="24" customFormat="1" ht="18" customHeight="1">
      <c r="A179" s="44" t="s">
        <v>283</v>
      </c>
      <c r="B179" s="20" t="s">
        <v>28</v>
      </c>
      <c r="C179" s="20" t="s">
        <v>28</v>
      </c>
      <c r="D179" s="94" t="s">
        <v>284</v>
      </c>
      <c r="E179" s="95"/>
      <c r="F179" s="22">
        <f>F180</f>
        <v>28500</v>
      </c>
      <c r="G179" s="22">
        <f>G180</f>
        <v>28500</v>
      </c>
      <c r="H179" s="39"/>
      <c r="I179" s="39"/>
      <c r="J179" s="5"/>
      <c r="K179" s="5"/>
      <c r="L179" s="5"/>
      <c r="M179" s="5"/>
    </row>
    <row r="180" spans="1:13" s="24" customFormat="1" ht="31.2">
      <c r="A180" s="20" t="s">
        <v>285</v>
      </c>
      <c r="B180" s="20" t="s">
        <v>286</v>
      </c>
      <c r="C180" s="84" t="s">
        <v>115</v>
      </c>
      <c r="D180" s="85" t="s">
        <v>287</v>
      </c>
      <c r="E180" s="91" t="s">
        <v>89</v>
      </c>
      <c r="F180" s="61">
        <v>28500</v>
      </c>
      <c r="G180" s="38">
        <v>28500</v>
      </c>
      <c r="H180" s="38"/>
      <c r="I180" s="38"/>
    </row>
    <row r="181" spans="1:13" s="24" customFormat="1">
      <c r="A181" s="44" t="s">
        <v>27</v>
      </c>
      <c r="B181" s="20" t="s">
        <v>28</v>
      </c>
      <c r="C181" s="20" t="s">
        <v>28</v>
      </c>
      <c r="D181" s="94" t="s">
        <v>29</v>
      </c>
      <c r="E181" s="95"/>
      <c r="F181" s="22">
        <f>F182</f>
        <v>74488223</v>
      </c>
      <c r="G181" s="37">
        <f>G182</f>
        <v>74488223</v>
      </c>
      <c r="H181" s="39"/>
      <c r="I181" s="39"/>
    </row>
    <row r="182" spans="1:13" s="24" customFormat="1">
      <c r="A182" s="44" t="s">
        <v>30</v>
      </c>
      <c r="B182" s="20" t="s">
        <v>28</v>
      </c>
      <c r="C182" s="20" t="s">
        <v>28</v>
      </c>
      <c r="D182" s="94" t="s">
        <v>29</v>
      </c>
      <c r="E182" s="95"/>
      <c r="F182" s="22">
        <f>F183+F186</f>
        <v>74488223</v>
      </c>
      <c r="G182" s="37">
        <f>G183+G186</f>
        <v>74488223</v>
      </c>
      <c r="H182" s="39"/>
      <c r="I182" s="39"/>
      <c r="J182" s="5"/>
      <c r="K182" s="5"/>
      <c r="L182" s="5"/>
      <c r="M182" s="5"/>
    </row>
    <row r="183" spans="1:13" ht="36">
      <c r="A183" s="20" t="s">
        <v>152</v>
      </c>
      <c r="B183" s="45" t="s">
        <v>153</v>
      </c>
      <c r="C183" s="67" t="s">
        <v>33</v>
      </c>
      <c r="D183" s="47" t="s">
        <v>154</v>
      </c>
      <c r="E183" s="47" t="s">
        <v>35</v>
      </c>
      <c r="F183" s="28">
        <f>F184+F185</f>
        <v>2083500</v>
      </c>
      <c r="G183" s="28">
        <f>G184+G185</f>
        <v>2083500</v>
      </c>
      <c r="H183" s="38"/>
      <c r="I183" s="38"/>
      <c r="J183" s="24"/>
      <c r="K183" s="24"/>
      <c r="L183" s="24"/>
      <c r="M183" s="24"/>
    </row>
    <row r="184" spans="1:13" s="24" customFormat="1" ht="72">
      <c r="A184" s="26"/>
      <c r="B184" s="31"/>
      <c r="C184" s="71"/>
      <c r="D184" s="72"/>
      <c r="E184" s="48" t="s">
        <v>132</v>
      </c>
      <c r="F184" s="29">
        <v>1800000</v>
      </c>
      <c r="G184" s="39">
        <v>1800000</v>
      </c>
      <c r="H184" s="39"/>
      <c r="I184" s="39"/>
    </row>
    <row r="185" spans="1:13" s="24" customFormat="1" ht="108">
      <c r="A185" s="26"/>
      <c r="B185" s="31"/>
      <c r="C185" s="71"/>
      <c r="D185" s="72"/>
      <c r="E185" s="48" t="s">
        <v>313</v>
      </c>
      <c r="F185" s="29">
        <v>283500</v>
      </c>
      <c r="G185" s="39">
        <v>283500</v>
      </c>
      <c r="H185" s="39"/>
      <c r="I185" s="39"/>
    </row>
    <row r="186" spans="1:13" s="24" customFormat="1" ht="72">
      <c r="A186" s="20" t="s">
        <v>31</v>
      </c>
      <c r="B186" s="45" t="s">
        <v>32</v>
      </c>
      <c r="C186" s="46" t="s">
        <v>33</v>
      </c>
      <c r="D186" s="47" t="s">
        <v>34</v>
      </c>
      <c r="E186" s="47" t="s">
        <v>35</v>
      </c>
      <c r="F186" s="28">
        <f>F188+F189+F190+F191+F192+F193</f>
        <v>72404723</v>
      </c>
      <c r="G186" s="28">
        <f>G188+G189+G190+G191+G192+G193</f>
        <v>72404723</v>
      </c>
      <c r="H186" s="39"/>
      <c r="I186" s="39"/>
    </row>
    <row r="187" spans="1:13" s="24" customFormat="1">
      <c r="A187" s="20"/>
      <c r="B187" s="45"/>
      <c r="C187" s="46"/>
      <c r="D187" s="47"/>
      <c r="E187" s="47" t="s">
        <v>36</v>
      </c>
      <c r="F187" s="29"/>
      <c r="G187" s="39"/>
      <c r="H187" s="39"/>
      <c r="I187" s="39"/>
    </row>
    <row r="188" spans="1:13" s="24" customFormat="1" ht="108">
      <c r="A188" s="26"/>
      <c r="B188" s="26"/>
      <c r="C188" s="31"/>
      <c r="D188" s="30"/>
      <c r="E188" s="48" t="s">
        <v>37</v>
      </c>
      <c r="F188" s="29">
        <f>1300000+6800000+1902000+4750000+1943963+2204400+5202404+4100000+6000000+10044456+5757500</f>
        <v>50004723</v>
      </c>
      <c r="G188" s="39">
        <f>1300000+6800000+1902000+4750000+1943963+2204400+5202404+4100000+6000000+10044456+5757500</f>
        <v>50004723</v>
      </c>
      <c r="H188" s="39"/>
      <c r="I188" s="39"/>
    </row>
    <row r="189" spans="1:13" s="24" customFormat="1" ht="72">
      <c r="A189" s="26"/>
      <c r="B189" s="26"/>
      <c r="C189" s="31"/>
      <c r="D189" s="30"/>
      <c r="E189" s="48" t="s">
        <v>132</v>
      </c>
      <c r="F189" s="29">
        <f>5000000+3200000+8000000</f>
        <v>16200000</v>
      </c>
      <c r="G189" s="39">
        <f>5000000+3200000+8000000</f>
        <v>16200000</v>
      </c>
      <c r="H189" s="39"/>
      <c r="I189" s="39"/>
    </row>
    <row r="190" spans="1:13" s="24" customFormat="1" ht="54">
      <c r="A190" s="26"/>
      <c r="B190" s="26"/>
      <c r="C190" s="31"/>
      <c r="D190" s="30"/>
      <c r="E190" s="48" t="s">
        <v>133</v>
      </c>
      <c r="F190" s="29">
        <v>1550000</v>
      </c>
      <c r="G190" s="39">
        <v>1550000</v>
      </c>
      <c r="H190" s="39"/>
      <c r="I190" s="39"/>
    </row>
    <row r="191" spans="1:13" s="24" customFormat="1" ht="54">
      <c r="A191" s="26"/>
      <c r="B191" s="26"/>
      <c r="C191" s="31"/>
      <c r="D191" s="30"/>
      <c r="E191" s="48" t="s">
        <v>145</v>
      </c>
      <c r="F191" s="29">
        <v>950000</v>
      </c>
      <c r="G191" s="39">
        <v>950000</v>
      </c>
      <c r="H191" s="39"/>
      <c r="I191" s="39"/>
      <c r="J191" s="5"/>
      <c r="K191" s="5"/>
      <c r="L191" s="5"/>
      <c r="M191" s="5"/>
    </row>
    <row r="192" spans="1:13" s="24" customFormat="1" ht="36">
      <c r="A192" s="26"/>
      <c r="B192" s="26"/>
      <c r="C192" s="31"/>
      <c r="D192" s="30"/>
      <c r="E192" s="48" t="s">
        <v>293</v>
      </c>
      <c r="F192" s="29">
        <v>1000000</v>
      </c>
      <c r="G192" s="39">
        <v>1000000</v>
      </c>
      <c r="H192" s="39"/>
      <c r="I192" s="39"/>
      <c r="J192" s="5"/>
      <c r="K192" s="5"/>
      <c r="L192" s="5"/>
      <c r="M192" s="5"/>
    </row>
    <row r="193" spans="1:13" s="24" customFormat="1" ht="36">
      <c r="A193" s="26"/>
      <c r="B193" s="26"/>
      <c r="C193" s="31"/>
      <c r="D193" s="30"/>
      <c r="E193" s="48" t="s">
        <v>314</v>
      </c>
      <c r="F193" s="29">
        <v>2700000</v>
      </c>
      <c r="G193" s="39">
        <v>2700000</v>
      </c>
      <c r="H193" s="39"/>
      <c r="I193" s="39"/>
      <c r="J193" s="5"/>
      <c r="K193" s="5"/>
      <c r="L193" s="5"/>
      <c r="M193" s="5"/>
    </row>
    <row r="194" spans="1:13" ht="21.6" customHeight="1">
      <c r="A194" s="25"/>
      <c r="B194" s="18"/>
      <c r="C194" s="18"/>
      <c r="D194" s="2"/>
      <c r="E194" s="13" t="s">
        <v>0</v>
      </c>
      <c r="F194" s="32">
        <f>F15+F38+F63+F68+F71+F74+F133+F178+F181</f>
        <v>238010394.12</v>
      </c>
      <c r="G194" s="32">
        <f>G15+G38+G63+G68+G71+G74+G133+G178+G181</f>
        <v>232041640.12</v>
      </c>
      <c r="H194" s="32">
        <f>H15+H38+H63+H68+H71+H74+H133+H178+H181</f>
        <v>362900</v>
      </c>
      <c r="I194" s="32">
        <f>I15+I38+I63+I68+I71+I74+I133+I178+I181</f>
        <v>5605854</v>
      </c>
      <c r="J194" s="21"/>
      <c r="K194" s="21"/>
      <c r="L194" s="21"/>
      <c r="M194" s="21"/>
    </row>
    <row r="195" spans="1:13" s="21" customFormat="1">
      <c r="A195" s="5"/>
      <c r="B195" s="4"/>
      <c r="C195" s="4"/>
      <c r="D195" s="5"/>
      <c r="E195" s="14"/>
      <c r="F195" s="15"/>
      <c r="G195" s="40"/>
      <c r="H195" s="40"/>
      <c r="I195" s="40"/>
      <c r="J195" s="5"/>
      <c r="K195" s="5"/>
      <c r="L195" s="5"/>
      <c r="M195" s="5"/>
    </row>
    <row r="196" spans="1:13">
      <c r="A196" s="23"/>
      <c r="B196" s="21" t="s">
        <v>20</v>
      </c>
      <c r="C196" s="21"/>
      <c r="D196" s="21"/>
      <c r="E196" s="21"/>
      <c r="F196" s="21"/>
    </row>
    <row r="197" spans="1:13">
      <c r="E197" s="73"/>
      <c r="F197" s="1"/>
      <c r="G197" s="41"/>
      <c r="H197" s="41"/>
      <c r="I197" s="41"/>
    </row>
    <row r="198" spans="1:13">
      <c r="E198" s="73"/>
      <c r="F198" s="65"/>
      <c r="G198" s="65"/>
      <c r="H198" s="65"/>
      <c r="I198" s="65"/>
    </row>
    <row r="199" spans="1:13">
      <c r="E199" s="73"/>
      <c r="F199" s="1"/>
      <c r="G199" s="41"/>
      <c r="H199" s="41"/>
      <c r="I199" s="41"/>
    </row>
    <row r="200" spans="1:13">
      <c r="F200" s="1"/>
      <c r="G200" s="41"/>
      <c r="H200" s="41"/>
      <c r="I200" s="41"/>
    </row>
    <row r="201" spans="1:13">
      <c r="F201" s="1"/>
      <c r="G201" s="41"/>
      <c r="I201" s="41"/>
    </row>
    <row r="202" spans="1:13">
      <c r="F202" s="1"/>
      <c r="G202" s="1"/>
      <c r="H202" s="1"/>
      <c r="I202" s="1"/>
    </row>
    <row r="203" spans="1:13">
      <c r="F203" s="1"/>
      <c r="G203" s="41"/>
      <c r="H203" s="41"/>
      <c r="I203" s="41"/>
    </row>
    <row r="204" spans="1:13">
      <c r="F204" s="1"/>
      <c r="G204" s="41"/>
    </row>
  </sheetData>
  <mergeCells count="30">
    <mergeCell ref="D38:E38"/>
    <mergeCell ref="D39:E39"/>
    <mergeCell ref="D74:E74"/>
    <mergeCell ref="D15:E15"/>
    <mergeCell ref="D16:E16"/>
    <mergeCell ref="D63:E63"/>
    <mergeCell ref="D64:E64"/>
    <mergeCell ref="D66:E66"/>
    <mergeCell ref="D67:E67"/>
    <mergeCell ref="D71:E71"/>
    <mergeCell ref="D72:E72"/>
    <mergeCell ref="D68:E68"/>
    <mergeCell ref="D69:E69"/>
    <mergeCell ref="A8:B8"/>
    <mergeCell ref="A9:B9"/>
    <mergeCell ref="A10:I10"/>
    <mergeCell ref="A12:A13"/>
    <mergeCell ref="B12:B13"/>
    <mergeCell ref="C12:C13"/>
    <mergeCell ref="D12:D13"/>
    <mergeCell ref="E12:E13"/>
    <mergeCell ref="F12:F13"/>
    <mergeCell ref="G12:I12"/>
    <mergeCell ref="D75:E75"/>
    <mergeCell ref="D133:E133"/>
    <mergeCell ref="D134:E134"/>
    <mergeCell ref="D181:E181"/>
    <mergeCell ref="D182:E182"/>
    <mergeCell ref="D178:E178"/>
    <mergeCell ref="D179:E179"/>
  </mergeCells>
  <pageMargins left="0.19685039370078741" right="0.19685039370078741" top="0.59055118110236227" bottom="0.59055118110236227" header="0" footer="0"/>
  <pageSetup paperSize="9" scale="54" fitToHeight="9" orientation="portrait" r:id="rId1"/>
  <headerFooter differentFirst="1">
    <oddHeader>&amp;C&amp;P</oddHeader>
  </headerFooter>
  <colBreaks count="1" manualBreakCount="1">
    <brk id="6" max="10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2024</vt:lpstr>
      <vt:lpstr>'2024'!Заголовки_для_друку</vt:lpstr>
      <vt:lpstr>'2024'!Область_друку</vt:lpstr>
    </vt:vector>
  </TitlesOfParts>
  <Company>УКХиЭ</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dc:creator>
  <cp:lastModifiedBy>220FU6</cp:lastModifiedBy>
  <cp:lastPrinted>2024-09-23T06:54:54Z</cp:lastPrinted>
  <dcterms:created xsi:type="dcterms:W3CDTF">2005-08-15T04:40:30Z</dcterms:created>
  <dcterms:modified xsi:type="dcterms:W3CDTF">2024-11-25T11:21:10Z</dcterms:modified>
</cp:coreProperties>
</file>