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08" windowWidth="15120" windowHeight="8016"/>
  </bookViews>
  <sheets>
    <sheet name="2024" sheetId="11" r:id="rId1"/>
  </sheets>
  <definedNames>
    <definedName name="_Hlk183088685" localSheetId="0">'2024'!$F$153</definedName>
    <definedName name="_xlnm._FilterDatabase" localSheetId="0" hidden="1">'2024'!$A$9:$K$192</definedName>
    <definedName name="_xlnm.Print_Titles" localSheetId="0">'2024'!$13:$15</definedName>
    <definedName name="_xlnm.Print_Area" localSheetId="0">'2024'!$A$1:$K$190</definedName>
  </definedNames>
  <calcPr calcId="152511"/>
</workbook>
</file>

<file path=xl/calcChain.xml><?xml version="1.0" encoding="utf-8"?>
<calcChain xmlns="http://schemas.openxmlformats.org/spreadsheetml/2006/main">
  <c r="K106" i="11" l="1"/>
  <c r="J106" i="11"/>
  <c r="I106" i="11"/>
  <c r="K132" i="11" l="1"/>
  <c r="J132" i="11"/>
  <c r="K46" i="11" l="1"/>
  <c r="J46" i="11"/>
  <c r="I56" i="11" l="1"/>
  <c r="I161" i="11" l="1"/>
  <c r="J161" i="11"/>
  <c r="K161" i="11"/>
  <c r="H46" i="11"/>
  <c r="H161" i="11" s="1"/>
  <c r="I177" i="11"/>
  <c r="I38" i="11" l="1"/>
  <c r="I188" i="11"/>
  <c r="J188" i="11"/>
  <c r="K188" i="11"/>
  <c r="H188" i="11"/>
  <c r="H153" i="11"/>
  <c r="H141" i="11" s="1"/>
  <c r="I141" i="11"/>
  <c r="J141" i="11"/>
  <c r="K141" i="11"/>
  <c r="I147" i="11"/>
  <c r="I142" i="11"/>
  <c r="K133" i="11"/>
  <c r="J133" i="11"/>
  <c r="K129" i="11"/>
  <c r="J129" i="11"/>
  <c r="K123" i="11"/>
  <c r="J123" i="11"/>
  <c r="K119" i="11"/>
  <c r="J119" i="11"/>
  <c r="K117" i="11"/>
  <c r="J117" i="11"/>
  <c r="I112" i="11"/>
  <c r="I111" i="11"/>
  <c r="K109" i="11"/>
  <c r="J109" i="11"/>
  <c r="I108" i="11"/>
  <c r="I101" i="11"/>
  <c r="K56" i="11"/>
  <c r="J56" i="11"/>
  <c r="K36" i="11"/>
  <c r="J36" i="11"/>
  <c r="I84" i="11"/>
  <c r="I138" i="11"/>
  <c r="I31" i="11"/>
  <c r="I28" i="11"/>
  <c r="I27" i="11"/>
  <c r="I23" i="11"/>
  <c r="I22" i="11"/>
  <c r="K21" i="11"/>
  <c r="J21" i="11"/>
  <c r="I21" i="11"/>
  <c r="I20" i="11"/>
  <c r="I69" i="11" l="1"/>
  <c r="I70" i="11"/>
  <c r="I66" i="11" l="1"/>
  <c r="I65" i="11"/>
  <c r="I64" i="11"/>
  <c r="I63" i="11"/>
  <c r="I61" i="11" l="1"/>
  <c r="I60" i="11"/>
  <c r="I59" i="11"/>
  <c r="J162" i="11" l="1"/>
  <c r="K162" i="11"/>
  <c r="I162" i="11"/>
  <c r="K147" i="11"/>
  <c r="J147" i="11"/>
  <c r="H130" i="11"/>
  <c r="K100" i="11" l="1"/>
  <c r="J100" i="11"/>
  <c r="I164" i="11" l="1"/>
  <c r="H120" i="11"/>
  <c r="I41" i="11"/>
  <c r="I18" i="11"/>
  <c r="H18" i="11"/>
  <c r="I73" i="11" l="1"/>
  <c r="J73" i="11"/>
  <c r="K73" i="11"/>
  <c r="I187" i="11"/>
  <c r="J187" i="11"/>
  <c r="K187" i="11"/>
  <c r="H152" i="11"/>
  <c r="H187" i="11" s="1"/>
  <c r="K125" i="11" l="1"/>
  <c r="J125" i="11"/>
  <c r="J110" i="11"/>
  <c r="K105" i="11"/>
  <c r="J105" i="11"/>
  <c r="K102" i="11"/>
  <c r="J102" i="11"/>
  <c r="I173" i="11"/>
  <c r="J173" i="11"/>
  <c r="K173" i="11"/>
  <c r="H75" i="11"/>
  <c r="H173" i="11" s="1"/>
  <c r="I68" i="11"/>
  <c r="I52" i="11"/>
  <c r="H51" i="11"/>
  <c r="J50" i="11"/>
  <c r="H50" i="11" s="1"/>
  <c r="K49" i="11"/>
  <c r="J49" i="11"/>
  <c r="H49" i="11" s="1"/>
  <c r="I42" i="11"/>
  <c r="K38" i="11"/>
  <c r="J38" i="11"/>
  <c r="I30" i="11"/>
  <c r="I25" i="11"/>
  <c r="I186" i="11" s="1"/>
  <c r="I19" i="11" l="1"/>
  <c r="H55" i="11" l="1"/>
  <c r="K25" i="11"/>
  <c r="K186" i="11" s="1"/>
  <c r="J25" i="11"/>
  <c r="J186" i="11" s="1"/>
  <c r="I165" i="11" l="1"/>
  <c r="J165" i="11"/>
  <c r="K165" i="11"/>
  <c r="H43" i="11"/>
  <c r="I89" i="11" l="1"/>
  <c r="I88" i="11"/>
  <c r="I183" i="11" l="1"/>
  <c r="I116" i="11"/>
  <c r="H134" i="11"/>
  <c r="H124" i="11" l="1"/>
  <c r="H125" i="11"/>
  <c r="I156" i="11"/>
  <c r="I189" i="11" s="1"/>
  <c r="H121" i="11"/>
  <c r="K112" i="11"/>
  <c r="J112" i="11"/>
  <c r="I176" i="11"/>
  <c r="J176" i="11"/>
  <c r="K176" i="11"/>
  <c r="H109" i="11"/>
  <c r="H108" i="11"/>
  <c r="H105" i="11"/>
  <c r="K98" i="11"/>
  <c r="J98" i="11"/>
  <c r="K97" i="11"/>
  <c r="J97" i="11"/>
  <c r="I77" i="11"/>
  <c r="J77" i="11"/>
  <c r="K77" i="11"/>
  <c r="I58" i="11"/>
  <c r="H85" i="11"/>
  <c r="I78" i="11"/>
  <c r="H71" i="11"/>
  <c r="H47" i="11"/>
  <c r="H48" i="11"/>
  <c r="J32" i="11" l="1"/>
  <c r="I29" i="11"/>
  <c r="H25" i="11"/>
  <c r="H186" i="11" s="1"/>
  <c r="K19" i="11" l="1"/>
  <c r="K17" i="11" s="1"/>
  <c r="J19" i="11"/>
  <c r="J17" i="11" s="1"/>
  <c r="I93" i="11" l="1"/>
  <c r="I91" i="11"/>
  <c r="I185" i="11" l="1"/>
  <c r="J185" i="11"/>
  <c r="K185" i="11"/>
  <c r="I95" i="11"/>
  <c r="H104" i="11"/>
  <c r="H185" i="11" s="1"/>
  <c r="I160" i="11" l="1"/>
  <c r="K148" i="11" l="1"/>
  <c r="J148" i="11"/>
  <c r="J160" i="11" l="1"/>
  <c r="K160" i="11"/>
  <c r="K127" i="11"/>
  <c r="K164" i="11" s="1"/>
  <c r="J127" i="11"/>
  <c r="J164" i="11" s="1"/>
  <c r="H45" i="11" l="1"/>
  <c r="J156" i="11" l="1"/>
  <c r="J95" i="11"/>
  <c r="K156" i="11"/>
  <c r="K95" i="11"/>
  <c r="K122" i="11"/>
  <c r="K116" i="11" s="1"/>
  <c r="J122" i="11"/>
  <c r="J116" i="11" s="1"/>
  <c r="H100" i="11"/>
  <c r="J158" i="11" l="1"/>
  <c r="K158" i="11"/>
  <c r="H30" i="11" l="1"/>
  <c r="I184" i="11" l="1"/>
  <c r="J184" i="11"/>
  <c r="K184" i="11"/>
  <c r="H99" i="11"/>
  <c r="H184" i="11" s="1"/>
  <c r="K37" i="11" l="1"/>
  <c r="J37" i="11"/>
  <c r="J183" i="11" l="1"/>
  <c r="J189" i="11" s="1"/>
  <c r="H189" i="11" s="1"/>
  <c r="K183" i="11"/>
  <c r="K189" i="11" s="1"/>
  <c r="H37" i="11"/>
  <c r="H24" i="11"/>
  <c r="H32" i="11"/>
  <c r="H129" i="11"/>
  <c r="H114" i="11" l="1"/>
  <c r="J169" i="11" l="1"/>
  <c r="K169" i="11"/>
  <c r="I44" i="11"/>
  <c r="H44" i="11" l="1"/>
  <c r="I34" i="11"/>
  <c r="I169" i="11"/>
  <c r="H41" i="11"/>
  <c r="K175" i="11"/>
  <c r="J175" i="11"/>
  <c r="K177" i="11"/>
  <c r="J177" i="11"/>
  <c r="I175" i="11"/>
  <c r="H146" i="11"/>
  <c r="H177" i="11" l="1"/>
  <c r="I158" i="11"/>
  <c r="I150" i="11" l="1"/>
  <c r="H151" i="11"/>
  <c r="H145" i="11"/>
  <c r="H126" i="11"/>
  <c r="I17" i="11" l="1"/>
  <c r="H27" i="11"/>
  <c r="I182" i="11" l="1"/>
  <c r="J182" i="11"/>
  <c r="K182" i="11"/>
  <c r="I181" i="11"/>
  <c r="J181" i="11"/>
  <c r="K181" i="11"/>
  <c r="H150" i="11"/>
  <c r="H182" i="11" s="1"/>
  <c r="H149" i="11"/>
  <c r="H181" i="11" s="1"/>
  <c r="H148" i="11"/>
  <c r="H175" i="11" s="1"/>
  <c r="I157" i="11"/>
  <c r="J157" i="11"/>
  <c r="K157" i="11"/>
  <c r="I115" i="11"/>
  <c r="J115" i="11"/>
  <c r="K115" i="11"/>
  <c r="H133" i="11"/>
  <c r="H132" i="11"/>
  <c r="H131" i="11"/>
  <c r="H128" i="11"/>
  <c r="H127" i="11"/>
  <c r="H164" i="11" s="1"/>
  <c r="H123" i="11"/>
  <c r="H122" i="11"/>
  <c r="H119" i="11"/>
  <c r="H118" i="11"/>
  <c r="H117" i="11"/>
  <c r="I172" i="11"/>
  <c r="J172" i="11"/>
  <c r="K172" i="11"/>
  <c r="H110" i="11"/>
  <c r="H102" i="11"/>
  <c r="H98" i="11"/>
  <c r="H101" i="11"/>
  <c r="H103" i="11"/>
  <c r="H116" i="11" l="1"/>
  <c r="H115" i="11" s="1"/>
  <c r="H183" i="11"/>
  <c r="H157" i="11"/>
  <c r="H97" i="11"/>
  <c r="H172" i="11" s="1"/>
  <c r="H56" i="11" l="1"/>
  <c r="H36" i="11"/>
  <c r="H26" i="11"/>
  <c r="H31" i="11" l="1"/>
  <c r="H113" i="11"/>
  <c r="H147" i="11"/>
  <c r="I178" i="11" l="1"/>
  <c r="J178" i="11"/>
  <c r="K178" i="11"/>
  <c r="H96" i="11"/>
  <c r="H178" i="11" l="1"/>
  <c r="H70" i="11"/>
  <c r="I159" i="11" l="1"/>
  <c r="J159" i="11"/>
  <c r="K159" i="11"/>
  <c r="I167" i="11" l="1"/>
  <c r="J167" i="11"/>
  <c r="K167" i="11"/>
  <c r="H79" i="11" l="1"/>
  <c r="H81" i="11" l="1"/>
  <c r="H82" i="11"/>
  <c r="H83" i="11"/>
  <c r="I168" i="11" l="1"/>
  <c r="J168" i="11"/>
  <c r="K168" i="11"/>
  <c r="I180" i="11"/>
  <c r="J180" i="11"/>
  <c r="K180" i="11"/>
  <c r="I166" i="11"/>
  <c r="J166" i="11"/>
  <c r="K166" i="11"/>
  <c r="I163" i="11"/>
  <c r="J163" i="11"/>
  <c r="K163" i="11"/>
  <c r="K42" i="11" l="1"/>
  <c r="J42" i="11"/>
  <c r="J34" i="11" l="1"/>
  <c r="K34" i="11"/>
  <c r="H42" i="11"/>
  <c r="H144" i="11" l="1"/>
  <c r="I72" i="11" l="1"/>
  <c r="J72" i="11"/>
  <c r="K72" i="11"/>
  <c r="H74" i="11"/>
  <c r="H73" i="11" s="1"/>
  <c r="H72" i="11" l="1"/>
  <c r="I136" i="11"/>
  <c r="J174" i="11" l="1"/>
  <c r="H174" i="11" s="1"/>
  <c r="K179" i="11"/>
  <c r="J179" i="11"/>
  <c r="I179" i="11"/>
  <c r="K171" i="11"/>
  <c r="J171" i="11"/>
  <c r="K170" i="11"/>
  <c r="J170" i="11"/>
  <c r="I170" i="11"/>
  <c r="I155" i="11"/>
  <c r="H143" i="11"/>
  <c r="H180" i="11" s="1"/>
  <c r="H142" i="11"/>
  <c r="H139" i="11"/>
  <c r="J137" i="11"/>
  <c r="H137" i="11" s="1"/>
  <c r="K136" i="11"/>
  <c r="K135" i="11" s="1"/>
  <c r="H111" i="11"/>
  <c r="H107" i="11"/>
  <c r="H93" i="11"/>
  <c r="H92" i="11"/>
  <c r="H91" i="11"/>
  <c r="H90" i="11"/>
  <c r="H89" i="11"/>
  <c r="H88" i="11"/>
  <c r="H84" i="11"/>
  <c r="H80" i="11"/>
  <c r="H78" i="11"/>
  <c r="K76" i="11"/>
  <c r="H69" i="11"/>
  <c r="H68" i="11"/>
  <c r="H67" i="11"/>
  <c r="H66" i="11"/>
  <c r="H64" i="11"/>
  <c r="H63" i="11"/>
  <c r="H62" i="11"/>
  <c r="H61" i="11"/>
  <c r="H60" i="11"/>
  <c r="H59" i="11"/>
  <c r="K58" i="11"/>
  <c r="K57" i="11" s="1"/>
  <c r="H53" i="11"/>
  <c r="H155" i="11" s="1"/>
  <c r="H52" i="11"/>
  <c r="H40" i="11"/>
  <c r="H170" i="11" s="1"/>
  <c r="H39" i="11"/>
  <c r="H35" i="11"/>
  <c r="K33" i="11"/>
  <c r="I171" i="11"/>
  <c r="H23" i="11"/>
  <c r="H22" i="11"/>
  <c r="H21" i="11"/>
  <c r="H165" i="11" l="1"/>
  <c r="H169" i="11"/>
  <c r="H77" i="11"/>
  <c r="H76" i="11" s="1"/>
  <c r="H158" i="11"/>
  <c r="H167" i="11"/>
  <c r="H179" i="11"/>
  <c r="H166" i="11"/>
  <c r="H168" i="11"/>
  <c r="K16" i="11"/>
  <c r="K94" i="11"/>
  <c r="H28" i="11"/>
  <c r="H163" i="11" s="1"/>
  <c r="I16" i="11"/>
  <c r="J140" i="11"/>
  <c r="H65" i="11"/>
  <c r="H58" i="11" s="1"/>
  <c r="K140" i="11"/>
  <c r="H138" i="11"/>
  <c r="H136" i="11" s="1"/>
  <c r="H135" i="11" s="1"/>
  <c r="J58" i="11"/>
  <c r="J57" i="11" s="1"/>
  <c r="I94" i="11"/>
  <c r="H38" i="11"/>
  <c r="H54" i="11"/>
  <c r="J76" i="11"/>
  <c r="H87" i="11"/>
  <c r="H86" i="11" s="1"/>
  <c r="J33" i="11"/>
  <c r="H29" i="11"/>
  <c r="H112" i="11"/>
  <c r="H162" i="11" s="1"/>
  <c r="J136" i="11"/>
  <c r="J135" i="11" s="1"/>
  <c r="I57" i="11"/>
  <c r="I140" i="11"/>
  <c r="I33" i="11"/>
  <c r="I135" i="11"/>
  <c r="I76" i="11"/>
  <c r="H19" i="11"/>
  <c r="I87" i="11"/>
  <c r="I86" i="11" s="1"/>
  <c r="H34" i="11" l="1"/>
  <c r="H33" i="11" s="1"/>
  <c r="H176" i="11"/>
  <c r="H171" i="11"/>
  <c r="K154" i="11"/>
  <c r="K191" i="11" s="1"/>
  <c r="I154" i="11"/>
  <c r="H159" i="11"/>
  <c r="J16" i="11"/>
  <c r="H20" i="11"/>
  <c r="H17" i="11" s="1"/>
  <c r="H106" i="11"/>
  <c r="H156" i="11" s="1"/>
  <c r="J94" i="11"/>
  <c r="H140" i="11"/>
  <c r="H57" i="11"/>
  <c r="H95" i="11" l="1"/>
  <c r="H94" i="11" s="1"/>
  <c r="H16" i="11"/>
  <c r="H160" i="11"/>
  <c r="J154" i="11"/>
  <c r="J191" i="11" s="1"/>
  <c r="H154" i="11" l="1"/>
  <c r="H194" i="11"/>
  <c r="J194" i="11"/>
</calcChain>
</file>

<file path=xl/sharedStrings.xml><?xml version="1.0" encoding="utf-8"?>
<sst xmlns="http://schemas.openxmlformats.org/spreadsheetml/2006/main" count="805" uniqueCount="372">
  <si>
    <t>Усього</t>
  </si>
  <si>
    <t>Загальний фонд</t>
  </si>
  <si>
    <t>Спеціальний фонд</t>
  </si>
  <si>
    <t>усього</t>
  </si>
  <si>
    <t>у тому числі бюджет розвитку</t>
  </si>
  <si>
    <t>0600000</t>
  </si>
  <si>
    <t>0610000</t>
  </si>
  <si>
    <t>0611010</t>
  </si>
  <si>
    <t>Надання дошкільної освіти</t>
  </si>
  <si>
    <t>Код Функціональної класифікації видатків та кредитування бюджету</t>
  </si>
  <si>
    <t>0200000</t>
  </si>
  <si>
    <t>0210000</t>
  </si>
  <si>
    <t>1200000</t>
  </si>
  <si>
    <t>1210000</t>
  </si>
  <si>
    <t xml:space="preserve">Інші заходи у сфері соціального захисту і соціального забезпечення </t>
  </si>
  <si>
    <t>0910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</si>
  <si>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</si>
  <si>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0800000</t>
  </si>
  <si>
    <t>0810000</t>
  </si>
  <si>
    <t>1216030</t>
  </si>
  <si>
    <t>0620</t>
  </si>
  <si>
    <t>0490</t>
  </si>
  <si>
    <t>1100000</t>
  </si>
  <si>
    <t>1110000</t>
  </si>
  <si>
    <t>0613242</t>
  </si>
  <si>
    <t>0813121</t>
  </si>
  <si>
    <t>3140</t>
  </si>
  <si>
    <t>1040</t>
  </si>
  <si>
    <t>Міська програма соціального захисту ветеранів педагогічної праці</t>
  </si>
  <si>
    <t>1010</t>
  </si>
  <si>
    <t>Організація благоустрою  населених пунктів</t>
  </si>
  <si>
    <t>1216017</t>
  </si>
  <si>
    <t>0456</t>
  </si>
  <si>
    <t>1217461</t>
  </si>
  <si>
    <t>Утримання та розвиток автомобільних доріг та дорожньої інфраструктури за рахунок коштів місцевого бюджету</t>
  </si>
  <si>
    <t>7693</t>
  </si>
  <si>
    <t>1115061</t>
  </si>
  <si>
    <t>5061</t>
  </si>
  <si>
    <t>0810</t>
  </si>
  <si>
    <t>3100000</t>
  </si>
  <si>
    <t>3110000</t>
  </si>
  <si>
    <t>3117693</t>
  </si>
  <si>
    <t>1113133</t>
  </si>
  <si>
    <t>3133</t>
  </si>
  <si>
    <t>Інші заходи та заклади молодіжної політики</t>
  </si>
  <si>
    <t>0921</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</si>
  <si>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</si>
  <si>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</si>
  <si>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</si>
  <si>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</si>
  <si>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Найменування міської програми</t>
  </si>
  <si>
    <t>Найменування головного розпорядника коштів міського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</si>
  <si>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Дата і номер документа, яким затверджено міську програму</t>
  </si>
  <si>
    <t>Інші заходи, пов'язані в економічною діяльністю</t>
  </si>
  <si>
    <t>3121</t>
  </si>
  <si>
    <t>6030</t>
  </si>
  <si>
    <t>6017</t>
  </si>
  <si>
    <t>Інша діяльність, пов'язана з експлуатацією об'єктів житлово - комунального господарства</t>
  </si>
  <si>
    <t>7461</t>
  </si>
  <si>
    <t>Надання загальної середньої освіти закладами загальної середньої освіти</t>
  </si>
  <si>
    <t>0611021</t>
  </si>
  <si>
    <t>1021</t>
  </si>
  <si>
    <t xml:space="preserve">Утримання та забезпечення діяльності центрів соціальних служб </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</si>
  <si>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</si>
  <si>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0212010</t>
  </si>
  <si>
    <t>2010</t>
  </si>
  <si>
    <t>0731</t>
  </si>
  <si>
    <t>Багатопрофільна стаціонарна медична допомога населенню</t>
  </si>
  <si>
    <t>0212100</t>
  </si>
  <si>
    <t>2100</t>
  </si>
  <si>
    <t>0722</t>
  </si>
  <si>
    <t>Стоматологічна допомога населенню</t>
  </si>
  <si>
    <t>0212152</t>
  </si>
  <si>
    <t>2152</t>
  </si>
  <si>
    <t>0763</t>
  </si>
  <si>
    <t>Інші програми та заходи у сфері охорони здоров’я</t>
  </si>
  <si>
    <t>3112</t>
  </si>
  <si>
    <t>Заходи державної політики з питань дітей та їх соціального захисту</t>
  </si>
  <si>
    <t>Міська цільова програма соціального  захисту та надання соціальних послуг населенню Чорноморської міської територіальної громади на 2021-2025 роки</t>
  </si>
  <si>
    <t>0213242</t>
  </si>
  <si>
    <t>3242</t>
  </si>
  <si>
    <t>1090</t>
  </si>
  <si>
    <t>Інші заходи у сфері соціального захисту і соціального забезпечення</t>
  </si>
  <si>
    <t>0218230</t>
  </si>
  <si>
    <t>8230</t>
  </si>
  <si>
    <t>0380</t>
  </si>
  <si>
    <t>Інші заходи громадського порядку та безпеки</t>
  </si>
  <si>
    <t>0813031</t>
  </si>
  <si>
    <t>3031</t>
  </si>
  <si>
    <t>1030</t>
  </si>
  <si>
    <t>Надання інших пільг окремим категоріям громадян відповідно до законодавства</t>
  </si>
  <si>
    <t>Міська програма підтримки населення Чорноморської міської територіальної громади, які підпадають під дію Закону України "Про статус ветеранів війни, гарантії їх соціального захисту" на 2021 – 2025 роки</t>
  </si>
  <si>
    <t xml:space="preserve"> 24.12.2020р.
№ 15-VIII </t>
  </si>
  <si>
    <t>0813032</t>
  </si>
  <si>
    <t>3032</t>
  </si>
  <si>
    <t>Надання пільг окремим категоріям громадян з оплати послуг зв'язку</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</si>
  <si>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</si>
  <si>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</si>
  <si>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</si>
  <si>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0813180</t>
  </si>
  <si>
    <t>3180</t>
  </si>
  <si>
    <t>1060</t>
  </si>
  <si>
    <t xml:space="preserve">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t>
  </si>
  <si>
    <t>0813192</t>
  </si>
  <si>
    <t>3192</t>
  </si>
  <si>
    <t>Надання фінансової підтримки громадським об'єднанням ветеранів і осіб з інвалідністю, діяльність яких має соціальну спрямованість</t>
  </si>
  <si>
    <t>0813242</t>
  </si>
  <si>
    <t>0813123</t>
  </si>
  <si>
    <t>3123</t>
  </si>
  <si>
    <t>Заходи державної політики з питань сім'ї</t>
  </si>
  <si>
    <t>1115011</t>
  </si>
  <si>
    <t>5011</t>
  </si>
  <si>
    <t>Проведення навчально-тренувальних зборів і змагань з олімпійських видів спорту</t>
  </si>
  <si>
    <t>5012</t>
  </si>
  <si>
    <t>1115012</t>
  </si>
  <si>
    <t>Проведення навчально-тренувальних зборів і змагань з неолімпійських видів спорту</t>
  </si>
  <si>
    <t>1216015</t>
  </si>
  <si>
    <t>6015</t>
  </si>
  <si>
    <t>Забезпечення надійної та безперебійної експлуатації ліфтів</t>
  </si>
  <si>
    <t>Міська цільова програма розвитку освіти міста Чорноморська на 2021-2025 роки</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</si>
  <si>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</si>
  <si>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</si>
  <si>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</si>
  <si>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</si>
  <si>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1070</t>
  </si>
  <si>
    <t>1000000</t>
  </si>
  <si>
    <t>1010000</t>
  </si>
  <si>
    <t>1010180</t>
  </si>
  <si>
    <t>0180</t>
  </si>
  <si>
    <t>0133</t>
  </si>
  <si>
    <t>Інша діяльність у сфері державного управління</t>
  </si>
  <si>
    <t>1014030</t>
  </si>
  <si>
    <t>4030</t>
  </si>
  <si>
    <t>0824</t>
  </si>
  <si>
    <t>Забезпечення діяльності бібліотек</t>
  </si>
  <si>
    <t>1014040</t>
  </si>
  <si>
    <t>4040</t>
  </si>
  <si>
    <t>Забезпечення діяльності музеїв і виставок</t>
  </si>
  <si>
    <t>1014060</t>
  </si>
  <si>
    <t>4060</t>
  </si>
  <si>
    <t>0828</t>
  </si>
  <si>
    <t>Забезпечення діяльності палаців і будинків культури, клубів, центрів дозвілля та інших клубних закладів</t>
  </si>
  <si>
    <t>1014082</t>
  </si>
  <si>
    <t>4082</t>
  </si>
  <si>
    <t>0829</t>
  </si>
  <si>
    <t>Інші заходи в галузі культури і мистецтва</t>
  </si>
  <si>
    <t>Виконавчий комітет Чорноморської міської ради  Одеського району Одеської області</t>
  </si>
  <si>
    <t>Управління соціальної політики Чорноморської міської ради Одеського району Одеської області</t>
  </si>
  <si>
    <t>Відділ культури Чорноморської міської ради Одеського району Одеської області</t>
  </si>
  <si>
    <t>Міська цільова програма розвитку культури та мистецтва Чорноморської  міської  територіальної громади на  2022 – 2025 роки</t>
  </si>
  <si>
    <t>Відділ комунального господарства та благоустрою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</si>
  <si>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t>
  </si>
  <si>
    <t>0212111</t>
  </si>
  <si>
    <t>0726</t>
  </si>
  <si>
    <t>Первинна медична допомога населенню, що надається центрами первинної медичної (медико-санітарної) допомоги</t>
  </si>
  <si>
    <t xml:space="preserve">Міська цільова соціальна програма розвитку цивільного захисту Чорноморської міської територіальної громади на 2021-2025 роки </t>
  </si>
  <si>
    <t>Відділ молоді та спорту Чорноморської міської ради Одеського району Одеської області</t>
  </si>
  <si>
    <t>8240</t>
  </si>
  <si>
    <t>Заходи та роботи з територіальної оборони</t>
  </si>
  <si>
    <t>Міська цільова програма підтримки молодих педагогічних кадрів Чорноморської міської територіальної громади на 2022 - 2025 роки</t>
  </si>
  <si>
    <t>04.02.2022р.
№ 172-VIII</t>
  </si>
  <si>
    <t>04.02.2022р. 
№ 172-VIII</t>
  </si>
  <si>
    <t>Міська цільова програма розвитку фізичної культури і спорту на території Чорноморської міської територіальної громади на 2022-2025 роки</t>
  </si>
  <si>
    <t>Міська цільова соціальна програма розвитку цивільного захисту Чорноморської міської територіальної громади на 2021-2025 роки</t>
  </si>
  <si>
    <t>0320</t>
  </si>
  <si>
    <t>Заходи із запобігання та ліквідації надзвичайних ситуацій та наслідків стихійного лиха</t>
  </si>
  <si>
    <t>0813230</t>
  </si>
  <si>
    <t>3230</t>
  </si>
  <si>
    <t>Видатки, пов'язані з наданням підтримки внутрішньо переміщеним та/або евакуйованим особам у зв'язку із введенням воєнного стану</t>
  </si>
  <si>
    <t xml:space="preserve">Міська цільова програма "Молодь Чорноморська" на 2022-2025 роки </t>
  </si>
  <si>
    <t>Міська цільова програма відпочинку та оздоровлення дітей на 2022-2025 роки</t>
  </si>
  <si>
    <t>Міська цільова програма "Молодь Чорноморська" на 2022-2025 роки</t>
  </si>
  <si>
    <t>24.12.2020р.
№ 17-VIII 
(зі змінами)</t>
  </si>
  <si>
    <t>24.12.2020р.
№ 16-VIII 
(зі змінами)</t>
  </si>
  <si>
    <t>24.12.2020р.
№ 16-VIII  
(зі змінами)</t>
  </si>
  <si>
    <t>30.03.2021р. 
№ 27-VIII 
(зі змінами)</t>
  </si>
  <si>
    <t xml:space="preserve"> 30.03.2021р.
№ 25-VIII 
(зі змінами)</t>
  </si>
  <si>
    <t xml:space="preserve"> 24.12.2020р. 
№ 16-VIII 
(зі змінами)</t>
  </si>
  <si>
    <t>09.01.2006р. 
№ 511-IV 
(зі змінами)</t>
  </si>
  <si>
    <t xml:space="preserve"> 24.12.2020р.
№ 16-VIII 
(зі змінами)</t>
  </si>
  <si>
    <t>24.12.2020р.
№ 15-VIII 
(зі змінами)</t>
  </si>
  <si>
    <t>09.01.2006р. 
№ 511-IV
(зі змінами)</t>
  </si>
  <si>
    <t xml:space="preserve"> 24.12.2020р.
№ 15-VIII 
(зі змінами)</t>
  </si>
  <si>
    <t>19.12.2018 р. 
№ 371- VII
(зі змінами)</t>
  </si>
  <si>
    <t>0613140</t>
  </si>
  <si>
    <t>12.07.2022р.
№222 
(зі змінами)</t>
  </si>
  <si>
    <t>Міська цільова програма розвитку і функціонування української мови як державної на території Чорноморської міської територіальної громади на 2022-2025 роки</t>
  </si>
  <si>
    <t>1217693</t>
  </si>
  <si>
    <t>04.02.2022р. 
№ 182-VIII
(зі змінами)</t>
  </si>
  <si>
    <t>Міська цільова програма з функціонування інтегрованої системи відеоспостереження та відеоаналітики Чорноморської міської територальної громади на 2023 - 2025 роки</t>
  </si>
  <si>
    <t>3118240</t>
  </si>
  <si>
    <t>Фінансове управління Чорноморської міської ради Одеського району Одеської області</t>
  </si>
  <si>
    <t>3710000</t>
  </si>
  <si>
    <t>3700000</t>
  </si>
  <si>
    <t>0443</t>
  </si>
  <si>
    <t>1110180</t>
  </si>
  <si>
    <t>0218220</t>
  </si>
  <si>
    <t>Заходи та роботи з мобілізаційної підготовки місцевого значення</t>
  </si>
  <si>
    <t>Міська програма підтримки Першого відділу Одеського районного територіального центру комплектування та соціальної підтримки, проведення мобілізаційної підготовки військовозобов’язаних м. Чорноморська та забезпечення заходів, пов’язаних із виконанням військового обов’язку, призовом громадян України на строкову військову службу до лав Збройних Сил України та інших військових формувань на 2021-2025 роки</t>
  </si>
  <si>
    <t>30.03.2021р. 
№ 31-VIII 
(зі змінами)</t>
  </si>
  <si>
    <t>04.02.2022р. 
№ 180-VIIІ
(зі змінами)</t>
  </si>
  <si>
    <t>04.02.2022р. 
№ 181-VIII
(зі змінами)</t>
  </si>
  <si>
    <t>20.12.2022р. 
№ 279-VIII 
(зі змінами)</t>
  </si>
  <si>
    <t>Управління освіти Чорноморської міської ради  Одеського району Одеської області</t>
  </si>
  <si>
    <t>12.09.2019р. 
№ 485-VII
(зі змінами)</t>
  </si>
  <si>
    <t>3117350</t>
  </si>
  <si>
    <t>7350</t>
  </si>
  <si>
    <t>Розроблення схем планування та забудови територій (містобудівної документації)</t>
  </si>
  <si>
    <t>Інша субвенція районному бюджету Одеського району</t>
  </si>
  <si>
    <t xml:space="preserve">Міська цільова програма проведення технічної інвентаризації та виготовлення технічних паспортів багатоквартирних житлових будинків, які розташовані на території Чорноморської міської ради    Одеського району Одеської області  та знаходяться в управлінні комунального підприємства «Міське управління житлово - комунального господарства», на 2023 – 2025 роки. </t>
  </si>
  <si>
    <t>Програма модернізації ліфтового господарства Чорноморської міської ради Одеського району Одеської області на 2019 - 2025 роки</t>
  </si>
  <si>
    <t>1013140</t>
  </si>
  <si>
    <t>04.02.2022р. 
№ 175-VIII 
(зі змінами)</t>
  </si>
  <si>
    <t>0900000</t>
  </si>
  <si>
    <t/>
  </si>
  <si>
    <t>Служба у справах дітей Чорноморської мiської ради Одеського району Одеської областi</t>
  </si>
  <si>
    <t>0910000</t>
  </si>
  <si>
    <t>0913112</t>
  </si>
  <si>
    <t>Інша субвенція обласному бюджету Одеської області</t>
  </si>
  <si>
    <t>Начальник фінансового управління</t>
  </si>
  <si>
    <t>Ольга ЯКОВЕНКО</t>
  </si>
  <si>
    <t>Розподіл витрат бюджету Чорноморської міської територіальної громади  на реалізацію міських програм у 2024 році</t>
  </si>
  <si>
    <t>Програма розвитку у сфері житлово-комунального господарства в межах території Чорноморської міської ради Одеської області на 2019-2024 роки</t>
  </si>
  <si>
    <t>Міська цільова програма фінансової підтримки комунальних підприємств Чорноморської міської ради Одеського району Одеської області на 2024 рік.</t>
  </si>
  <si>
    <t>1011080</t>
  </si>
  <si>
    <t>1080</t>
  </si>
  <si>
    <t>0960</t>
  </si>
  <si>
    <t>Надання спеціалізованої освіти мистецькими школами</t>
  </si>
  <si>
    <t>Міська цільова програма підтримки здобуття професійної (професійно-технічної), фахової передвищої освіти на умовах регіонального замовлення у відповідних закладах освіти, що розташовані та діють на території Чорноморської міської  територіальної громади, на 2024 рік</t>
  </si>
  <si>
    <t>Міська програма "Здоров’я населення Чорноморської  міської територіальної громади на 2021 - 2025 роки"</t>
  </si>
  <si>
    <t>Міська цільова програма фінансової підтримки діяльності Одеської районної ради Одеської області на 2024 рік</t>
  </si>
  <si>
    <t>Міська цільова програма фінансової підтримки діяльності  Одеської районної ради Одеської області на 2024 рік</t>
  </si>
  <si>
    <t>УСЬОГО за розпорядниками</t>
  </si>
  <si>
    <t>УСЬОГО ЗА ПРОГРАМАМИ</t>
  </si>
  <si>
    <t>від 22.12.2023 № 522 - VIII"</t>
  </si>
  <si>
    <t>22.12.2023р. 
№ 515-VIII</t>
  </si>
  <si>
    <t>19.05.2023р.
№ 368-VIII</t>
  </si>
  <si>
    <t>22.12.2023р. 
№ 516-VIII</t>
  </si>
  <si>
    <t>Міська цільова програма зайнятості населення Чорноморської міської територіальної громади на 2024 - 2025 роки</t>
  </si>
  <si>
    <t>22.12.2023р.
№ 517-VIII</t>
  </si>
  <si>
    <t>1213210</t>
  </si>
  <si>
    <t>3210</t>
  </si>
  <si>
    <t>1050</t>
  </si>
  <si>
    <t>Організація та проведення громадських робіт</t>
  </si>
  <si>
    <t>22.12.2023р.
№ 518-VIII</t>
  </si>
  <si>
    <t>22.12.2023р.
№ 519-VIII</t>
  </si>
  <si>
    <t>3719800</t>
  </si>
  <si>
    <t>9800</t>
  </si>
  <si>
    <t>Субвенція з місцевого бюджету державному бюджету на виконання програм соціально-економічного розвитку регіонів</t>
  </si>
  <si>
    <t>1218240</t>
  </si>
  <si>
    <t>0218240</t>
  </si>
  <si>
    <t>"Додаток 7</t>
  </si>
  <si>
    <t>0217640</t>
  </si>
  <si>
    <t>7640</t>
  </si>
  <si>
    <t>0470</t>
  </si>
  <si>
    <t>Заходи з енергозбереження</t>
  </si>
  <si>
    <t>0618110</t>
  </si>
  <si>
    <t>0610</t>
  </si>
  <si>
    <t>Експлуатація та технічне обслуговування житлового фонду</t>
  </si>
  <si>
    <t>Міська цільова програма сприяння діяльності об'єднань співвласників багатоквартирних будинків, житлово-будівельних кооперативів в багатоквартирних будинках на території Чорноморської міської ради Одеської області на 2023-2025 роки</t>
  </si>
  <si>
    <t>31.01.2023р. 
№ 295-VIII 
(зі змінами)</t>
  </si>
  <si>
    <t>1217691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</si>
  <si>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</si>
  <si>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</si>
  <si>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1500000</t>
  </si>
  <si>
    <t>1510000</t>
  </si>
  <si>
    <t>Управління капітального будівництва Чорноморської міської ради Одеського району Одеської області</t>
  </si>
  <si>
    <t>1512010</t>
  </si>
  <si>
    <t>1516013</t>
  </si>
  <si>
    <t>6013</t>
  </si>
  <si>
    <t>Забезпечення діяльності водопровідно-каналізаційного господарства</t>
  </si>
  <si>
    <t>1516015</t>
  </si>
  <si>
    <t>1516050</t>
  </si>
  <si>
    <t>6050</t>
  </si>
  <si>
    <t>Попередження аварій та запобігання техногенним катастрофам у житлово-комунальному господарстві та на інших аварійних об'єктах комунальної власності</t>
  </si>
  <si>
    <t>Будівництво об'єктів житлово-комунального господарства</t>
  </si>
  <si>
    <t>1517310</t>
  </si>
  <si>
    <t>7310</t>
  </si>
  <si>
    <t>Реалізація інших заходів щодо соціально-економічного розвитку територій</t>
  </si>
  <si>
    <t>12.04.2021 
№ 55-VІII 
(зі змінами)</t>
  </si>
  <si>
    <t>Міська програма співфінансування заходів, направлених на доведення багатоквартирних житлових будинків 13-го мікрорайону м. Чорноморська до стану, придатного для проживання, на 2021-2024 роки</t>
  </si>
  <si>
    <t>1517370</t>
  </si>
  <si>
    <t>7370</t>
  </si>
  <si>
    <t>Міська програма ″Здоров’я населення Чорноморської  міської територіальної громади на 2021 - 2025 роки"</t>
  </si>
  <si>
    <t>Міська цільова програма зміцнення законності, безпеки та порядку на території Чорноморської міської територіальної громади "Безпечне місто Чорноморськ" на 2023 - 2024 роки</t>
  </si>
  <si>
    <t>05.10.2023р.
№ 449-VIII
(зі змінами)</t>
  </si>
  <si>
    <t>Міська цільова програма підтримки Територіального управління Державного бюро розслідувань, розташованого у місті Миколаєві, на 2024 рік</t>
  </si>
  <si>
    <t>Міська цільова програма протидії злочинності на території Чорноморської міської територіальної громади на 2024  рік</t>
  </si>
  <si>
    <t>Код регіональної програми</t>
  </si>
  <si>
    <t>02.02.2024р.
№ 546-VIII</t>
  </si>
  <si>
    <t>02.02.2024р.
№ 545-VIII</t>
  </si>
  <si>
    <t>0218110</t>
  </si>
  <si>
    <t>8110</t>
  </si>
  <si>
    <t>1517368</t>
  </si>
  <si>
    <t>7368</t>
  </si>
  <si>
    <t>Виконання інвестиційних проектів за рахунок субвенцій з інших бюджетів</t>
  </si>
  <si>
    <t xml:space="preserve">Міська цільова програма підтримки Сил територіальної оборони Збройних Сил України, військових частин Збройних Сил України, Національної гвардії України, інших військових формувань та посилення  заходів громадської безпеки в умовах воєнного стану на території Чорноморської міської  ради Одеського району Одеської області на 2024 рік </t>
  </si>
  <si>
    <t>0611070</t>
  </si>
  <si>
    <t>Надання позашкільної освіти закладами позашкільної освіти, заходи із позашкільної роботи з дітьми</t>
  </si>
  <si>
    <t>12.04.2024р.
№562-VIII</t>
  </si>
  <si>
    <t>12.04.2024р.
№ 570-VIII</t>
  </si>
  <si>
    <t>1218340</t>
  </si>
  <si>
    <t>8340</t>
  </si>
  <si>
    <t>0540</t>
  </si>
  <si>
    <t>Природоохоронні заходи за рахунок цільових фондів</t>
  </si>
  <si>
    <t>0218340</t>
  </si>
  <si>
    <t>22.12.2023р. 
№ 516-VIII
(зі змінами)</t>
  </si>
  <si>
    <t>до рішення Чорноморської міської ради</t>
  </si>
  <si>
    <t>0611141</t>
  </si>
  <si>
    <t>1141</t>
  </si>
  <si>
    <t>0990</t>
  </si>
  <si>
    <t>Забезпечення діяльності інших закладів у сфері освіти</t>
  </si>
  <si>
    <t>Додаток 7</t>
  </si>
  <si>
    <t>Міська цільова програма часткової компенсації вартості закупівлі генераторів для забезпечення потреб мешканців багатоквартирних житлових будинків на території Чорноморської міської територіальної громади на 2024-2025 роки</t>
  </si>
  <si>
    <t>0217520</t>
  </si>
  <si>
    <t>7520</t>
  </si>
  <si>
    <t>0460</t>
  </si>
  <si>
    <t>Реалізація Національної програми інформатизації</t>
  </si>
  <si>
    <t>Міська цільова програма інформатизації Чорноморської міської територіальної громади на 2024 – 2026 роки</t>
  </si>
  <si>
    <t>08.08.2024р.
№ 649-VIII</t>
  </si>
  <si>
    <t>0611181</t>
  </si>
  <si>
    <t>0611182</t>
  </si>
  <si>
    <t>1181</t>
  </si>
  <si>
    <t>1182</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</si>
  <si>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</si>
  <si>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</si>
  <si>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08.08.2024р.
№ 647-VIII</t>
  </si>
  <si>
    <t>Міська цільова програма часткової компенсації вартості закупівлі альтернативних джерел енергії для забезпечення потреб мешканців багатоквартирних житлових будинків на території Чорноморської міської територіальної громади на 2024-2025 роки</t>
  </si>
  <si>
    <t>0817520</t>
  </si>
  <si>
    <t>1017520</t>
  </si>
  <si>
    <t>1216020</t>
  </si>
  <si>
    <t>6020</t>
  </si>
  <si>
    <t>Забезпечення функціонування підприємств, установ та організацій, що виробляють, виконують та/або надають житлово-комунальні послуги</t>
  </si>
  <si>
    <t>1217520</t>
  </si>
  <si>
    <t>1217670</t>
  </si>
  <si>
    <t>7670</t>
  </si>
  <si>
    <t>Внески до статутного капіталу суб'єктів господарювання</t>
  </si>
  <si>
    <t>1516017</t>
  </si>
  <si>
    <t>Інша діяльність, пов'язана з експлуатацією об'єктів житлово-комунального господарства</t>
  </si>
  <si>
    <t>1517321</t>
  </si>
  <si>
    <t>7321</t>
  </si>
  <si>
    <t>Будівництво освітніх установ та закладів</t>
  </si>
  <si>
    <r>
      <t xml:space="preserve">Міська цільова програма реалізації житлових прав мешканців </t>
    </r>
    <r>
      <rPr>
        <sz val="12"/>
        <color theme="1"/>
        <rFont val="Times New Roman"/>
        <family val="1"/>
        <charset val="204"/>
      </rPr>
      <t>гуртожитків, які передані до комунальної власності Чорноморської міської територіальної громади в особі Чорноморської міської ради Одеського району Одеської області від ДП "МТП "Чорноморськ" на 2024 рік</t>
    </r>
  </si>
  <si>
    <r>
      <t xml:space="preserve">Міська цільова програма </t>
    </r>
    <r>
      <rPr>
        <sz val="12"/>
        <color theme="1"/>
        <rFont val="Times New Roman"/>
        <family val="1"/>
        <charset val="204"/>
      </rPr>
      <t>охорони довкілля, раціонального використання природних ресурсів та забезпечення екологічної безпеки на території Чорноморської міської територіальної громади на 2024 - 2028 роки</t>
    </r>
  </si>
  <si>
    <t>0617520</t>
  </si>
  <si>
    <t>7373</t>
  </si>
  <si>
    <t>Реалізація проектів (заходів) з відновлення медичних установ та закладів, пошкоджених / знищених внаслідок збройної агресії, за рахунок коштів місцевих бюджетів</t>
  </si>
  <si>
    <t>0611291</t>
  </si>
  <si>
    <t>1291</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</si>
  <si>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</si>
  <si>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0611292</t>
  </si>
  <si>
    <t>1292</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</si>
  <si>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</si>
  <si>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0611403</t>
  </si>
  <si>
    <t>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</si>
  <si>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</si>
  <si>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0916083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</si>
  <si>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дітей, позбавлених батьківського піклування, осіб з їх числа</t>
  </si>
  <si>
    <t>Міська цільова програма забезпечення житлом дітей-сиріт та дітей, позбавлених батьківського піклування, а також осіб з їх числа на 2023-2025 роки</t>
  </si>
  <si>
    <t>31.01.2023 
№ 301-VIII
(зі змінами)</t>
  </si>
  <si>
    <t>Міська цільова програма фінансової підтримки Іллічівського міського суду Одеської області на 2024 рік</t>
  </si>
  <si>
    <t>0210150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</si>
  <si>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</si>
  <si>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</si>
  <si>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</si>
  <si>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1517373</t>
  </si>
  <si>
    <t>Міської цільової програми підтримки Департамента кіберполіції  Національної  поліції  України на 2024 рік</t>
  </si>
  <si>
    <t>проєкт</t>
  </si>
  <si>
    <t>Проєкт</t>
  </si>
  <si>
    <t xml:space="preserve">30.10.2024р. 
№ 696-VIII 
</t>
  </si>
  <si>
    <t>30.10.2024р.
№ 696-VIII</t>
  </si>
  <si>
    <t>від             11.2024 №         - VIII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</si>
</sst>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
    <numFmt numFmtId="165" formatCode="#,##0.00;\-#,##0.00;#,&quot;-&quot;"/>
  </numFmts>
  <fonts count="21" x14ac:knownFonts="1">
    <font>
      <sz val="11"/>
      <color theme="1"/>
      <name val="Calibri"/>
      <family val="2"/>
      <charset val="204"/>
      <scheme val="minor"/>
    </font>
    <font>
      <sz val="10"/>
      <color theme="1"/>
      <name val="Calibri"/>
      <family val="2"/>
      <charset val="204"/>
      <scheme val="minor"/>
    </font>
    <font>
      <sz val="12"/>
      <color theme="1"/>
      <name val="Times New Roman"/>
      <family val="1"/>
      <charset val="204"/>
    </font>
    <font>
      <b/>
      <sz val="12"/>
      <color theme="1"/>
      <name val="Times New Roman"/>
      <family val="1"/>
      <charset val="204"/>
    </font>
    <font>
      <sz val="12"/>
      <name val="Times New Roman"/>
      <family val="1"/>
      <charset val="204"/>
    </font>
    <font>
      <b/>
      <sz val="12"/>
      <name val="Times New Roman"/>
      <family val="1"/>
      <charset val="204"/>
    </font>
    <font>
      <sz val="10"/>
      <color theme="1"/>
      <name val="Times New Roman"/>
      <family val="1"/>
      <charset val="204"/>
    </font>
    <font>
      <sz val="11"/>
      <color indexed="8"/>
      <name val="Calibri"/>
      <family val="2"/>
      <charset val="204"/>
    </font>
    <font>
      <sz val="10"/>
      <name val="Times New Roman"/>
      <family val="1"/>
      <charset val="204"/>
    </font>
    <font>
      <b/>
      <sz val="10"/>
      <name val="Times New Roman"/>
      <family val="1"/>
      <charset val="204"/>
    </font>
    <font>
      <sz val="10"/>
      <name val="Arial Cyr"/>
      <charset val="204"/>
    </font>
    <font>
      <u/>
      <sz val="10"/>
      <color indexed="12"/>
      <name val="Arial Cyr"/>
      <charset val="204"/>
    </font>
    <font>
      <u/>
      <sz val="14"/>
      <name val="Times New Roman"/>
      <family val="1"/>
      <charset val="204"/>
    </font>
    <font>
      <sz val="12"/>
      <color indexed="8"/>
      <name val="Times New Roman"/>
      <family val="1"/>
      <charset val="204"/>
    </font>
    <font>
      <b/>
      <sz val="14"/>
      <color theme="1"/>
      <name val="Times New Roman"/>
      <family val="1"/>
      <charset val="204"/>
    </font>
    <font>
      <b/>
      <sz val="11"/>
      <color theme="1"/>
      <name val="Calibri"/>
      <family val="2"/>
      <charset val="204"/>
      <scheme val="minor"/>
    </font>
    <font>
      <i/>
      <sz val="11"/>
      <color theme="1"/>
      <name val="Calibri"/>
      <family val="2"/>
      <charset val="204"/>
      <scheme val="minor"/>
    </font>
    <font>
      <sz val="14"/>
      <color theme="1"/>
      <name val="Times New Roman"/>
      <family val="1"/>
      <charset val="204"/>
    </font>
    <font>
      <b/>
      <sz val="10"/>
      <color theme="1"/>
      <name val="Times New Roman"/>
      <family val="1"/>
      <charset val="204"/>
    </font>
    <font>
      <b/>
      <sz val="12"/>
      <color indexed="8"/>
      <name val="Times New Roman"/>
      <family val="1"/>
      <charset val="204"/>
    </font>
    <font>
      <b/>
      <i/>
      <sz val="11"/>
      <color theme="1"/>
      <name val="Calibri"/>
      <family val="2"/>
      <charset val="204"/>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8">
    <xf numFmtId="0" fontId="0" fillId="0" borderId="0"/>
    <xf numFmtId="0" fontId="7" fillId="0" borderId="0"/>
    <xf numFmtId="0" fontId="8" fillId="0" borderId="0"/>
    <xf numFmtId="0" fontId="1" fillId="0" borderId="0"/>
    <xf numFmtId="0" fontId="8" fillId="0" borderId="0"/>
    <xf numFmtId="0" fontId="8" fillId="0" borderId="0"/>
    <xf numFmtId="0" fontId="10" fillId="0" borderId="0"/>
    <xf numFmtId="0" fontId="11" fillId="0" borderId="0" applyNumberFormat="0" applyFill="0" applyBorder="0" applyAlignment="0" applyProtection="0">
      <alignment vertical="top"/>
      <protection locked="0"/>
    </xf>
  </cellStyleXfs>
  <cellXfs count="144">
    <xf numFmtId="0" fontId="0" fillId="0" borderId="0" xfId="0"/>
    <xf numFmtId="0" fontId="0" fillId="2" borderId="0" xfId="0" applyFill="1" applyAlignment="1">
      <alignment horizontal="center" vertical="center"/>
    </xf>
    <xf numFmtId="0" fontId="0" fillId="2" borderId="0" xfId="0" applyFill="1"/>
    <xf numFmtId="0" fontId="4" fillId="2" borderId="0" xfId="0" applyFont="1" applyFill="1"/>
    <xf numFmtId="0" fontId="4" fillId="2" borderId="0" xfId="0" applyFont="1" applyFill="1" applyAlignment="1">
      <alignment horizontal="left"/>
    </xf>
    <xf numFmtId="0" fontId="8" fillId="2" borderId="0" xfId="0" applyFont="1" applyFill="1" applyAlignment="1">
      <alignment horizontal="center" vertical="center"/>
    </xf>
    <xf numFmtId="0" fontId="8" fillId="2" borderId="0" xfId="0" applyFont="1" applyFill="1"/>
    <xf numFmtId="0" fontId="8" fillId="2" borderId="0" xfId="0" applyFont="1" applyFill="1" applyAlignment="1">
      <alignment horizontal="left"/>
    </xf>
    <xf numFmtId="0" fontId="8" fillId="2" borderId="0" xfId="4" applyFont="1" applyFill="1" applyBorder="1" applyAlignment="1">
      <alignment horizontal="center" vertical="center"/>
    </xf>
    <xf numFmtId="0" fontId="8" fillId="2" borderId="0" xfId="4" applyFont="1" applyFill="1" applyBorder="1" applyAlignment="1">
      <alignment horizontal="left" vertical="center"/>
    </xf>
    <xf numFmtId="3" fontId="8" fillId="2" borderId="0" xfId="4" applyNumberFormat="1" applyFont="1" applyFill="1" applyBorder="1" applyAlignment="1">
      <alignment horizontal="center" vertical="center"/>
    </xf>
    <xf numFmtId="3" fontId="6" fillId="2" borderId="0" xfId="4" applyNumberFormat="1" applyFont="1" applyFill="1" applyBorder="1" applyAlignment="1">
      <alignment horizontal="center" vertical="center"/>
    </xf>
    <xf numFmtId="0" fontId="8" fillId="2" borderId="0" xfId="4" applyFont="1" applyFill="1" applyBorder="1" applyAlignment="1">
      <alignment horizontal="center"/>
    </xf>
    <xf numFmtId="0" fontId="4" fillId="2" borderId="0" xfId="0" applyFont="1" applyFill="1" applyAlignment="1">
      <alignment horizontal="center" vertical="center"/>
    </xf>
    <xf numFmtId="0" fontId="4" fillId="2" borderId="0" xfId="0" applyFont="1" applyFill="1" applyAlignment="1">
      <alignment horizontal="center"/>
    </xf>
    <xf numFmtId="0" fontId="8" fillId="2" borderId="0" xfId="0" applyFont="1" applyFill="1" applyAlignment="1">
      <alignment horizontal="center"/>
    </xf>
    <xf numFmtId="0" fontId="9" fillId="2" borderId="0" xfId="4" applyNumberFormat="1" applyFont="1" applyFill="1" applyBorder="1" applyAlignment="1" applyProtection="1">
      <alignment horizontal="center"/>
    </xf>
    <xf numFmtId="0" fontId="0" fillId="2" borderId="0" xfId="0" applyFill="1" applyAlignment="1">
      <alignment horizontal="center"/>
    </xf>
    <xf numFmtId="0" fontId="0" fillId="2" borderId="0" xfId="0" applyFill="1" applyAlignment="1">
      <alignment horizontal="left"/>
    </xf>
    <xf numFmtId="3" fontId="0" fillId="2" borderId="0" xfId="0" applyNumberFormat="1" applyFill="1" applyAlignment="1">
      <alignment horizontal="center" vertical="center"/>
    </xf>
    <xf numFmtId="0" fontId="2" fillId="2" borderId="0" xfId="0" applyFont="1" applyFill="1" applyBorder="1" applyAlignment="1">
      <alignment vertical="center" wrapText="1"/>
    </xf>
    <xf numFmtId="49" fontId="4" fillId="2" borderId="1" xfId="0" applyNumberFormat="1" applyFont="1" applyFill="1" applyBorder="1" applyAlignment="1">
      <alignment horizontal="center" vertical="center"/>
    </xf>
    <xf numFmtId="0" fontId="4"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0" xfId="0" applyFont="1" applyFill="1"/>
    <xf numFmtId="0" fontId="2" fillId="2" borderId="1" xfId="0" quotePrefix="1" applyFont="1" applyFill="1" applyBorder="1" applyAlignment="1">
      <alignment vertical="center" wrapText="1"/>
    </xf>
    <xf numFmtId="49" fontId="2" fillId="2" borderId="1" xfId="5"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0" xfId="0" applyFont="1" applyFill="1"/>
    <xf numFmtId="0" fontId="4" fillId="2" borderId="1" xfId="1" applyFont="1" applyFill="1" applyBorder="1" applyAlignment="1">
      <alignment horizontal="left" vertical="center" wrapText="1"/>
    </xf>
    <xf numFmtId="3" fontId="2" fillId="2" borderId="0" xfId="0" applyNumberFormat="1" applyFont="1" applyFill="1"/>
    <xf numFmtId="49" fontId="3" fillId="2" borderId="1" xfId="5" applyNumberFormat="1" applyFont="1" applyFill="1" applyBorder="1" applyAlignment="1" applyProtection="1">
      <alignment horizontal="center" vertical="center" wrapText="1"/>
    </xf>
    <xf numFmtId="0" fontId="3" fillId="2" borderId="1" xfId="5" applyNumberFormat="1" applyFont="1" applyFill="1" applyBorder="1" applyAlignment="1" applyProtection="1">
      <alignment horizontal="center" vertical="center" wrapText="1"/>
    </xf>
    <xf numFmtId="49" fontId="3" fillId="2" borderId="1" xfId="5" applyNumberFormat="1" applyFont="1" applyFill="1" applyBorder="1" applyAlignment="1">
      <alignment horizontal="center" vertical="center" wrapText="1"/>
    </xf>
    <xf numFmtId="0" fontId="2" fillId="2" borderId="0" xfId="0" applyFont="1" applyFill="1" applyAlignment="1">
      <alignment vertical="center"/>
    </xf>
    <xf numFmtId="0" fontId="2" fillId="2" borderId="0" xfId="0" applyFont="1" applyFill="1" applyBorder="1"/>
    <xf numFmtId="4" fontId="3" fillId="2" borderId="1" xfId="0" applyNumberFormat="1" applyFont="1" applyFill="1" applyBorder="1" applyAlignment="1">
      <alignment horizontal="center" vertical="center"/>
    </xf>
    <xf numFmtId="4" fontId="2" fillId="2" borderId="1" xfId="0" applyNumberFormat="1" applyFont="1" applyFill="1" applyBorder="1" applyAlignment="1">
      <alignment horizontal="center" vertical="center"/>
    </xf>
    <xf numFmtId="4" fontId="2" fillId="2" borderId="5" xfId="0" applyNumberFormat="1" applyFont="1" applyFill="1" applyBorder="1" applyAlignment="1">
      <alignment horizontal="center" vertical="center"/>
    </xf>
    <xf numFmtId="4" fontId="0" fillId="2" borderId="0" xfId="0" applyNumberFormat="1" applyFill="1" applyAlignment="1">
      <alignment horizontal="center" vertical="center"/>
    </xf>
    <xf numFmtId="0" fontId="6" fillId="2" borderId="1" xfId="4" applyFont="1" applyFill="1" applyBorder="1" applyAlignment="1">
      <alignment horizontal="center" vertical="center" wrapText="1"/>
    </xf>
    <xf numFmtId="3" fontId="6" fillId="2" borderId="1" xfId="4" applyNumberFormat="1" applyFont="1" applyFill="1" applyBorder="1" applyAlignment="1">
      <alignment horizontal="center" vertical="center" wrapText="1"/>
    </xf>
    <xf numFmtId="0" fontId="6" fillId="2" borderId="1" xfId="4" applyFont="1" applyFill="1" applyBorder="1" applyAlignment="1">
      <alignment horizontal="center" wrapText="1"/>
    </xf>
    <xf numFmtId="0" fontId="2" fillId="3" borderId="0" xfId="0" applyFont="1" applyFill="1"/>
    <xf numFmtId="0" fontId="3" fillId="3" borderId="0" xfId="0" applyFont="1" applyFill="1"/>
    <xf numFmtId="3" fontId="2" fillId="3" borderId="0" xfId="0" applyNumberFormat="1" applyFont="1" applyFill="1"/>
    <xf numFmtId="0" fontId="13" fillId="2" borderId="1" xfId="0" applyFont="1" applyFill="1" applyBorder="1" applyAlignment="1">
      <alignment vertical="center" wrapText="1"/>
    </xf>
    <xf numFmtId="0" fontId="4" fillId="2" borderId="1" xfId="0" quotePrefix="1" applyFont="1" applyFill="1" applyBorder="1" applyAlignment="1">
      <alignment vertical="center" wrapText="1"/>
    </xf>
    <xf numFmtId="0" fontId="4" fillId="2" borderId="1" xfId="0" applyFont="1" applyFill="1" applyBorder="1" applyAlignment="1">
      <alignment horizontal="left" vertical="center" wrapText="1"/>
    </xf>
    <xf numFmtId="0" fontId="14" fillId="2" borderId="0" xfId="0" applyFont="1" applyFill="1" applyBorder="1"/>
    <xf numFmtId="0" fontId="14" fillId="2" borderId="0" xfId="0" applyFont="1" applyFill="1"/>
    <xf numFmtId="0" fontId="15" fillId="2" borderId="0" xfId="0" applyFont="1" applyFill="1" applyAlignment="1">
      <alignment horizontal="center"/>
    </xf>
    <xf numFmtId="0" fontId="15" fillId="2" borderId="0" xfId="0" applyFont="1" applyFill="1" applyAlignment="1">
      <alignment horizontal="center" vertical="center"/>
    </xf>
    <xf numFmtId="0" fontId="15" fillId="2" borderId="0" xfId="0" applyFont="1" applyFill="1"/>
    <xf numFmtId="3" fontId="15" fillId="2" borderId="0" xfId="0" applyNumberFormat="1" applyFont="1" applyFill="1" applyAlignment="1">
      <alignment horizontal="center" vertical="center"/>
    </xf>
    <xf numFmtId="4" fontId="15" fillId="2" borderId="0" xfId="0" applyNumberFormat="1" applyFont="1" applyFill="1" applyAlignment="1">
      <alignment horizontal="center" vertical="center"/>
    </xf>
    <xf numFmtId="0" fontId="16" fillId="2" borderId="0" xfId="0" applyFont="1" applyFill="1" applyAlignment="1">
      <alignment horizontal="center"/>
    </xf>
    <xf numFmtId="0" fontId="16" fillId="2" borderId="0" xfId="0" applyFont="1" applyFill="1" applyAlignment="1">
      <alignment horizontal="center" vertical="center"/>
    </xf>
    <xf numFmtId="0" fontId="16" fillId="2" borderId="0" xfId="0" applyFont="1" applyFill="1"/>
    <xf numFmtId="0" fontId="16" fillId="2" borderId="0" xfId="0" applyFont="1" applyFill="1" applyAlignment="1">
      <alignment horizontal="left"/>
    </xf>
    <xf numFmtId="3" fontId="16" fillId="2" borderId="0" xfId="0" applyNumberFormat="1" applyFont="1" applyFill="1" applyAlignment="1">
      <alignment horizontal="center" vertical="center"/>
    </xf>
    <xf numFmtId="0" fontId="17" fillId="2" borderId="0" xfId="0" applyFont="1" applyFill="1"/>
    <xf numFmtId="0" fontId="5" fillId="2" borderId="0" xfId="0" applyFont="1" applyFill="1"/>
    <xf numFmtId="0" fontId="9" fillId="2" borderId="0" xfId="0" applyFont="1" applyFill="1"/>
    <xf numFmtId="0" fontId="9" fillId="2" borderId="0" xfId="4" applyFont="1" applyFill="1" applyBorder="1" applyAlignment="1">
      <alignment horizontal="center" vertical="center"/>
    </xf>
    <xf numFmtId="0" fontId="18" fillId="2" borderId="1" xfId="4" applyFont="1" applyFill="1" applyBorder="1" applyAlignment="1">
      <alignment horizontal="center" vertical="center" wrapText="1"/>
    </xf>
    <xf numFmtId="0" fontId="5"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5" fillId="2" borderId="1" xfId="0" quotePrefix="1" applyFont="1" applyFill="1" applyBorder="1" applyAlignment="1">
      <alignment horizontal="center" vertical="center" wrapText="1"/>
    </xf>
    <xf numFmtId="0" fontId="20" fillId="2" borderId="0" xfId="0" applyFont="1" applyFill="1"/>
    <xf numFmtId="4" fontId="2" fillId="2" borderId="0" xfId="0" applyNumberFormat="1" applyFont="1" applyFill="1"/>
    <xf numFmtId="164" fontId="15" fillId="2" borderId="0" xfId="0" applyNumberFormat="1" applyFont="1" applyFill="1" applyAlignment="1">
      <alignment horizontal="center" vertical="center"/>
    </xf>
    <xf numFmtId="0" fontId="3" fillId="4" borderId="0" xfId="0" applyFont="1" applyFill="1"/>
    <xf numFmtId="0" fontId="5" fillId="2" borderId="4"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4" xfId="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quotePrefix="1"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6" xfId="0" quotePrefix="1" applyFont="1" applyFill="1" applyBorder="1" applyAlignment="1">
      <alignment horizontal="center" vertical="center" wrapText="1"/>
    </xf>
    <xf numFmtId="0" fontId="2" fillId="2" borderId="5" xfId="0" applyFont="1" applyFill="1" applyBorder="1" applyAlignment="1">
      <alignment horizontal="left" vertical="center" wrapText="1"/>
    </xf>
    <xf numFmtId="0" fontId="4" fillId="2" borderId="1" xfId="1" applyFont="1" applyFill="1" applyBorder="1" applyAlignment="1">
      <alignment vertical="center" wrapText="1"/>
    </xf>
    <xf numFmtId="0" fontId="4" fillId="2" borderId="1" xfId="4" applyFont="1" applyFill="1" applyBorder="1" applyAlignment="1">
      <alignment vertical="center" wrapText="1"/>
    </xf>
    <xf numFmtId="0" fontId="5" fillId="2" borderId="1" xfId="4" applyFont="1" applyFill="1" applyBorder="1" applyAlignment="1">
      <alignment horizontal="center" vertical="center" wrapText="1"/>
    </xf>
    <xf numFmtId="0" fontId="2" fillId="2" borderId="4" xfId="0" applyFont="1" applyFill="1" applyBorder="1" applyAlignment="1">
      <alignment horizontal="left" vertical="center" wrapText="1"/>
    </xf>
    <xf numFmtId="1" fontId="3" fillId="2" borderId="1" xfId="0" applyNumberFormat="1" applyFont="1" applyFill="1" applyBorder="1" applyAlignment="1">
      <alignment horizontal="center" vertical="center"/>
    </xf>
    <xf numFmtId="0" fontId="3" fillId="2" borderId="3" xfId="0" quotePrefix="1" applyFont="1" applyFill="1" applyBorder="1" applyAlignment="1">
      <alignment horizontal="center" vertical="center" wrapText="1"/>
    </xf>
    <xf numFmtId="0" fontId="2" fillId="2" borderId="3" xfId="0" applyFont="1" applyFill="1" applyBorder="1" applyAlignment="1">
      <alignment horizontal="left" vertical="center" wrapText="1"/>
    </xf>
    <xf numFmtId="0" fontId="5" fillId="2" borderId="3" xfId="1" applyFont="1" applyFill="1" applyBorder="1" applyAlignment="1">
      <alignment horizontal="center" vertical="center" wrapText="1"/>
    </xf>
    <xf numFmtId="0" fontId="4" fillId="2" borderId="1" xfId="0" quotePrefix="1" applyFont="1" applyFill="1" applyBorder="1" applyAlignment="1">
      <alignment horizontal="left" vertical="center" wrapText="1"/>
    </xf>
    <xf numFmtId="0" fontId="5" fillId="2" borderId="1" xfId="1"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1" xfId="0" applyFont="1" applyFill="1" applyBorder="1" applyAlignment="1">
      <alignment vertical="center" wrapText="1"/>
    </xf>
    <xf numFmtId="0" fontId="4" fillId="2" borderId="5" xfId="0" quotePrefix="1" applyFont="1" applyFill="1" applyBorder="1" applyAlignment="1">
      <alignment horizontal="left" vertical="center" wrapText="1"/>
    </xf>
    <xf numFmtId="165" fontId="2" fillId="2" borderId="1" xfId="0" applyNumberFormat="1" applyFont="1" applyFill="1" applyBorder="1" applyAlignment="1">
      <alignment vertical="center"/>
    </xf>
    <xf numFmtId="0" fontId="4" fillId="2" borderId="1" xfId="0" applyFont="1" applyFill="1" applyBorder="1" applyAlignment="1">
      <alignment vertical="top" wrapText="1"/>
    </xf>
    <xf numFmtId="0" fontId="2" fillId="2" borderId="1" xfId="0" quotePrefix="1" applyFont="1" applyFill="1" applyBorder="1" applyAlignment="1">
      <alignment horizontal="left"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1" fontId="3" fillId="2" borderId="5" xfId="0" applyNumberFormat="1" applyFont="1" applyFill="1" applyBorder="1" applyAlignment="1">
      <alignment horizontal="center" vertical="center"/>
    </xf>
    <xf numFmtId="0" fontId="2" fillId="2" borderId="1" xfId="0" quotePrefix="1" applyFont="1" applyFill="1" applyBorder="1" applyAlignment="1">
      <alignment horizontal="center" vertical="center" wrapText="1"/>
    </xf>
    <xf numFmtId="0" fontId="5" fillId="2" borderId="5" xfId="0" quotePrefix="1" applyFont="1" applyFill="1" applyBorder="1" applyAlignment="1">
      <alignment horizontal="center" vertical="center" wrapText="1"/>
    </xf>
    <xf numFmtId="1" fontId="3" fillId="2" borderId="6" xfId="0" applyNumberFormat="1" applyFont="1" applyFill="1" applyBorder="1" applyAlignment="1">
      <alignment horizontal="center" vertical="center"/>
    </xf>
    <xf numFmtId="0" fontId="2" fillId="2" borderId="1" xfId="0" applyFont="1" applyFill="1" applyBorder="1" applyAlignment="1">
      <alignment horizontal="center" wrapText="1"/>
    </xf>
    <xf numFmtId="0" fontId="2" fillId="2" borderId="0" xfId="0" applyFont="1" applyFill="1" applyAlignment="1">
      <alignment horizontal="left" vertical="center" wrapText="1"/>
    </xf>
    <xf numFmtId="0" fontId="14" fillId="2" borderId="1" xfId="0" applyFont="1" applyFill="1" applyBorder="1" applyAlignment="1">
      <alignment horizontal="center" vertical="center"/>
    </xf>
    <xf numFmtId="4" fontId="14"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4" fontId="2" fillId="2" borderId="1" xfId="0" applyNumberFormat="1" applyFont="1" applyFill="1" applyBorder="1" applyAlignment="1">
      <alignment vertical="center"/>
    </xf>
    <xf numFmtId="1" fontId="3" fillId="2" borderId="3" xfId="0" applyNumberFormat="1" applyFont="1" applyFill="1" applyBorder="1" applyAlignment="1">
      <alignment horizontal="center" vertical="center"/>
    </xf>
    <xf numFmtId="0" fontId="2" fillId="2" borderId="0" xfId="0" applyFont="1" applyFill="1" applyAlignment="1">
      <alignment horizontal="center"/>
    </xf>
    <xf numFmtId="0" fontId="2" fillId="2" borderId="0" xfId="0" applyFont="1" applyFill="1" applyAlignment="1">
      <alignment horizontal="center" vertical="center"/>
    </xf>
    <xf numFmtId="0" fontId="2" fillId="2" borderId="0" xfId="0" applyFont="1" applyFill="1" applyAlignment="1">
      <alignment horizontal="left" vertical="center"/>
    </xf>
    <xf numFmtId="0" fontId="2" fillId="2" borderId="0" xfId="4" applyFont="1" applyFill="1" applyAlignment="1">
      <alignment horizontal="left" vertical="center"/>
    </xf>
    <xf numFmtId="0" fontId="5" fillId="2" borderId="4"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3" fillId="2" borderId="4" xfId="5" applyNumberFormat="1" applyFont="1" applyFill="1" applyBorder="1" applyAlignment="1" applyProtection="1">
      <alignment horizontal="center" vertical="center" wrapText="1"/>
    </xf>
    <xf numFmtId="0" fontId="3" fillId="2" borderId="6" xfId="5" applyNumberFormat="1" applyFont="1" applyFill="1" applyBorder="1" applyAlignment="1" applyProtection="1">
      <alignment horizontal="center" vertical="center" wrapText="1"/>
    </xf>
    <xf numFmtId="0" fontId="3" fillId="2" borderId="5" xfId="5" applyNumberFormat="1" applyFont="1" applyFill="1" applyBorder="1" applyAlignment="1" applyProtection="1">
      <alignment horizontal="center" vertical="center" wrapText="1"/>
    </xf>
    <xf numFmtId="0" fontId="6" fillId="2" borderId="1" xfId="4" applyFont="1" applyFill="1" applyBorder="1" applyAlignment="1">
      <alignment horizontal="center" vertical="center" wrapText="1"/>
    </xf>
    <xf numFmtId="3" fontId="6" fillId="2" borderId="1" xfId="4" applyNumberFormat="1" applyFont="1" applyFill="1" applyBorder="1" applyAlignment="1">
      <alignment horizontal="center" vertical="center" wrapText="1"/>
    </xf>
    <xf numFmtId="0" fontId="3" fillId="2" borderId="4" xfId="0" quotePrefix="1" applyFont="1" applyFill="1" applyBorder="1" applyAlignment="1">
      <alignment horizontal="center" vertical="center" wrapText="1"/>
    </xf>
    <xf numFmtId="0" fontId="3" fillId="2" borderId="6" xfId="0" quotePrefix="1" applyFont="1" applyFill="1" applyBorder="1" applyAlignment="1">
      <alignment horizontal="center" vertical="center" wrapText="1"/>
    </xf>
    <xf numFmtId="0" fontId="3" fillId="2" borderId="5" xfId="0" quotePrefix="1" applyFont="1" applyFill="1" applyBorder="1" applyAlignment="1">
      <alignment horizontal="center" vertical="center" wrapText="1"/>
    </xf>
    <xf numFmtId="0" fontId="3" fillId="2" borderId="0" xfId="4" applyNumberFormat="1" applyFont="1" applyFill="1" applyBorder="1" applyAlignment="1" applyProtection="1">
      <alignment horizontal="center" vertical="center" wrapText="1"/>
    </xf>
    <xf numFmtId="0" fontId="6" fillId="2" borderId="2" xfId="4" applyFont="1" applyFill="1" applyBorder="1" applyAlignment="1">
      <alignment horizontal="center" vertical="center" wrapText="1"/>
    </xf>
    <xf numFmtId="0" fontId="6" fillId="2" borderId="3" xfId="4" applyFont="1" applyFill="1" applyBorder="1" applyAlignment="1">
      <alignment horizontal="center" vertical="center" wrapText="1"/>
    </xf>
    <xf numFmtId="0" fontId="12" fillId="2" borderId="0" xfId="7" applyFont="1" applyFill="1" applyAlignment="1" applyProtection="1">
      <alignment horizontal="left"/>
    </xf>
    <xf numFmtId="0" fontId="6" fillId="2" borderId="1" xfId="4" applyFont="1" applyFill="1" applyBorder="1" applyAlignment="1">
      <alignment horizontal="center" wrapText="1"/>
    </xf>
    <xf numFmtId="0" fontId="18" fillId="2" borderId="2" xfId="4" applyFont="1" applyFill="1" applyBorder="1" applyAlignment="1">
      <alignment horizontal="center" vertical="center" wrapText="1"/>
    </xf>
    <xf numFmtId="0" fontId="18" fillId="2" borderId="3" xfId="4" applyFont="1" applyFill="1" applyBorder="1" applyAlignment="1">
      <alignment horizontal="center" vertical="center" wrapText="1"/>
    </xf>
    <xf numFmtId="0" fontId="15" fillId="2" borderId="0" xfId="0" applyFont="1" applyFill="1" applyAlignment="1">
      <alignment horizontal="right" vertical="center"/>
    </xf>
    <xf numFmtId="0" fontId="14" fillId="2" borderId="4"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5" xfId="0" applyFont="1" applyFill="1" applyBorder="1" applyAlignment="1">
      <alignment horizontal="center" vertical="center"/>
    </xf>
    <xf numFmtId="0" fontId="5" fillId="2" borderId="1" xfId="1" applyFont="1" applyFill="1" applyBorder="1" applyAlignment="1">
      <alignment horizontal="center" vertical="center" wrapText="1"/>
    </xf>
  </cellXfs>
  <cellStyles count="8">
    <cellStyle name="Гіперпосилання" xfId="7" builtinId="8"/>
    <cellStyle name="Звичайний" xfId="0" builtinId="0"/>
    <cellStyle name="Обычный 11 2" xfId="5"/>
    <cellStyle name="Обычный 17 5 6" xfId="3"/>
    <cellStyle name="Обычный 2" xfId="6"/>
    <cellStyle name="Обычный 3" xfId="2"/>
    <cellStyle name="Обычный 3 2" xfId="4"/>
    <cellStyle name="Обычный_дод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5"/>
  <sheetViews>
    <sheetView showZeros="0" tabSelected="1" view="pageBreakPreview" zoomScale="65" zoomScaleNormal="60" zoomScaleSheetLayoutView="65" workbookViewId="0">
      <pane xSplit="6" ySplit="14" topLeftCell="G188" activePane="bottomRight" state="frozen"/>
      <selection pane="topRight" activeCell="G1" sqref="G1"/>
      <selection pane="bottomLeft" activeCell="A15" sqref="A15"/>
      <selection pane="bottomRight" activeCell="H191" sqref="H191:I191"/>
    </sheetView>
  </sheetViews>
  <sheetFormatPr defaultColWidth="9.109375" defaultRowHeight="14.4" x14ac:dyDescent="0.3"/>
  <cols>
    <col min="1" max="1" width="13.33203125" style="17" customWidth="1"/>
    <col min="2" max="2" width="12.33203125" style="1" customWidth="1"/>
    <col min="3" max="3" width="14.33203125" style="17" customWidth="1"/>
    <col min="4" max="4" width="57.44140625" style="2" customWidth="1"/>
    <col min="5" max="5" width="6" style="56" hidden="1" customWidth="1"/>
    <col min="6" max="6" width="58.88671875" style="18" customWidth="1"/>
    <col min="7" max="7" width="25" style="1" customWidth="1"/>
    <col min="8" max="8" width="20.109375" style="1" customWidth="1"/>
    <col min="9" max="9" width="19.33203125" style="1" customWidth="1"/>
    <col min="10" max="10" width="21" style="1" customWidth="1"/>
    <col min="11" max="11" width="20.109375" style="1" customWidth="1"/>
    <col min="12" max="12" width="11.33203125" style="2" bestFit="1" customWidth="1"/>
    <col min="13" max="13" width="9.109375" style="2"/>
    <col min="14" max="14" width="12.33203125" style="2" bestFit="1" customWidth="1"/>
    <col min="15" max="16384" width="9.109375" style="2"/>
  </cols>
  <sheetData>
    <row r="1" spans="1:11" ht="15.6" x14ac:dyDescent="0.3">
      <c r="I1" s="119" t="s">
        <v>312</v>
      </c>
      <c r="J1" s="119"/>
      <c r="K1" s="119"/>
    </row>
    <row r="2" spans="1:11" ht="15.6" x14ac:dyDescent="0.3">
      <c r="I2" s="119" t="s">
        <v>307</v>
      </c>
      <c r="J2" s="119"/>
      <c r="K2" s="119"/>
    </row>
    <row r="3" spans="1:11" ht="15.6" x14ac:dyDescent="0.3">
      <c r="I3" s="120" t="s">
        <v>371</v>
      </c>
      <c r="J3" s="120"/>
      <c r="K3" s="120"/>
    </row>
    <row r="5" spans="1:11" ht="15.6" x14ac:dyDescent="0.3">
      <c r="I5" s="119" t="s">
        <v>251</v>
      </c>
      <c r="J5" s="119"/>
      <c r="K5" s="119"/>
    </row>
    <row r="6" spans="1:11" ht="15.6" x14ac:dyDescent="0.3">
      <c r="I6" s="119" t="s">
        <v>307</v>
      </c>
      <c r="J6" s="119"/>
      <c r="K6" s="119"/>
    </row>
    <row r="7" spans="1:11" ht="15.6" x14ac:dyDescent="0.3">
      <c r="I7" s="120" t="s">
        <v>234</v>
      </c>
      <c r="J7" s="120"/>
      <c r="K7" s="120"/>
    </row>
    <row r="9" spans="1:11" ht="15.6" x14ac:dyDescent="0.3">
      <c r="A9" s="132" t="s">
        <v>221</v>
      </c>
      <c r="B9" s="132"/>
      <c r="C9" s="132"/>
      <c r="D9" s="132"/>
      <c r="E9" s="132"/>
      <c r="F9" s="132"/>
      <c r="G9" s="132"/>
      <c r="H9" s="132"/>
      <c r="I9" s="132"/>
      <c r="J9" s="132"/>
      <c r="K9" s="132"/>
    </row>
    <row r="10" spans="1:11" ht="18" x14ac:dyDescent="0.35">
      <c r="A10" s="135">
        <v>1558900000</v>
      </c>
      <c r="B10" s="135"/>
      <c r="C10" s="14"/>
      <c r="D10" s="3"/>
      <c r="E10" s="65"/>
      <c r="F10" s="4"/>
      <c r="G10" s="13"/>
      <c r="H10" s="13"/>
      <c r="I10" s="13"/>
      <c r="J10" s="13"/>
      <c r="K10" s="13"/>
    </row>
    <row r="11" spans="1:11" x14ac:dyDescent="0.3">
      <c r="A11" s="15" t="s">
        <v>46</v>
      </c>
      <c r="B11" s="5"/>
      <c r="C11" s="15"/>
      <c r="D11" s="6"/>
      <c r="E11" s="66"/>
      <c r="F11" s="7"/>
      <c r="G11" s="5"/>
      <c r="H11" s="5"/>
      <c r="I11" s="5"/>
      <c r="J11" s="5"/>
      <c r="K11" s="5"/>
    </row>
    <row r="12" spans="1:11" x14ac:dyDescent="0.3">
      <c r="A12" s="16"/>
      <c r="B12" s="8"/>
      <c r="C12" s="12"/>
      <c r="D12" s="8"/>
      <c r="E12" s="67"/>
      <c r="F12" s="9"/>
      <c r="G12" s="8"/>
      <c r="H12" s="10"/>
      <c r="I12" s="10"/>
      <c r="J12" s="10"/>
      <c r="K12" s="11" t="s">
        <v>47</v>
      </c>
    </row>
    <row r="13" spans="1:11" x14ac:dyDescent="0.3">
      <c r="A13" s="136" t="s">
        <v>48</v>
      </c>
      <c r="B13" s="127" t="s">
        <v>49</v>
      </c>
      <c r="C13" s="136" t="s">
        <v>9</v>
      </c>
      <c r="D13" s="127" t="s">
        <v>51</v>
      </c>
      <c r="E13" s="137" t="s">
        <v>288</v>
      </c>
      <c r="F13" s="133" t="s">
        <v>50</v>
      </c>
      <c r="G13" s="127" t="s">
        <v>52</v>
      </c>
      <c r="H13" s="128" t="s">
        <v>0</v>
      </c>
      <c r="I13" s="128" t="s">
        <v>1</v>
      </c>
      <c r="J13" s="128" t="s">
        <v>2</v>
      </c>
      <c r="K13" s="128"/>
    </row>
    <row r="14" spans="1:11" ht="85.65" customHeight="1" x14ac:dyDescent="0.3">
      <c r="A14" s="136"/>
      <c r="B14" s="127"/>
      <c r="C14" s="136"/>
      <c r="D14" s="127"/>
      <c r="E14" s="138"/>
      <c r="F14" s="134"/>
      <c r="G14" s="127"/>
      <c r="H14" s="128"/>
      <c r="I14" s="128"/>
      <c r="J14" s="44" t="s">
        <v>3</v>
      </c>
      <c r="K14" s="44" t="s">
        <v>4</v>
      </c>
    </row>
    <row r="15" spans="1:11" s="1" customFormat="1" x14ac:dyDescent="0.25">
      <c r="A15" s="45">
        <v>1</v>
      </c>
      <c r="B15" s="43">
        <v>2</v>
      </c>
      <c r="C15" s="45">
        <v>3</v>
      </c>
      <c r="D15" s="43">
        <v>4</v>
      </c>
      <c r="E15" s="68"/>
      <c r="F15" s="43">
        <v>5</v>
      </c>
      <c r="G15" s="43">
        <v>6</v>
      </c>
      <c r="H15" s="44">
        <v>7</v>
      </c>
      <c r="I15" s="44">
        <v>8</v>
      </c>
      <c r="J15" s="44">
        <v>9</v>
      </c>
      <c r="K15" s="44">
        <v>10</v>
      </c>
    </row>
    <row r="16" spans="1:11" s="31" customFormat="1" ht="15.6" x14ac:dyDescent="0.3">
      <c r="A16" s="34" t="s">
        <v>10</v>
      </c>
      <c r="B16" s="35"/>
      <c r="C16" s="35"/>
      <c r="D16" s="124" t="s">
        <v>146</v>
      </c>
      <c r="E16" s="125"/>
      <c r="F16" s="126"/>
      <c r="G16" s="30"/>
      <c r="H16" s="39">
        <f>H17</f>
        <v>70077381</v>
      </c>
      <c r="I16" s="39">
        <f>I17</f>
        <v>57766835</v>
      </c>
      <c r="J16" s="39">
        <f>J17</f>
        <v>12310546</v>
      </c>
      <c r="K16" s="39">
        <f>K17</f>
        <v>12200646</v>
      </c>
    </row>
    <row r="17" spans="1:11" s="31" customFormat="1" ht="15.6" x14ac:dyDescent="0.3">
      <c r="A17" s="36" t="s">
        <v>11</v>
      </c>
      <c r="B17" s="36"/>
      <c r="C17" s="36"/>
      <c r="D17" s="124" t="s">
        <v>146</v>
      </c>
      <c r="E17" s="125"/>
      <c r="F17" s="126"/>
      <c r="G17" s="30"/>
      <c r="H17" s="39">
        <f>SUM(H18:H32)</f>
        <v>70077381</v>
      </c>
      <c r="I17" s="39">
        <f>SUM(I18:I32)</f>
        <v>57766835</v>
      </c>
      <c r="J17" s="39">
        <f>SUM(J18:J32)</f>
        <v>12310546</v>
      </c>
      <c r="K17" s="39">
        <f>SUM(K18:K32)</f>
        <v>12200646</v>
      </c>
    </row>
    <row r="18" spans="1:11" s="25" customFormat="1" ht="62.4" x14ac:dyDescent="0.3">
      <c r="A18" s="21" t="s">
        <v>361</v>
      </c>
      <c r="B18" s="21" t="s">
        <v>362</v>
      </c>
      <c r="C18" s="24" t="s">
        <v>363</v>
      </c>
      <c r="D18" s="26" t="s">
        <v>364</v>
      </c>
      <c r="E18" s="69"/>
      <c r="F18" s="23" t="s">
        <v>318</v>
      </c>
      <c r="G18" s="24" t="s">
        <v>319</v>
      </c>
      <c r="H18" s="40">
        <f>I18+J18</f>
        <v>303260</v>
      </c>
      <c r="I18" s="40">
        <f>94100+19530+69630+120000</f>
        <v>303260</v>
      </c>
      <c r="J18" s="40"/>
      <c r="K18" s="40"/>
    </row>
    <row r="19" spans="1:11" s="25" customFormat="1" ht="46.8" x14ac:dyDescent="0.3">
      <c r="A19" s="21" t="s">
        <v>64</v>
      </c>
      <c r="B19" s="21" t="s">
        <v>65</v>
      </c>
      <c r="C19" s="21" t="s">
        <v>66</v>
      </c>
      <c r="D19" s="22" t="s">
        <v>67</v>
      </c>
      <c r="E19" s="69">
        <v>15</v>
      </c>
      <c r="F19" s="23" t="s">
        <v>229</v>
      </c>
      <c r="G19" s="24" t="s">
        <v>172</v>
      </c>
      <c r="H19" s="40">
        <f>I19+J19</f>
        <v>30286873</v>
      </c>
      <c r="I19" s="40">
        <f>19381400-1000000+868684-66000+582720+2168480+600000+753217-49100-47000+2230723</f>
        <v>25423124</v>
      </c>
      <c r="J19" s="40">
        <f>2134405+66000+700000-229715+2193059</f>
        <v>4863749</v>
      </c>
      <c r="K19" s="40">
        <f>2134405+66000+700000-229715+2193059</f>
        <v>4863749</v>
      </c>
    </row>
    <row r="20" spans="1:11" s="25" customFormat="1" ht="46.8" x14ac:dyDescent="0.3">
      <c r="A20" s="21" t="s">
        <v>68</v>
      </c>
      <c r="B20" s="21" t="s">
        <v>69</v>
      </c>
      <c r="C20" s="21" t="s">
        <v>70</v>
      </c>
      <c r="D20" s="22" t="s">
        <v>71</v>
      </c>
      <c r="E20" s="69">
        <v>15</v>
      </c>
      <c r="F20" s="23" t="s">
        <v>229</v>
      </c>
      <c r="G20" s="24" t="s">
        <v>172</v>
      </c>
      <c r="H20" s="40">
        <f t="shared" ref="H20:H31" si="0">I20+J20</f>
        <v>10185245</v>
      </c>
      <c r="I20" s="40">
        <f>8941500+198635-54090+79200+150000</f>
        <v>9315245</v>
      </c>
      <c r="J20" s="40">
        <v>870000</v>
      </c>
      <c r="K20" s="40">
        <v>870000</v>
      </c>
    </row>
    <row r="21" spans="1:11" s="25" customFormat="1" ht="46.8" x14ac:dyDescent="0.3">
      <c r="A21" s="24" t="s">
        <v>152</v>
      </c>
      <c r="B21" s="24">
        <v>2111</v>
      </c>
      <c r="C21" s="24" t="s">
        <v>153</v>
      </c>
      <c r="D21" s="26" t="s">
        <v>154</v>
      </c>
      <c r="E21" s="81">
        <v>15</v>
      </c>
      <c r="F21" s="23" t="s">
        <v>229</v>
      </c>
      <c r="G21" s="24" t="s">
        <v>172</v>
      </c>
      <c r="H21" s="40">
        <f t="shared" si="0"/>
        <v>13875610</v>
      </c>
      <c r="I21" s="40">
        <f>8225200+99000+603000+36000+2802000-2099490+1000000+284500+325600+284000</f>
        <v>11559810</v>
      </c>
      <c r="J21" s="40">
        <f>1000000-36000+1468400+130000-246600</f>
        <v>2315800</v>
      </c>
      <c r="K21" s="40">
        <f>1000000-36000+1468400+130000-246600</f>
        <v>2315800</v>
      </c>
    </row>
    <row r="22" spans="1:11" s="25" customFormat="1" ht="46.8" x14ac:dyDescent="0.3">
      <c r="A22" s="21" t="s">
        <v>72</v>
      </c>
      <c r="B22" s="21" t="s">
        <v>73</v>
      </c>
      <c r="C22" s="21" t="s">
        <v>74</v>
      </c>
      <c r="D22" s="86" t="s">
        <v>75</v>
      </c>
      <c r="E22" s="87">
        <v>15</v>
      </c>
      <c r="F22" s="23" t="s">
        <v>229</v>
      </c>
      <c r="G22" s="24" t="s">
        <v>172</v>
      </c>
      <c r="H22" s="40">
        <f t="shared" si="0"/>
        <v>1479600</v>
      </c>
      <c r="I22" s="40">
        <f>1629600-150000</f>
        <v>1479600</v>
      </c>
      <c r="J22" s="40"/>
      <c r="K22" s="40"/>
    </row>
    <row r="23" spans="1:11" s="25" customFormat="1" ht="46.8" x14ac:dyDescent="0.3">
      <c r="A23" s="27" t="s">
        <v>79</v>
      </c>
      <c r="B23" s="21" t="s">
        <v>80</v>
      </c>
      <c r="C23" s="21" t="s">
        <v>81</v>
      </c>
      <c r="D23" s="85" t="s">
        <v>82</v>
      </c>
      <c r="E23" s="78">
        <v>14</v>
      </c>
      <c r="F23" s="88" t="s">
        <v>78</v>
      </c>
      <c r="G23" s="24" t="s">
        <v>174</v>
      </c>
      <c r="H23" s="41">
        <f t="shared" si="0"/>
        <v>4000000</v>
      </c>
      <c r="I23" s="40">
        <f>4000000+900000-900000</f>
        <v>4000000</v>
      </c>
      <c r="J23" s="40"/>
      <c r="K23" s="40"/>
    </row>
    <row r="24" spans="1:11" s="25" customFormat="1" ht="62.4" x14ac:dyDescent="0.3">
      <c r="A24" s="27" t="s">
        <v>79</v>
      </c>
      <c r="B24" s="21" t="s">
        <v>80</v>
      </c>
      <c r="C24" s="21" t="s">
        <v>81</v>
      </c>
      <c r="D24" s="85" t="s">
        <v>82</v>
      </c>
      <c r="E24" s="78">
        <v>13</v>
      </c>
      <c r="F24" s="23" t="s">
        <v>91</v>
      </c>
      <c r="G24" s="24" t="s">
        <v>92</v>
      </c>
      <c r="H24" s="41">
        <f t="shared" si="0"/>
        <v>99900</v>
      </c>
      <c r="I24" s="40">
        <v>99900</v>
      </c>
      <c r="J24" s="40"/>
      <c r="K24" s="40"/>
    </row>
    <row r="25" spans="1:11" s="25" customFormat="1" ht="31.2" x14ac:dyDescent="0.3">
      <c r="A25" s="27" t="s">
        <v>314</v>
      </c>
      <c r="B25" s="21" t="s">
        <v>315</v>
      </c>
      <c r="C25" s="28" t="s">
        <v>316</v>
      </c>
      <c r="D25" s="26" t="s">
        <v>317</v>
      </c>
      <c r="E25" s="78"/>
      <c r="F25" s="23" t="s">
        <v>318</v>
      </c>
      <c r="G25" s="24" t="s">
        <v>319</v>
      </c>
      <c r="H25" s="41">
        <f t="shared" si="0"/>
        <v>2032097</v>
      </c>
      <c r="I25" s="40">
        <f>598400+298000+251900</f>
        <v>1148300</v>
      </c>
      <c r="J25" s="40">
        <f>135597+690000+58200</f>
        <v>883797</v>
      </c>
      <c r="K25" s="40">
        <f>135597+690000+58200</f>
        <v>883797</v>
      </c>
    </row>
    <row r="26" spans="1:11" s="25" customFormat="1" ht="46.8" x14ac:dyDescent="0.3">
      <c r="A26" s="27" t="s">
        <v>252</v>
      </c>
      <c r="B26" s="21" t="s">
        <v>253</v>
      </c>
      <c r="C26" s="28" t="s">
        <v>254</v>
      </c>
      <c r="D26" s="26" t="s">
        <v>255</v>
      </c>
      <c r="E26" s="81">
        <v>15</v>
      </c>
      <c r="F26" s="23" t="s">
        <v>229</v>
      </c>
      <c r="G26" s="24" t="s">
        <v>172</v>
      </c>
      <c r="H26" s="41">
        <f t="shared" si="0"/>
        <v>1680000</v>
      </c>
      <c r="I26" s="40"/>
      <c r="J26" s="40">
        <v>1680000</v>
      </c>
      <c r="K26" s="40">
        <v>1680000</v>
      </c>
    </row>
    <row r="27" spans="1:11" s="25" customFormat="1" ht="46.8" x14ac:dyDescent="0.3">
      <c r="A27" s="27" t="s">
        <v>291</v>
      </c>
      <c r="B27" s="21" t="s">
        <v>292</v>
      </c>
      <c r="C27" s="28" t="s">
        <v>164</v>
      </c>
      <c r="D27" s="26" t="s">
        <v>165</v>
      </c>
      <c r="E27" s="89">
        <v>17</v>
      </c>
      <c r="F27" s="23" t="s">
        <v>163</v>
      </c>
      <c r="G27" s="24" t="s">
        <v>175</v>
      </c>
      <c r="H27" s="41">
        <f t="shared" si="0"/>
        <v>198500</v>
      </c>
      <c r="I27" s="40">
        <f>42000+49000-12500</f>
        <v>78500</v>
      </c>
      <c r="J27" s="40">
        <v>120000</v>
      </c>
      <c r="K27" s="40">
        <v>120000</v>
      </c>
    </row>
    <row r="28" spans="1:11" s="25" customFormat="1" ht="124.8" x14ac:dyDescent="0.3">
      <c r="A28" s="28" t="s">
        <v>196</v>
      </c>
      <c r="B28" s="24">
        <v>8220</v>
      </c>
      <c r="C28" s="28" t="s">
        <v>85</v>
      </c>
      <c r="D28" s="26" t="s">
        <v>197</v>
      </c>
      <c r="E28" s="90">
        <v>18</v>
      </c>
      <c r="F28" s="91" t="s">
        <v>198</v>
      </c>
      <c r="G28" s="24" t="s">
        <v>199</v>
      </c>
      <c r="H28" s="40">
        <f t="shared" si="0"/>
        <v>556030</v>
      </c>
      <c r="I28" s="40">
        <f>637000+33000+116030-230000</f>
        <v>556030</v>
      </c>
      <c r="J28" s="40"/>
      <c r="K28" s="40"/>
    </row>
    <row r="29" spans="1:11" s="25" customFormat="1" ht="62.4" x14ac:dyDescent="0.3">
      <c r="A29" s="21" t="s">
        <v>83</v>
      </c>
      <c r="B29" s="21" t="s">
        <v>84</v>
      </c>
      <c r="C29" s="21" t="s">
        <v>85</v>
      </c>
      <c r="D29" s="85" t="s">
        <v>86</v>
      </c>
      <c r="E29" s="92">
        <v>36</v>
      </c>
      <c r="F29" s="91" t="s">
        <v>189</v>
      </c>
      <c r="G29" s="24" t="s">
        <v>202</v>
      </c>
      <c r="H29" s="40">
        <f>I29+J29</f>
        <v>2220100</v>
      </c>
      <c r="I29" s="40">
        <f>1975000+4800+49500</f>
        <v>2029300</v>
      </c>
      <c r="J29" s="40">
        <v>190800</v>
      </c>
      <c r="K29" s="40">
        <v>190800</v>
      </c>
    </row>
    <row r="30" spans="1:11" s="25" customFormat="1" ht="109.2" x14ac:dyDescent="0.3">
      <c r="A30" s="21" t="s">
        <v>83</v>
      </c>
      <c r="B30" s="21" t="s">
        <v>84</v>
      </c>
      <c r="C30" s="21" t="s">
        <v>85</v>
      </c>
      <c r="D30" s="85" t="s">
        <v>86</v>
      </c>
      <c r="E30" s="92">
        <v>52</v>
      </c>
      <c r="F30" s="26" t="s">
        <v>296</v>
      </c>
      <c r="G30" s="24" t="s">
        <v>306</v>
      </c>
      <c r="H30" s="40">
        <f>I30+J30</f>
        <v>767400</v>
      </c>
      <c r="I30" s="40">
        <f>126000+380700+260700</f>
        <v>767400</v>
      </c>
      <c r="J30" s="40"/>
      <c r="K30" s="40"/>
    </row>
    <row r="31" spans="1:11" s="25" customFormat="1" ht="109.2" x14ac:dyDescent="0.3">
      <c r="A31" s="21" t="s">
        <v>250</v>
      </c>
      <c r="B31" s="21" t="s">
        <v>157</v>
      </c>
      <c r="C31" s="21" t="s">
        <v>85</v>
      </c>
      <c r="D31" s="85" t="s">
        <v>158</v>
      </c>
      <c r="E31" s="92">
        <v>52</v>
      </c>
      <c r="F31" s="26" t="s">
        <v>296</v>
      </c>
      <c r="G31" s="24" t="s">
        <v>237</v>
      </c>
      <c r="H31" s="40">
        <f t="shared" si="0"/>
        <v>2282866</v>
      </c>
      <c r="I31" s="40">
        <f>640000+1000000-1000000+314028+52338</f>
        <v>1006366</v>
      </c>
      <c r="J31" s="40">
        <v>1276500</v>
      </c>
      <c r="K31" s="40">
        <v>1276500</v>
      </c>
    </row>
    <row r="32" spans="1:11" s="25" customFormat="1" ht="62.4" x14ac:dyDescent="0.3">
      <c r="A32" s="21" t="s">
        <v>305</v>
      </c>
      <c r="B32" s="21" t="s">
        <v>302</v>
      </c>
      <c r="C32" s="24" t="s">
        <v>303</v>
      </c>
      <c r="D32" s="26" t="s">
        <v>304</v>
      </c>
      <c r="E32" s="77">
        <v>56</v>
      </c>
      <c r="F32" s="93" t="s">
        <v>343</v>
      </c>
      <c r="G32" s="24" t="s">
        <v>299</v>
      </c>
      <c r="H32" s="40">
        <f>I32+J32</f>
        <v>109900</v>
      </c>
      <c r="I32" s="40"/>
      <c r="J32" s="40">
        <f>100000+9900</f>
        <v>109900</v>
      </c>
      <c r="K32" s="40"/>
    </row>
    <row r="33" spans="1:12" s="31" customFormat="1" ht="16.5" customHeight="1" x14ac:dyDescent="0.3">
      <c r="A33" s="29" t="s">
        <v>5</v>
      </c>
      <c r="B33" s="29"/>
      <c r="C33" s="29"/>
      <c r="D33" s="121" t="s">
        <v>203</v>
      </c>
      <c r="E33" s="122"/>
      <c r="F33" s="123"/>
      <c r="G33" s="30"/>
      <c r="H33" s="39">
        <f>H34</f>
        <v>63161578</v>
      </c>
      <c r="I33" s="39">
        <f>I34</f>
        <v>33241529.640000001</v>
      </c>
      <c r="J33" s="39">
        <f>J34</f>
        <v>29920048.359999999</v>
      </c>
      <c r="K33" s="39">
        <f>K34</f>
        <v>26555829.359999999</v>
      </c>
    </row>
    <row r="34" spans="1:12" s="31" customFormat="1" ht="15.6" x14ac:dyDescent="0.3">
      <c r="A34" s="29" t="s">
        <v>6</v>
      </c>
      <c r="B34" s="29"/>
      <c r="C34" s="29"/>
      <c r="D34" s="121" t="s">
        <v>203</v>
      </c>
      <c r="E34" s="122"/>
      <c r="F34" s="123"/>
      <c r="G34" s="30"/>
      <c r="H34" s="39">
        <f>SUM(H35:H56)</f>
        <v>63161578</v>
      </c>
      <c r="I34" s="39">
        <f>SUM(I35:I56)</f>
        <v>33241529.640000001</v>
      </c>
      <c r="J34" s="39">
        <f t="shared" ref="J34:K34" si="1">SUM(J35:J56)</f>
        <v>29920048.359999999</v>
      </c>
      <c r="K34" s="39">
        <f t="shared" si="1"/>
        <v>26555829.359999999</v>
      </c>
    </row>
    <row r="35" spans="1:12" s="25" customFormat="1" ht="62.4" x14ac:dyDescent="0.3">
      <c r="A35" s="21" t="s">
        <v>7</v>
      </c>
      <c r="B35" s="21" t="s">
        <v>29</v>
      </c>
      <c r="C35" s="21" t="s">
        <v>15</v>
      </c>
      <c r="D35" s="22" t="s">
        <v>8</v>
      </c>
      <c r="E35" s="69">
        <v>13</v>
      </c>
      <c r="F35" s="23" t="s">
        <v>91</v>
      </c>
      <c r="G35" s="82" t="s">
        <v>182</v>
      </c>
      <c r="H35" s="40">
        <f t="shared" ref="H35:H52" si="2">I35+J35</f>
        <v>455000</v>
      </c>
      <c r="I35" s="40">
        <v>455000</v>
      </c>
      <c r="J35" s="40"/>
      <c r="K35" s="40"/>
    </row>
    <row r="36" spans="1:12" s="25" customFormat="1" ht="46.8" x14ac:dyDescent="0.3">
      <c r="A36" s="21" t="s">
        <v>7</v>
      </c>
      <c r="B36" s="21" t="s">
        <v>29</v>
      </c>
      <c r="C36" s="21" t="s">
        <v>15</v>
      </c>
      <c r="D36" s="22" t="s">
        <v>8</v>
      </c>
      <c r="E36" s="69">
        <v>16</v>
      </c>
      <c r="F36" s="23" t="s">
        <v>119</v>
      </c>
      <c r="G36" s="24" t="s">
        <v>176</v>
      </c>
      <c r="H36" s="40">
        <f t="shared" si="2"/>
        <v>4495713</v>
      </c>
      <c r="I36" s="40">
        <v>250000</v>
      </c>
      <c r="J36" s="40">
        <f>3621430+287283-1300000+2100000-166000-1250000+953000</f>
        <v>4245713</v>
      </c>
      <c r="K36" s="40">
        <f>3621430+287283-1300000+2100000-166000-1250000+953000</f>
        <v>4245713</v>
      </c>
    </row>
    <row r="37" spans="1:12" s="25" customFormat="1" ht="62.4" x14ac:dyDescent="0.3">
      <c r="A37" s="21" t="s">
        <v>7</v>
      </c>
      <c r="B37" s="21" t="s">
        <v>29</v>
      </c>
      <c r="C37" s="21" t="s">
        <v>15</v>
      </c>
      <c r="D37" s="22" t="s">
        <v>8</v>
      </c>
      <c r="E37" s="69">
        <v>56</v>
      </c>
      <c r="F37" s="99" t="s">
        <v>343</v>
      </c>
      <c r="G37" s="24" t="s">
        <v>299</v>
      </c>
      <c r="H37" s="40">
        <f t="shared" si="2"/>
        <v>1300000</v>
      </c>
      <c r="I37" s="40"/>
      <c r="J37" s="40">
        <f>1100000+200000</f>
        <v>1300000</v>
      </c>
      <c r="K37" s="40">
        <f>1100000+200000</f>
        <v>1300000</v>
      </c>
    </row>
    <row r="38" spans="1:12" s="25" customFormat="1" ht="46.8" x14ac:dyDescent="0.3">
      <c r="A38" s="21" t="s">
        <v>60</v>
      </c>
      <c r="B38" s="21" t="s">
        <v>61</v>
      </c>
      <c r="C38" s="21" t="s">
        <v>45</v>
      </c>
      <c r="D38" s="85" t="s">
        <v>59</v>
      </c>
      <c r="E38" s="77">
        <v>16</v>
      </c>
      <c r="F38" s="23" t="s">
        <v>119</v>
      </c>
      <c r="G38" s="24" t="s">
        <v>176</v>
      </c>
      <c r="H38" s="40">
        <f>I38+J38</f>
        <v>19012570</v>
      </c>
      <c r="I38" s="40">
        <f>15000000+415800-800000-100000+193000+400000+297000</f>
        <v>15405800</v>
      </c>
      <c r="J38" s="40">
        <f>2254770+1720000-70000-298000</f>
        <v>3606770</v>
      </c>
      <c r="K38" s="40">
        <f>2254770+1720000-70000-298000</f>
        <v>3606770</v>
      </c>
    </row>
    <row r="39" spans="1:12" s="25" customFormat="1" ht="46.8" x14ac:dyDescent="0.3">
      <c r="A39" s="21" t="s">
        <v>60</v>
      </c>
      <c r="B39" s="21" t="s">
        <v>61</v>
      </c>
      <c r="C39" s="21" t="s">
        <v>45</v>
      </c>
      <c r="D39" s="85" t="s">
        <v>59</v>
      </c>
      <c r="E39" s="77">
        <v>23</v>
      </c>
      <c r="F39" s="23" t="s">
        <v>159</v>
      </c>
      <c r="G39" s="24" t="s">
        <v>160</v>
      </c>
      <c r="H39" s="40">
        <f t="shared" si="2"/>
        <v>175530</v>
      </c>
      <c r="I39" s="40">
        <v>175530</v>
      </c>
      <c r="J39" s="40"/>
      <c r="K39" s="40"/>
    </row>
    <row r="40" spans="1:12" s="25" customFormat="1" ht="62.4" x14ac:dyDescent="0.3">
      <c r="A40" s="21" t="s">
        <v>60</v>
      </c>
      <c r="B40" s="21" t="s">
        <v>61</v>
      </c>
      <c r="C40" s="21" t="s">
        <v>45</v>
      </c>
      <c r="D40" s="85" t="s">
        <v>59</v>
      </c>
      <c r="E40" s="77">
        <v>32</v>
      </c>
      <c r="F40" s="23" t="s">
        <v>186</v>
      </c>
      <c r="G40" s="24" t="s">
        <v>185</v>
      </c>
      <c r="H40" s="40">
        <f t="shared" si="2"/>
        <v>15000</v>
      </c>
      <c r="I40" s="40">
        <v>15000</v>
      </c>
      <c r="J40" s="40"/>
      <c r="K40" s="40"/>
    </row>
    <row r="41" spans="1:12" s="25" customFormat="1" ht="46.8" x14ac:dyDescent="0.3">
      <c r="A41" s="21" t="s">
        <v>60</v>
      </c>
      <c r="B41" s="21" t="s">
        <v>61</v>
      </c>
      <c r="C41" s="21" t="s">
        <v>45</v>
      </c>
      <c r="D41" s="85" t="s">
        <v>59</v>
      </c>
      <c r="E41" s="77">
        <v>30</v>
      </c>
      <c r="F41" s="23" t="s">
        <v>162</v>
      </c>
      <c r="G41" s="24" t="s">
        <v>188</v>
      </c>
      <c r="H41" s="40">
        <f t="shared" si="2"/>
        <v>333970</v>
      </c>
      <c r="I41" s="40">
        <f>141290+4052+188628</f>
        <v>333970</v>
      </c>
      <c r="J41" s="40"/>
      <c r="K41" s="40"/>
      <c r="L41" s="73"/>
    </row>
    <row r="42" spans="1:12" s="25" customFormat="1" ht="62.4" x14ac:dyDescent="0.3">
      <c r="A42" s="21" t="s">
        <v>120</v>
      </c>
      <c r="B42" s="21" t="s">
        <v>121</v>
      </c>
      <c r="C42" s="21" t="s">
        <v>122</v>
      </c>
      <c r="D42" s="85" t="s">
        <v>123</v>
      </c>
      <c r="E42" s="77">
        <v>16</v>
      </c>
      <c r="F42" s="23" t="s">
        <v>119</v>
      </c>
      <c r="G42" s="24" t="s">
        <v>176</v>
      </c>
      <c r="H42" s="40">
        <f>I42+J42</f>
        <v>1165000</v>
      </c>
      <c r="I42" s="40">
        <f>1100000+65000</f>
        <v>1165000</v>
      </c>
      <c r="J42" s="40">
        <f>2915000-2915000</f>
        <v>0</v>
      </c>
      <c r="K42" s="40">
        <f>2915000-2915000</f>
        <v>0</v>
      </c>
    </row>
    <row r="43" spans="1:12" s="25" customFormat="1" ht="46.8" x14ac:dyDescent="0.3">
      <c r="A43" s="21" t="s">
        <v>120</v>
      </c>
      <c r="B43" s="21" t="s">
        <v>121</v>
      </c>
      <c r="C43" s="21" t="s">
        <v>122</v>
      </c>
      <c r="D43" s="85" t="s">
        <v>59</v>
      </c>
      <c r="E43" s="77">
        <v>23</v>
      </c>
      <c r="F43" s="23" t="s">
        <v>159</v>
      </c>
      <c r="G43" s="24" t="s">
        <v>160</v>
      </c>
      <c r="H43" s="40">
        <f t="shared" ref="H43" si="3">I43+J43</f>
        <v>21290</v>
      </c>
      <c r="I43" s="40">
        <v>21290</v>
      </c>
      <c r="J43" s="40"/>
      <c r="K43" s="40"/>
    </row>
    <row r="44" spans="1:12" s="25" customFormat="1" ht="46.8" x14ac:dyDescent="0.3">
      <c r="A44" s="21" t="s">
        <v>297</v>
      </c>
      <c r="B44" s="21" t="s">
        <v>124</v>
      </c>
      <c r="C44" s="21" t="s">
        <v>226</v>
      </c>
      <c r="D44" s="85" t="s">
        <v>298</v>
      </c>
      <c r="E44" s="77">
        <v>30</v>
      </c>
      <c r="F44" s="23" t="s">
        <v>162</v>
      </c>
      <c r="G44" s="24" t="s">
        <v>188</v>
      </c>
      <c r="H44" s="40">
        <f>I44+J44</f>
        <v>110128</v>
      </c>
      <c r="I44" s="40">
        <f>10138+99990</f>
        <v>110128</v>
      </c>
      <c r="J44" s="40"/>
      <c r="K44" s="40"/>
    </row>
    <row r="45" spans="1:12" s="25" customFormat="1" ht="46.8" x14ac:dyDescent="0.3">
      <c r="A45" s="21" t="s">
        <v>308</v>
      </c>
      <c r="B45" s="21" t="s">
        <v>309</v>
      </c>
      <c r="C45" s="24" t="s">
        <v>310</v>
      </c>
      <c r="D45" s="26" t="s">
        <v>311</v>
      </c>
      <c r="E45" s="77"/>
      <c r="F45" s="23" t="s">
        <v>162</v>
      </c>
      <c r="G45" s="24" t="s">
        <v>188</v>
      </c>
      <c r="H45" s="40">
        <f>I45+J45</f>
        <v>1200</v>
      </c>
      <c r="I45" s="40">
        <v>1200</v>
      </c>
      <c r="J45" s="40"/>
      <c r="K45" s="40"/>
    </row>
    <row r="46" spans="1:12" s="25" customFormat="1" ht="46.8" x14ac:dyDescent="0.3">
      <c r="A46" s="21" t="s">
        <v>308</v>
      </c>
      <c r="B46" s="21" t="s">
        <v>309</v>
      </c>
      <c r="C46" s="24" t="s">
        <v>310</v>
      </c>
      <c r="D46" s="26" t="s">
        <v>311</v>
      </c>
      <c r="E46" s="94"/>
      <c r="F46" s="23" t="s">
        <v>119</v>
      </c>
      <c r="G46" s="24" t="s">
        <v>176</v>
      </c>
      <c r="H46" s="40">
        <f>I46+J46</f>
        <v>4630000</v>
      </c>
      <c r="I46" s="40"/>
      <c r="J46" s="40">
        <f>3500000+1130000</f>
        <v>4630000</v>
      </c>
      <c r="K46" s="40">
        <f>3500000+1130000</f>
        <v>4630000</v>
      </c>
    </row>
    <row r="47" spans="1:12" s="25" customFormat="1" ht="62.4" x14ac:dyDescent="0.3">
      <c r="A47" s="21" t="s">
        <v>320</v>
      </c>
      <c r="B47" s="21" t="s">
        <v>322</v>
      </c>
      <c r="C47" s="28" t="s">
        <v>310</v>
      </c>
      <c r="D47" s="26" t="s">
        <v>324</v>
      </c>
      <c r="E47" s="77"/>
      <c r="F47" s="23" t="s">
        <v>119</v>
      </c>
      <c r="G47" s="24" t="s">
        <v>176</v>
      </c>
      <c r="H47" s="40">
        <f t="shared" ref="H47:H51" si="4">I47+J47</f>
        <v>1012084</v>
      </c>
      <c r="I47" s="40"/>
      <c r="J47" s="100">
        <v>1012084</v>
      </c>
      <c r="K47" s="100">
        <v>1012084</v>
      </c>
    </row>
    <row r="48" spans="1:12" s="25" customFormat="1" ht="62.4" x14ac:dyDescent="0.3">
      <c r="A48" s="21" t="s">
        <v>321</v>
      </c>
      <c r="B48" s="21" t="s">
        <v>323</v>
      </c>
      <c r="C48" s="28" t="s">
        <v>310</v>
      </c>
      <c r="D48" s="26" t="s">
        <v>325</v>
      </c>
      <c r="E48" s="77"/>
      <c r="F48" s="23" t="s">
        <v>119</v>
      </c>
      <c r="G48" s="24" t="s">
        <v>176</v>
      </c>
      <c r="H48" s="40">
        <f t="shared" si="4"/>
        <v>2361528</v>
      </c>
      <c r="I48" s="40"/>
      <c r="J48" s="100">
        <v>2361528</v>
      </c>
      <c r="K48" s="100">
        <v>2361528</v>
      </c>
    </row>
    <row r="49" spans="1:13" s="25" customFormat="1" ht="93.6" x14ac:dyDescent="0.3">
      <c r="A49" s="21" t="s">
        <v>347</v>
      </c>
      <c r="B49" s="21" t="s">
        <v>348</v>
      </c>
      <c r="C49" s="21" t="s">
        <v>310</v>
      </c>
      <c r="D49" s="26" t="s">
        <v>349</v>
      </c>
      <c r="E49" s="77"/>
      <c r="F49" s="23" t="s">
        <v>119</v>
      </c>
      <c r="G49" s="24" t="s">
        <v>176</v>
      </c>
      <c r="H49" s="40">
        <f t="shared" si="4"/>
        <v>1441809</v>
      </c>
      <c r="I49" s="40"/>
      <c r="J49" s="100">
        <f>656964+784845</f>
        <v>1441809</v>
      </c>
      <c r="K49" s="100">
        <f>656964+784845</f>
        <v>1441809</v>
      </c>
    </row>
    <row r="50" spans="1:13" s="25" customFormat="1" ht="93.6" x14ac:dyDescent="0.3">
      <c r="A50" s="21" t="s">
        <v>350</v>
      </c>
      <c r="B50" s="21" t="s">
        <v>351</v>
      </c>
      <c r="C50" s="21" t="s">
        <v>310</v>
      </c>
      <c r="D50" s="49" t="s">
        <v>352</v>
      </c>
      <c r="E50" s="77"/>
      <c r="F50" s="23" t="s">
        <v>119</v>
      </c>
      <c r="G50" s="24" t="s">
        <v>176</v>
      </c>
      <c r="H50" s="40">
        <f t="shared" si="4"/>
        <v>3364219</v>
      </c>
      <c r="I50" s="40"/>
      <c r="J50" s="100">
        <f>1532916+1831303</f>
        <v>3364219</v>
      </c>
      <c r="K50" s="100"/>
    </row>
    <row r="51" spans="1:13" s="25" customFormat="1" ht="46.8" x14ac:dyDescent="0.3">
      <c r="A51" s="21" t="s">
        <v>353</v>
      </c>
      <c r="B51" s="21" t="s">
        <v>354</v>
      </c>
      <c r="C51" s="21" t="s">
        <v>310</v>
      </c>
      <c r="D51" s="49" t="s">
        <v>355</v>
      </c>
      <c r="E51" s="77"/>
      <c r="F51" s="23" t="s">
        <v>119</v>
      </c>
      <c r="G51" s="24" t="s">
        <v>176</v>
      </c>
      <c r="H51" s="40">
        <f t="shared" si="4"/>
        <v>6815300</v>
      </c>
      <c r="I51" s="40">
        <v>6815300</v>
      </c>
      <c r="J51" s="100"/>
      <c r="K51" s="100"/>
    </row>
    <row r="52" spans="1:13" s="25" customFormat="1" ht="62.4" x14ac:dyDescent="0.3">
      <c r="A52" s="21" t="s">
        <v>184</v>
      </c>
      <c r="B52" s="21" t="s">
        <v>26</v>
      </c>
      <c r="C52" s="21" t="s">
        <v>27</v>
      </c>
      <c r="D52" s="101" t="s">
        <v>16</v>
      </c>
      <c r="E52" s="77">
        <v>25</v>
      </c>
      <c r="F52" s="23" t="s">
        <v>170</v>
      </c>
      <c r="G52" s="24" t="s">
        <v>212</v>
      </c>
      <c r="H52" s="40">
        <f t="shared" si="2"/>
        <v>3899780</v>
      </c>
      <c r="I52" s="40">
        <f>3348600-9100+800000-237720-2000</f>
        <v>3899780</v>
      </c>
      <c r="J52" s="40"/>
      <c r="K52" s="40"/>
    </row>
    <row r="53" spans="1:13" s="37" customFormat="1" ht="46.8" x14ac:dyDescent="0.3">
      <c r="A53" s="28" t="s">
        <v>24</v>
      </c>
      <c r="B53" s="24">
        <v>3242</v>
      </c>
      <c r="C53" s="24">
        <v>1090</v>
      </c>
      <c r="D53" s="23" t="s">
        <v>14</v>
      </c>
      <c r="E53" s="80">
        <v>1</v>
      </c>
      <c r="F53" s="23" t="s">
        <v>28</v>
      </c>
      <c r="G53" s="24" t="s">
        <v>178</v>
      </c>
      <c r="H53" s="40">
        <f t="shared" ref="H53:H56" si="5">I53+J53</f>
        <v>360000</v>
      </c>
      <c r="I53" s="40">
        <v>360000</v>
      </c>
      <c r="J53" s="40"/>
      <c r="K53" s="40"/>
    </row>
    <row r="54" spans="1:13" s="37" customFormat="1" ht="46.8" x14ac:dyDescent="0.3">
      <c r="A54" s="28" t="s">
        <v>24</v>
      </c>
      <c r="B54" s="24">
        <v>3242</v>
      </c>
      <c r="C54" s="24">
        <v>1090</v>
      </c>
      <c r="D54" s="23" t="s">
        <v>14</v>
      </c>
      <c r="E54" s="80">
        <v>14</v>
      </c>
      <c r="F54" s="23" t="s">
        <v>78</v>
      </c>
      <c r="G54" s="24" t="s">
        <v>174</v>
      </c>
      <c r="H54" s="40">
        <f t="shared" si="5"/>
        <v>2740000</v>
      </c>
      <c r="I54" s="40">
        <v>2740000</v>
      </c>
      <c r="J54" s="40"/>
      <c r="K54" s="40"/>
    </row>
    <row r="55" spans="1:13" s="37" customFormat="1" ht="31.2" x14ac:dyDescent="0.3">
      <c r="A55" s="28" t="s">
        <v>344</v>
      </c>
      <c r="B55" s="24">
        <v>7520</v>
      </c>
      <c r="C55" s="28" t="s">
        <v>316</v>
      </c>
      <c r="D55" s="26" t="s">
        <v>317</v>
      </c>
      <c r="E55" s="78"/>
      <c r="F55" s="23" t="s">
        <v>318</v>
      </c>
      <c r="G55" s="24" t="s">
        <v>319</v>
      </c>
      <c r="H55" s="41">
        <f t="shared" si="5"/>
        <v>500000</v>
      </c>
      <c r="I55" s="40">
        <v>295000</v>
      </c>
      <c r="J55" s="40">
        <v>205000</v>
      </c>
      <c r="K55" s="40">
        <v>205000</v>
      </c>
    </row>
    <row r="56" spans="1:13" s="37" customFormat="1" ht="46.8" x14ac:dyDescent="0.3">
      <c r="A56" s="28" t="s">
        <v>256</v>
      </c>
      <c r="B56" s="24">
        <v>8110</v>
      </c>
      <c r="C56" s="28" t="s">
        <v>164</v>
      </c>
      <c r="D56" s="26" t="s">
        <v>165</v>
      </c>
      <c r="E56" s="81">
        <v>17</v>
      </c>
      <c r="F56" s="23" t="s">
        <v>163</v>
      </c>
      <c r="G56" s="24" t="s">
        <v>175</v>
      </c>
      <c r="H56" s="40">
        <f t="shared" si="5"/>
        <v>8951457</v>
      </c>
      <c r="I56" s="40">
        <f>100000+531231.64+650000-82700</f>
        <v>1198531.6400000001</v>
      </c>
      <c r="J56" s="40">
        <f>3000000+689876+1958149.36+7000000-1545100-100000-3250000</f>
        <v>7752925.3599999994</v>
      </c>
      <c r="K56" s="40">
        <f>3000000+689876+1958149.36+7000000-1545100-100000-3250000</f>
        <v>7752925.3599999994</v>
      </c>
    </row>
    <row r="57" spans="1:13" s="47" customFormat="1" ht="15.6" x14ac:dyDescent="0.3">
      <c r="A57" s="29" t="s">
        <v>17</v>
      </c>
      <c r="B57" s="29"/>
      <c r="C57" s="29"/>
      <c r="D57" s="121" t="s">
        <v>147</v>
      </c>
      <c r="E57" s="122"/>
      <c r="F57" s="123"/>
      <c r="G57" s="30"/>
      <c r="H57" s="39">
        <f>H58</f>
        <v>54811740</v>
      </c>
      <c r="I57" s="39">
        <f>I58</f>
        <v>54811740</v>
      </c>
      <c r="J57" s="39">
        <f t="shared" ref="J57:K57" si="6">J58</f>
        <v>0</v>
      </c>
      <c r="K57" s="39">
        <f t="shared" si="6"/>
        <v>0</v>
      </c>
    </row>
    <row r="58" spans="1:13" s="47" customFormat="1" ht="15.6" x14ac:dyDescent="0.3">
      <c r="A58" s="29" t="s">
        <v>18</v>
      </c>
      <c r="B58" s="29"/>
      <c r="C58" s="29"/>
      <c r="D58" s="121" t="s">
        <v>147</v>
      </c>
      <c r="E58" s="122"/>
      <c r="F58" s="123"/>
      <c r="G58" s="30"/>
      <c r="H58" s="39">
        <f>SUM(H59:H71)</f>
        <v>54811740</v>
      </c>
      <c r="I58" s="39">
        <f>SUM(I59:I71)</f>
        <v>54811740</v>
      </c>
      <c r="J58" s="39">
        <f>SUM(J59:J70)</f>
        <v>0</v>
      </c>
      <c r="K58" s="39">
        <f>SUM(K59:K70)</f>
        <v>0</v>
      </c>
    </row>
    <row r="59" spans="1:13" s="46" customFormat="1" ht="46.8" x14ac:dyDescent="0.3">
      <c r="A59" s="21" t="s">
        <v>87</v>
      </c>
      <c r="B59" s="21" t="s">
        <v>88</v>
      </c>
      <c r="C59" s="21" t="s">
        <v>89</v>
      </c>
      <c r="D59" s="49" t="s">
        <v>90</v>
      </c>
      <c r="E59" s="70">
        <v>14</v>
      </c>
      <c r="F59" s="23" t="s">
        <v>78</v>
      </c>
      <c r="G59" s="24" t="s">
        <v>174</v>
      </c>
      <c r="H59" s="40">
        <f>I59+J59</f>
        <v>8000</v>
      </c>
      <c r="I59" s="40">
        <f>161000-153000</f>
        <v>8000</v>
      </c>
      <c r="J59" s="40"/>
      <c r="K59" s="40"/>
    </row>
    <row r="60" spans="1:13" s="46" customFormat="1" ht="62.4" x14ac:dyDescent="0.3">
      <c r="A60" s="21" t="s">
        <v>87</v>
      </c>
      <c r="B60" s="21" t="s">
        <v>88</v>
      </c>
      <c r="C60" s="21" t="s">
        <v>89</v>
      </c>
      <c r="D60" s="49" t="s">
        <v>90</v>
      </c>
      <c r="E60" s="70">
        <v>13</v>
      </c>
      <c r="F60" s="23" t="s">
        <v>91</v>
      </c>
      <c r="G60" s="24" t="s">
        <v>92</v>
      </c>
      <c r="H60" s="40">
        <f t="shared" ref="H60:H71" si="7">I60+J60</f>
        <v>1797900</v>
      </c>
      <c r="I60" s="40">
        <f>2150000-352100</f>
        <v>1797900</v>
      </c>
      <c r="J60" s="40"/>
      <c r="K60" s="40"/>
    </row>
    <row r="61" spans="1:13" s="46" customFormat="1" ht="46.8" x14ac:dyDescent="0.3">
      <c r="A61" s="21" t="s">
        <v>93</v>
      </c>
      <c r="B61" s="21" t="s">
        <v>94</v>
      </c>
      <c r="C61" s="21" t="s">
        <v>89</v>
      </c>
      <c r="D61" s="49" t="s">
        <v>95</v>
      </c>
      <c r="E61" s="70">
        <v>14</v>
      </c>
      <c r="F61" s="23" t="s">
        <v>78</v>
      </c>
      <c r="G61" s="24" t="s">
        <v>174</v>
      </c>
      <c r="H61" s="40">
        <f t="shared" si="7"/>
        <v>4700</v>
      </c>
      <c r="I61" s="40">
        <f>11500-6800</f>
        <v>4700</v>
      </c>
      <c r="J61" s="40"/>
      <c r="K61" s="40"/>
    </row>
    <row r="62" spans="1:13" s="46" customFormat="1" ht="46.8" x14ac:dyDescent="0.3">
      <c r="A62" s="21" t="s">
        <v>25</v>
      </c>
      <c r="B62" s="21" t="s">
        <v>54</v>
      </c>
      <c r="C62" s="21" t="s">
        <v>27</v>
      </c>
      <c r="D62" s="22" t="s">
        <v>62</v>
      </c>
      <c r="E62" s="69">
        <v>29</v>
      </c>
      <c r="F62" s="23" t="s">
        <v>169</v>
      </c>
      <c r="G62" s="24" t="s">
        <v>201</v>
      </c>
      <c r="H62" s="40">
        <f t="shared" si="7"/>
        <v>208000</v>
      </c>
      <c r="I62" s="40">
        <v>208000</v>
      </c>
      <c r="J62" s="40"/>
      <c r="K62" s="40"/>
      <c r="M62" s="48"/>
    </row>
    <row r="63" spans="1:13" s="46" customFormat="1" ht="46.8" x14ac:dyDescent="0.3">
      <c r="A63" s="21" t="s">
        <v>25</v>
      </c>
      <c r="B63" s="21" t="s">
        <v>54</v>
      </c>
      <c r="C63" s="21" t="s">
        <v>27</v>
      </c>
      <c r="D63" s="22" t="s">
        <v>62</v>
      </c>
      <c r="E63" s="69">
        <v>14</v>
      </c>
      <c r="F63" s="23" t="s">
        <v>78</v>
      </c>
      <c r="G63" s="24" t="s">
        <v>177</v>
      </c>
      <c r="H63" s="40">
        <f t="shared" si="7"/>
        <v>252500</v>
      </c>
      <c r="I63" s="40">
        <f>227500+25000</f>
        <v>252500</v>
      </c>
      <c r="J63" s="40"/>
      <c r="K63" s="40"/>
      <c r="M63" s="48"/>
    </row>
    <row r="64" spans="1:13" s="46" customFormat="1" ht="46.8" x14ac:dyDescent="0.3">
      <c r="A64" s="21" t="s">
        <v>107</v>
      </c>
      <c r="B64" s="21" t="s">
        <v>108</v>
      </c>
      <c r="C64" s="21" t="s">
        <v>27</v>
      </c>
      <c r="D64" s="32" t="s">
        <v>109</v>
      </c>
      <c r="E64" s="77">
        <v>14</v>
      </c>
      <c r="F64" s="23" t="s">
        <v>78</v>
      </c>
      <c r="G64" s="24" t="s">
        <v>179</v>
      </c>
      <c r="H64" s="40">
        <f>I64+J64</f>
        <v>361500</v>
      </c>
      <c r="I64" s="40">
        <f>700000-275000-63500</f>
        <v>361500</v>
      </c>
      <c r="J64" s="40"/>
      <c r="K64" s="40"/>
      <c r="M64" s="48"/>
    </row>
    <row r="65" spans="1:13" s="46" customFormat="1" ht="78" x14ac:dyDescent="0.3">
      <c r="A65" s="21" t="s">
        <v>96</v>
      </c>
      <c r="B65" s="21" t="s">
        <v>97</v>
      </c>
      <c r="C65" s="21" t="s">
        <v>29</v>
      </c>
      <c r="D65" s="22" t="s">
        <v>98</v>
      </c>
      <c r="E65" s="69">
        <v>14</v>
      </c>
      <c r="F65" s="23" t="s">
        <v>78</v>
      </c>
      <c r="G65" s="24" t="s">
        <v>174</v>
      </c>
      <c r="H65" s="40">
        <f t="shared" si="7"/>
        <v>2779000</v>
      </c>
      <c r="I65" s="40">
        <f>3300000-521000</f>
        <v>2779000</v>
      </c>
      <c r="J65" s="40"/>
      <c r="K65" s="40"/>
      <c r="M65" s="48"/>
    </row>
    <row r="66" spans="1:13" s="46" customFormat="1" ht="62.4" x14ac:dyDescent="0.3">
      <c r="A66" s="21" t="s">
        <v>99</v>
      </c>
      <c r="B66" s="21" t="s">
        <v>100</v>
      </c>
      <c r="C66" s="21" t="s">
        <v>101</v>
      </c>
      <c r="D66" s="22" t="s">
        <v>102</v>
      </c>
      <c r="E66" s="69">
        <v>14</v>
      </c>
      <c r="F66" s="23" t="s">
        <v>78</v>
      </c>
      <c r="G66" s="24" t="s">
        <v>174</v>
      </c>
      <c r="H66" s="40">
        <f t="shared" si="7"/>
        <v>1061300</v>
      </c>
      <c r="I66" s="40">
        <f>1500000-40000-398700</f>
        <v>1061300</v>
      </c>
      <c r="J66" s="40"/>
      <c r="K66" s="40"/>
      <c r="M66" s="48"/>
    </row>
    <row r="67" spans="1:13" s="46" customFormat="1" ht="46.8" x14ac:dyDescent="0.3">
      <c r="A67" s="21" t="s">
        <v>103</v>
      </c>
      <c r="B67" s="21" t="s">
        <v>104</v>
      </c>
      <c r="C67" s="21" t="s">
        <v>89</v>
      </c>
      <c r="D67" s="22" t="s">
        <v>105</v>
      </c>
      <c r="E67" s="69">
        <v>14</v>
      </c>
      <c r="F67" s="23" t="s">
        <v>78</v>
      </c>
      <c r="G67" s="24" t="s">
        <v>174</v>
      </c>
      <c r="H67" s="40">
        <f t="shared" si="7"/>
        <v>71000</v>
      </c>
      <c r="I67" s="40">
        <v>71000</v>
      </c>
      <c r="J67" s="40"/>
      <c r="K67" s="40"/>
      <c r="M67" s="48"/>
    </row>
    <row r="68" spans="1:13" s="46" customFormat="1" ht="46.8" x14ac:dyDescent="0.3">
      <c r="A68" s="21" t="s">
        <v>166</v>
      </c>
      <c r="B68" s="21" t="s">
        <v>167</v>
      </c>
      <c r="C68" s="21" t="s">
        <v>124</v>
      </c>
      <c r="D68" s="50" t="s">
        <v>168</v>
      </c>
      <c r="E68" s="71">
        <v>14</v>
      </c>
      <c r="F68" s="23" t="s">
        <v>78</v>
      </c>
      <c r="G68" s="24" t="s">
        <v>174</v>
      </c>
      <c r="H68" s="40">
        <f t="shared" si="7"/>
        <v>497600</v>
      </c>
      <c r="I68" s="40">
        <f>688600-191000</f>
        <v>497600</v>
      </c>
      <c r="J68" s="40"/>
      <c r="K68" s="40"/>
      <c r="M68" s="48"/>
    </row>
    <row r="69" spans="1:13" s="46" customFormat="1" ht="46.8" x14ac:dyDescent="0.3">
      <c r="A69" s="21" t="s">
        <v>106</v>
      </c>
      <c r="B69" s="21" t="s">
        <v>80</v>
      </c>
      <c r="C69" s="21" t="s">
        <v>81</v>
      </c>
      <c r="D69" s="51" t="s">
        <v>82</v>
      </c>
      <c r="E69" s="69">
        <v>14</v>
      </c>
      <c r="F69" s="23" t="s">
        <v>78</v>
      </c>
      <c r="G69" s="24" t="s">
        <v>174</v>
      </c>
      <c r="H69" s="40">
        <f t="shared" si="7"/>
        <v>34245400</v>
      </c>
      <c r="I69" s="40">
        <f>10052800+25321600+99200+300000-99900+700-1850000-85000+100000-200000+206000+200000+200000</f>
        <v>34245400</v>
      </c>
      <c r="J69" s="40"/>
      <c r="K69" s="40"/>
      <c r="M69" s="48"/>
    </row>
    <row r="70" spans="1:13" s="46" customFormat="1" ht="62.4" x14ac:dyDescent="0.3">
      <c r="A70" s="21" t="s">
        <v>106</v>
      </c>
      <c r="B70" s="21" t="s">
        <v>80</v>
      </c>
      <c r="C70" s="21" t="s">
        <v>81</v>
      </c>
      <c r="D70" s="22" t="s">
        <v>82</v>
      </c>
      <c r="E70" s="69">
        <v>13</v>
      </c>
      <c r="F70" s="23" t="s">
        <v>91</v>
      </c>
      <c r="G70" s="24" t="s">
        <v>180</v>
      </c>
      <c r="H70" s="40">
        <f t="shared" si="7"/>
        <v>13445400</v>
      </c>
      <c r="I70" s="40">
        <f>2294000+338100+7678400+1000000+99900+1000000+250000+600000+85000+200000+300000-200000-200000</f>
        <v>13445400</v>
      </c>
      <c r="J70" s="40"/>
      <c r="K70" s="40"/>
      <c r="M70" s="48"/>
    </row>
    <row r="71" spans="1:13" s="25" customFormat="1" ht="31.2" x14ac:dyDescent="0.3">
      <c r="A71" s="27" t="s">
        <v>328</v>
      </c>
      <c r="B71" s="21" t="s">
        <v>315</v>
      </c>
      <c r="C71" s="28" t="s">
        <v>316</v>
      </c>
      <c r="D71" s="26" t="s">
        <v>317</v>
      </c>
      <c r="E71" s="76"/>
      <c r="F71" s="23" t="s">
        <v>318</v>
      </c>
      <c r="G71" s="24" t="s">
        <v>319</v>
      </c>
      <c r="H71" s="41">
        <f t="shared" si="7"/>
        <v>79440</v>
      </c>
      <c r="I71" s="40">
        <v>79440</v>
      </c>
      <c r="J71" s="40"/>
      <c r="K71" s="40"/>
    </row>
    <row r="72" spans="1:13" s="46" customFormat="1" ht="15.75" customHeight="1" x14ac:dyDescent="0.3">
      <c r="A72" s="79" t="s">
        <v>213</v>
      </c>
      <c r="B72" s="80" t="s">
        <v>214</v>
      </c>
      <c r="C72" s="80" t="s">
        <v>214</v>
      </c>
      <c r="D72" s="129" t="s">
        <v>215</v>
      </c>
      <c r="E72" s="130"/>
      <c r="F72" s="131"/>
      <c r="G72" s="24"/>
      <c r="H72" s="39">
        <f>H73</f>
        <v>4486735</v>
      </c>
      <c r="I72" s="39">
        <f t="shared" ref="I72:K72" si="8">I73</f>
        <v>255000</v>
      </c>
      <c r="J72" s="39">
        <f t="shared" si="8"/>
        <v>4231735</v>
      </c>
      <c r="K72" s="39">
        <f t="shared" si="8"/>
        <v>4231735</v>
      </c>
      <c r="L72" s="48"/>
      <c r="M72" s="48"/>
    </row>
    <row r="73" spans="1:13" s="46" customFormat="1" ht="18" customHeight="1" x14ac:dyDescent="0.3">
      <c r="A73" s="79" t="s">
        <v>216</v>
      </c>
      <c r="B73" s="80" t="s">
        <v>214</v>
      </c>
      <c r="C73" s="80" t="s">
        <v>214</v>
      </c>
      <c r="D73" s="129" t="s">
        <v>215</v>
      </c>
      <c r="E73" s="130"/>
      <c r="F73" s="131"/>
      <c r="G73" s="24"/>
      <c r="H73" s="39">
        <f>H74+H75</f>
        <v>4486735</v>
      </c>
      <c r="I73" s="39">
        <f t="shared" ref="I73:K73" si="9">I74+I75</f>
        <v>255000</v>
      </c>
      <c r="J73" s="39">
        <f t="shared" si="9"/>
        <v>4231735</v>
      </c>
      <c r="K73" s="39">
        <f t="shared" si="9"/>
        <v>4231735</v>
      </c>
      <c r="L73" s="48"/>
      <c r="M73" s="48"/>
    </row>
    <row r="74" spans="1:13" s="46" customFormat="1" ht="46.8" x14ac:dyDescent="0.3">
      <c r="A74" s="28" t="s">
        <v>217</v>
      </c>
      <c r="B74" s="24" t="s">
        <v>76</v>
      </c>
      <c r="C74" s="24" t="s">
        <v>27</v>
      </c>
      <c r="D74" s="26" t="s">
        <v>77</v>
      </c>
      <c r="E74" s="81">
        <v>14</v>
      </c>
      <c r="F74" s="23" t="s">
        <v>78</v>
      </c>
      <c r="G74" s="82" t="s">
        <v>173</v>
      </c>
      <c r="H74" s="40">
        <f>I74+J74</f>
        <v>205000</v>
      </c>
      <c r="I74" s="40">
        <v>205000</v>
      </c>
      <c r="J74" s="40"/>
      <c r="K74" s="40"/>
      <c r="L74" s="48"/>
      <c r="M74" s="48"/>
    </row>
    <row r="75" spans="1:13" s="46" customFormat="1" ht="78" x14ac:dyDescent="0.3">
      <c r="A75" s="28" t="s">
        <v>356</v>
      </c>
      <c r="B75" s="24">
        <v>6083</v>
      </c>
      <c r="C75" s="28" t="s">
        <v>257</v>
      </c>
      <c r="D75" s="26" t="s">
        <v>357</v>
      </c>
      <c r="E75" s="83"/>
      <c r="F75" s="84" t="s">
        <v>358</v>
      </c>
      <c r="G75" s="82" t="s">
        <v>359</v>
      </c>
      <c r="H75" s="40">
        <f>I75+J75</f>
        <v>4281735</v>
      </c>
      <c r="I75" s="40">
        <v>50000</v>
      </c>
      <c r="J75" s="40">
        <v>4231735</v>
      </c>
      <c r="K75" s="40">
        <v>4231735</v>
      </c>
      <c r="L75" s="48"/>
      <c r="M75" s="48"/>
    </row>
    <row r="76" spans="1:13" s="25" customFormat="1" ht="15.6" x14ac:dyDescent="0.3">
      <c r="A76" s="29" t="s">
        <v>125</v>
      </c>
      <c r="B76" s="29"/>
      <c r="C76" s="29"/>
      <c r="D76" s="121" t="s">
        <v>148</v>
      </c>
      <c r="E76" s="122"/>
      <c r="F76" s="123"/>
      <c r="G76" s="30"/>
      <c r="H76" s="39">
        <f>H77</f>
        <v>1519810</v>
      </c>
      <c r="I76" s="39">
        <f>I77</f>
        <v>1054810</v>
      </c>
      <c r="J76" s="39">
        <f>J77</f>
        <v>465000</v>
      </c>
      <c r="K76" s="39">
        <f>K77</f>
        <v>190000</v>
      </c>
      <c r="L76" s="33"/>
      <c r="M76" s="33"/>
    </row>
    <row r="77" spans="1:13" s="25" customFormat="1" ht="15.6" x14ac:dyDescent="0.3">
      <c r="A77" s="29" t="s">
        <v>126</v>
      </c>
      <c r="B77" s="29"/>
      <c r="C77" s="29"/>
      <c r="D77" s="121" t="s">
        <v>148</v>
      </c>
      <c r="E77" s="122"/>
      <c r="F77" s="123"/>
      <c r="G77" s="30"/>
      <c r="H77" s="39">
        <f>SUM(H78:H85)</f>
        <v>1519810</v>
      </c>
      <c r="I77" s="39">
        <f t="shared" ref="I77:K77" si="10">SUM(I78:I85)</f>
        <v>1054810</v>
      </c>
      <c r="J77" s="39">
        <f t="shared" si="10"/>
        <v>465000</v>
      </c>
      <c r="K77" s="39">
        <f t="shared" si="10"/>
        <v>190000</v>
      </c>
      <c r="L77" s="33"/>
      <c r="M77" s="33"/>
    </row>
    <row r="78" spans="1:13" s="31" customFormat="1" ht="46.8" x14ac:dyDescent="0.3">
      <c r="A78" s="21" t="s">
        <v>127</v>
      </c>
      <c r="B78" s="21" t="s">
        <v>128</v>
      </c>
      <c r="C78" s="21" t="s">
        <v>129</v>
      </c>
      <c r="D78" s="22" t="s">
        <v>130</v>
      </c>
      <c r="E78" s="96">
        <v>28</v>
      </c>
      <c r="F78" s="97" t="s">
        <v>149</v>
      </c>
      <c r="G78" s="82" t="s">
        <v>200</v>
      </c>
      <c r="H78" s="40">
        <f t="shared" ref="H78:H85" si="11">I78+J78</f>
        <v>94810</v>
      </c>
      <c r="I78" s="40">
        <f>99000-4190</f>
        <v>94810</v>
      </c>
      <c r="J78" s="40"/>
      <c r="K78" s="40"/>
    </row>
    <row r="79" spans="1:13" s="31" customFormat="1" ht="46.8" x14ac:dyDescent="0.3">
      <c r="A79" s="21" t="s">
        <v>224</v>
      </c>
      <c r="B79" s="21" t="s">
        <v>225</v>
      </c>
      <c r="C79" s="21" t="s">
        <v>226</v>
      </c>
      <c r="D79" s="22" t="s">
        <v>227</v>
      </c>
      <c r="E79" s="69">
        <v>28</v>
      </c>
      <c r="F79" s="98" t="s">
        <v>149</v>
      </c>
      <c r="G79" s="82" t="s">
        <v>200</v>
      </c>
      <c r="H79" s="40">
        <f>I79+J79</f>
        <v>275000</v>
      </c>
      <c r="I79" s="40"/>
      <c r="J79" s="40">
        <v>275000</v>
      </c>
      <c r="K79" s="40"/>
    </row>
    <row r="80" spans="1:13" s="25" customFormat="1" ht="62.4" x14ac:dyDescent="0.3">
      <c r="A80" s="28" t="s">
        <v>211</v>
      </c>
      <c r="B80" s="24">
        <v>3140</v>
      </c>
      <c r="C80" s="21" t="s">
        <v>27</v>
      </c>
      <c r="D80" s="22" t="s">
        <v>16</v>
      </c>
      <c r="E80" s="69">
        <v>25</v>
      </c>
      <c r="F80" s="23" t="s">
        <v>170</v>
      </c>
      <c r="G80" s="24" t="s">
        <v>212</v>
      </c>
      <c r="H80" s="40">
        <f>I80+J80</f>
        <v>150000</v>
      </c>
      <c r="I80" s="40">
        <v>150000</v>
      </c>
      <c r="J80" s="40"/>
      <c r="K80" s="40"/>
    </row>
    <row r="81" spans="1:11" s="25" customFormat="1" ht="46.8" x14ac:dyDescent="0.3">
      <c r="A81" s="21" t="s">
        <v>131</v>
      </c>
      <c r="B81" s="21" t="s">
        <v>132</v>
      </c>
      <c r="C81" s="21" t="s">
        <v>133</v>
      </c>
      <c r="D81" s="22" t="s">
        <v>134</v>
      </c>
      <c r="E81" s="69">
        <v>28</v>
      </c>
      <c r="F81" s="98" t="s">
        <v>149</v>
      </c>
      <c r="G81" s="82" t="s">
        <v>200</v>
      </c>
      <c r="H81" s="40">
        <f t="shared" ref="H81:H83" si="12">I81+J81</f>
        <v>260000</v>
      </c>
      <c r="I81" s="40">
        <v>260000</v>
      </c>
      <c r="J81" s="40"/>
      <c r="K81" s="40"/>
    </row>
    <row r="82" spans="1:11" s="25" customFormat="1" ht="46.8" x14ac:dyDescent="0.3">
      <c r="A82" s="21" t="s">
        <v>135</v>
      </c>
      <c r="B82" s="21" t="s">
        <v>136</v>
      </c>
      <c r="C82" s="21" t="s">
        <v>133</v>
      </c>
      <c r="D82" s="22" t="s">
        <v>137</v>
      </c>
      <c r="E82" s="69">
        <v>28</v>
      </c>
      <c r="F82" s="98" t="s">
        <v>149</v>
      </c>
      <c r="G82" s="24" t="s">
        <v>200</v>
      </c>
      <c r="H82" s="40">
        <f t="shared" si="12"/>
        <v>214000</v>
      </c>
      <c r="I82" s="40">
        <v>24000</v>
      </c>
      <c r="J82" s="40">
        <v>190000</v>
      </c>
      <c r="K82" s="40">
        <v>190000</v>
      </c>
    </row>
    <row r="83" spans="1:11" s="25" customFormat="1" ht="46.8" x14ac:dyDescent="0.3">
      <c r="A83" s="21" t="s">
        <v>138</v>
      </c>
      <c r="B83" s="21" t="s">
        <v>139</v>
      </c>
      <c r="C83" s="21" t="s">
        <v>140</v>
      </c>
      <c r="D83" s="22" t="s">
        <v>141</v>
      </c>
      <c r="E83" s="96">
        <v>28</v>
      </c>
      <c r="F83" s="97" t="s">
        <v>149</v>
      </c>
      <c r="G83" s="82" t="s">
        <v>200</v>
      </c>
      <c r="H83" s="40">
        <f t="shared" si="12"/>
        <v>192000</v>
      </c>
      <c r="I83" s="40">
        <v>192000</v>
      </c>
      <c r="J83" s="40"/>
      <c r="K83" s="40"/>
    </row>
    <row r="84" spans="1:11" s="25" customFormat="1" ht="46.8" x14ac:dyDescent="0.3">
      <c r="A84" s="21" t="s">
        <v>142</v>
      </c>
      <c r="B84" s="21" t="s">
        <v>143</v>
      </c>
      <c r="C84" s="21" t="s">
        <v>144</v>
      </c>
      <c r="D84" s="22" t="s">
        <v>145</v>
      </c>
      <c r="E84" s="96">
        <v>28</v>
      </c>
      <c r="F84" s="97" t="s">
        <v>149</v>
      </c>
      <c r="G84" s="82" t="s">
        <v>200</v>
      </c>
      <c r="H84" s="40">
        <f t="shared" si="11"/>
        <v>320000</v>
      </c>
      <c r="I84" s="40">
        <f>600000-280000</f>
        <v>320000</v>
      </c>
      <c r="J84" s="40"/>
      <c r="K84" s="40"/>
    </row>
    <row r="85" spans="1:11" s="25" customFormat="1" ht="31.2" x14ac:dyDescent="0.3">
      <c r="A85" s="27" t="s">
        <v>329</v>
      </c>
      <c r="B85" s="21" t="s">
        <v>315</v>
      </c>
      <c r="C85" s="28" t="s">
        <v>316</v>
      </c>
      <c r="D85" s="26" t="s">
        <v>317</v>
      </c>
      <c r="E85" s="78"/>
      <c r="F85" s="23" t="s">
        <v>318</v>
      </c>
      <c r="G85" s="24" t="s">
        <v>319</v>
      </c>
      <c r="H85" s="41">
        <f t="shared" si="11"/>
        <v>14000</v>
      </c>
      <c r="I85" s="40">
        <v>14000</v>
      </c>
      <c r="J85" s="40"/>
      <c r="K85" s="40"/>
    </row>
    <row r="86" spans="1:11" s="46" customFormat="1" ht="15.6" x14ac:dyDescent="0.3">
      <c r="A86" s="29" t="s">
        <v>22</v>
      </c>
      <c r="B86" s="29"/>
      <c r="C86" s="29"/>
      <c r="D86" s="121" t="s">
        <v>156</v>
      </c>
      <c r="E86" s="122"/>
      <c r="F86" s="123"/>
      <c r="G86" s="30"/>
      <c r="H86" s="39">
        <f>H87</f>
        <v>4034330</v>
      </c>
      <c r="I86" s="39">
        <f>I87</f>
        <v>4034330</v>
      </c>
      <c r="J86" s="39"/>
      <c r="K86" s="39"/>
    </row>
    <row r="87" spans="1:11" s="47" customFormat="1" ht="15.6" x14ac:dyDescent="0.3">
      <c r="A87" s="29" t="s">
        <v>23</v>
      </c>
      <c r="B87" s="29"/>
      <c r="C87" s="29"/>
      <c r="D87" s="121" t="s">
        <v>156</v>
      </c>
      <c r="E87" s="122"/>
      <c r="F87" s="123"/>
      <c r="G87" s="30"/>
      <c r="H87" s="39">
        <f>SUM(H88:H93)</f>
        <v>4034330</v>
      </c>
      <c r="I87" s="39">
        <f>SUM(I88:I93)</f>
        <v>4034330</v>
      </c>
      <c r="J87" s="39"/>
      <c r="K87" s="39"/>
    </row>
    <row r="88" spans="1:11" s="75" customFormat="1" ht="46.8" x14ac:dyDescent="0.3">
      <c r="A88" s="21" t="s">
        <v>195</v>
      </c>
      <c r="B88" s="21" t="s">
        <v>128</v>
      </c>
      <c r="C88" s="21" t="s">
        <v>129</v>
      </c>
      <c r="D88" s="22" t="s">
        <v>130</v>
      </c>
      <c r="E88" s="69">
        <v>29</v>
      </c>
      <c r="F88" s="23" t="s">
        <v>171</v>
      </c>
      <c r="G88" s="24" t="s">
        <v>201</v>
      </c>
      <c r="H88" s="40">
        <f t="shared" ref="H88:H93" si="13">I88+J88</f>
        <v>14730</v>
      </c>
      <c r="I88" s="40">
        <f>30000-15270</f>
        <v>14730</v>
      </c>
      <c r="J88" s="40"/>
      <c r="K88" s="40"/>
    </row>
    <row r="89" spans="1:11" s="75" customFormat="1" ht="46.8" x14ac:dyDescent="0.3">
      <c r="A89" s="21" t="s">
        <v>195</v>
      </c>
      <c r="B89" s="21" t="s">
        <v>128</v>
      </c>
      <c r="C89" s="21" t="s">
        <v>129</v>
      </c>
      <c r="D89" s="22" t="s">
        <v>130</v>
      </c>
      <c r="E89" s="69">
        <v>30</v>
      </c>
      <c r="F89" s="23" t="s">
        <v>162</v>
      </c>
      <c r="G89" s="24" t="s">
        <v>188</v>
      </c>
      <c r="H89" s="40">
        <f t="shared" si="13"/>
        <v>49900</v>
      </c>
      <c r="I89" s="40">
        <f>69000-19100</f>
        <v>49900</v>
      </c>
      <c r="J89" s="40"/>
      <c r="K89" s="40"/>
    </row>
    <row r="90" spans="1:11" s="47" customFormat="1" ht="46.8" x14ac:dyDescent="0.3">
      <c r="A90" s="21" t="s">
        <v>42</v>
      </c>
      <c r="B90" s="21" t="s">
        <v>43</v>
      </c>
      <c r="C90" s="21" t="s">
        <v>27</v>
      </c>
      <c r="D90" s="22" t="s">
        <v>44</v>
      </c>
      <c r="E90" s="69">
        <v>29</v>
      </c>
      <c r="F90" s="23" t="s">
        <v>171</v>
      </c>
      <c r="G90" s="24" t="s">
        <v>201</v>
      </c>
      <c r="H90" s="40">
        <f t="shared" si="13"/>
        <v>913000</v>
      </c>
      <c r="I90" s="40">
        <v>913000</v>
      </c>
      <c r="J90" s="40"/>
      <c r="K90" s="40"/>
    </row>
    <row r="91" spans="1:11" s="46" customFormat="1" ht="46.8" x14ac:dyDescent="0.3">
      <c r="A91" s="21" t="s">
        <v>110</v>
      </c>
      <c r="B91" s="21" t="s">
        <v>111</v>
      </c>
      <c r="C91" s="21" t="s">
        <v>38</v>
      </c>
      <c r="D91" s="22" t="s">
        <v>112</v>
      </c>
      <c r="E91" s="69">
        <v>30</v>
      </c>
      <c r="F91" s="23" t="s">
        <v>162</v>
      </c>
      <c r="G91" s="24" t="s">
        <v>188</v>
      </c>
      <c r="H91" s="40">
        <f t="shared" si="13"/>
        <v>895000</v>
      </c>
      <c r="I91" s="40">
        <f>950000-55000</f>
        <v>895000</v>
      </c>
      <c r="J91" s="40"/>
      <c r="K91" s="40"/>
    </row>
    <row r="92" spans="1:11" s="46" customFormat="1" ht="46.8" x14ac:dyDescent="0.3">
      <c r="A92" s="21" t="s">
        <v>114</v>
      </c>
      <c r="B92" s="21" t="s">
        <v>113</v>
      </c>
      <c r="C92" s="21" t="s">
        <v>38</v>
      </c>
      <c r="D92" s="22" t="s">
        <v>115</v>
      </c>
      <c r="E92" s="69">
        <v>30</v>
      </c>
      <c r="F92" s="23" t="s">
        <v>162</v>
      </c>
      <c r="G92" s="24" t="s">
        <v>188</v>
      </c>
      <c r="H92" s="40">
        <f t="shared" si="13"/>
        <v>320000</v>
      </c>
      <c r="I92" s="40">
        <v>320000</v>
      </c>
      <c r="J92" s="40"/>
      <c r="K92" s="40"/>
    </row>
    <row r="93" spans="1:11" s="46" customFormat="1" ht="46.8" x14ac:dyDescent="0.3">
      <c r="A93" s="21" t="s">
        <v>36</v>
      </c>
      <c r="B93" s="21" t="s">
        <v>37</v>
      </c>
      <c r="C93" s="21" t="s">
        <v>38</v>
      </c>
      <c r="D93" s="85" t="s">
        <v>63</v>
      </c>
      <c r="E93" s="77">
        <v>30</v>
      </c>
      <c r="F93" s="23" t="s">
        <v>162</v>
      </c>
      <c r="G93" s="24" t="s">
        <v>188</v>
      </c>
      <c r="H93" s="40">
        <f t="shared" si="13"/>
        <v>1841700</v>
      </c>
      <c r="I93" s="40">
        <f>1786700+55000</f>
        <v>1841700</v>
      </c>
      <c r="J93" s="40"/>
      <c r="K93" s="40"/>
    </row>
    <row r="94" spans="1:11" s="46" customFormat="1" ht="27" customHeight="1" x14ac:dyDescent="0.3">
      <c r="A94" s="29" t="s">
        <v>12</v>
      </c>
      <c r="B94" s="29"/>
      <c r="C94" s="29"/>
      <c r="D94" s="121" t="s">
        <v>150</v>
      </c>
      <c r="E94" s="122"/>
      <c r="F94" s="123"/>
      <c r="G94" s="30"/>
      <c r="H94" s="39">
        <f>H95</f>
        <v>192948061.29000002</v>
      </c>
      <c r="I94" s="39">
        <f>I95</f>
        <v>160871656.24000001</v>
      </c>
      <c r="J94" s="39">
        <f>J95</f>
        <v>32076405.049999997</v>
      </c>
      <c r="K94" s="39">
        <f>K95</f>
        <v>31206858.759999998</v>
      </c>
    </row>
    <row r="95" spans="1:11" s="47" customFormat="1" ht="30" customHeight="1" x14ac:dyDescent="0.3">
      <c r="A95" s="29" t="s">
        <v>13</v>
      </c>
      <c r="B95" s="29"/>
      <c r="C95" s="29"/>
      <c r="D95" s="121" t="s">
        <v>150</v>
      </c>
      <c r="E95" s="122"/>
      <c r="F95" s="123"/>
      <c r="G95" s="30"/>
      <c r="H95" s="39">
        <f>SUM(H96:H114)</f>
        <v>192948061.29000002</v>
      </c>
      <c r="I95" s="39">
        <f t="shared" ref="I95:K95" si="14">SUM(I96:I114)</f>
        <v>160871656.24000001</v>
      </c>
      <c r="J95" s="39">
        <f t="shared" si="14"/>
        <v>32076405.049999997</v>
      </c>
      <c r="K95" s="39">
        <f t="shared" si="14"/>
        <v>31206858.759999998</v>
      </c>
    </row>
    <row r="96" spans="1:11" s="47" customFormat="1" ht="46.8" x14ac:dyDescent="0.3">
      <c r="A96" s="24" t="s">
        <v>240</v>
      </c>
      <c r="B96" s="24" t="s">
        <v>241</v>
      </c>
      <c r="C96" s="24" t="s">
        <v>242</v>
      </c>
      <c r="D96" s="26" t="s">
        <v>243</v>
      </c>
      <c r="E96" s="81">
        <v>53</v>
      </c>
      <c r="F96" s="23" t="s">
        <v>238</v>
      </c>
      <c r="G96" s="24" t="s">
        <v>239</v>
      </c>
      <c r="H96" s="40">
        <f>I96+J96</f>
        <v>30000</v>
      </c>
      <c r="I96" s="40">
        <v>30000</v>
      </c>
      <c r="J96" s="39"/>
      <c r="K96" s="39"/>
    </row>
    <row r="97" spans="1:11" s="47" customFormat="1" ht="78" x14ac:dyDescent="0.3">
      <c r="A97" s="24">
        <v>1216011</v>
      </c>
      <c r="B97" s="24">
        <v>6011</v>
      </c>
      <c r="C97" s="28" t="s">
        <v>257</v>
      </c>
      <c r="D97" s="26" t="s">
        <v>258</v>
      </c>
      <c r="E97" s="81">
        <v>40</v>
      </c>
      <c r="F97" s="23" t="s">
        <v>259</v>
      </c>
      <c r="G97" s="24" t="s">
        <v>260</v>
      </c>
      <c r="H97" s="40">
        <f>I97+J97</f>
        <v>3741524</v>
      </c>
      <c r="I97" s="40"/>
      <c r="J97" s="40">
        <f>3044185+202339+495000</f>
        <v>3741524</v>
      </c>
      <c r="K97" s="40">
        <f>3044185+202339+495000</f>
        <v>3741524</v>
      </c>
    </row>
    <row r="98" spans="1:11" s="47" customFormat="1" ht="52.95" customHeight="1" x14ac:dyDescent="0.3">
      <c r="A98" s="24">
        <v>1216011</v>
      </c>
      <c r="B98" s="24">
        <v>6011</v>
      </c>
      <c r="C98" s="28" t="s">
        <v>257</v>
      </c>
      <c r="D98" s="26" t="s">
        <v>258</v>
      </c>
      <c r="E98" s="81">
        <v>5</v>
      </c>
      <c r="F98" s="98" t="s">
        <v>222</v>
      </c>
      <c r="G98" s="24" t="s">
        <v>183</v>
      </c>
      <c r="H98" s="40">
        <f t="shared" ref="H98:H105" si="15">I98+J98</f>
        <v>1646196</v>
      </c>
      <c r="I98" s="40">
        <v>319069</v>
      </c>
      <c r="J98" s="40">
        <f>660127+667000</f>
        <v>1327127</v>
      </c>
      <c r="K98" s="40">
        <f>660127+667000</f>
        <v>1327127</v>
      </c>
    </row>
    <row r="99" spans="1:11" s="31" customFormat="1" ht="78" x14ac:dyDescent="0.3">
      <c r="A99" s="24">
        <v>1216011</v>
      </c>
      <c r="B99" s="24">
        <v>6011</v>
      </c>
      <c r="C99" s="28" t="s">
        <v>257</v>
      </c>
      <c r="D99" s="26" t="s">
        <v>258</v>
      </c>
      <c r="E99" s="81">
        <v>59</v>
      </c>
      <c r="F99" s="99" t="s">
        <v>342</v>
      </c>
      <c r="G99" s="24" t="s">
        <v>300</v>
      </c>
      <c r="H99" s="40">
        <f t="shared" si="15"/>
        <v>325175</v>
      </c>
      <c r="I99" s="40"/>
      <c r="J99" s="40">
        <v>325175</v>
      </c>
      <c r="K99" s="40">
        <v>325175</v>
      </c>
    </row>
    <row r="100" spans="1:11" s="31" customFormat="1" ht="46.8" x14ac:dyDescent="0.3">
      <c r="A100" s="24">
        <v>1216013</v>
      </c>
      <c r="B100" s="24">
        <v>6013</v>
      </c>
      <c r="C100" s="28" t="s">
        <v>20</v>
      </c>
      <c r="D100" s="26" t="s">
        <v>270</v>
      </c>
      <c r="E100" s="81"/>
      <c r="F100" s="98" t="s">
        <v>222</v>
      </c>
      <c r="G100" s="24" t="s">
        <v>183</v>
      </c>
      <c r="H100" s="40">
        <f t="shared" si="15"/>
        <v>2307503</v>
      </c>
      <c r="I100" s="40">
        <v>59940</v>
      </c>
      <c r="J100" s="40">
        <f>1244281+1191282-188000</f>
        <v>2247563</v>
      </c>
      <c r="K100" s="40">
        <f>1244281+1191282-188000</f>
        <v>2247563</v>
      </c>
    </row>
    <row r="101" spans="1:11" s="25" customFormat="1" ht="46.8" x14ac:dyDescent="0.3">
      <c r="A101" s="21" t="s">
        <v>116</v>
      </c>
      <c r="B101" s="21" t="s">
        <v>117</v>
      </c>
      <c r="C101" s="21" t="s">
        <v>20</v>
      </c>
      <c r="D101" s="32" t="s">
        <v>118</v>
      </c>
      <c r="E101" s="77">
        <v>9</v>
      </c>
      <c r="F101" s="23" t="s">
        <v>210</v>
      </c>
      <c r="G101" s="24" t="s">
        <v>204</v>
      </c>
      <c r="H101" s="40">
        <f t="shared" si="15"/>
        <v>0</v>
      </c>
      <c r="I101" s="40">
        <f>300000-300000</f>
        <v>0</v>
      </c>
      <c r="J101" s="40"/>
      <c r="K101" s="40"/>
    </row>
    <row r="102" spans="1:11" s="25" customFormat="1" ht="78" x14ac:dyDescent="0.3">
      <c r="A102" s="21" t="s">
        <v>116</v>
      </c>
      <c r="B102" s="21" t="s">
        <v>117</v>
      </c>
      <c r="C102" s="21" t="s">
        <v>20</v>
      </c>
      <c r="D102" s="32" t="s">
        <v>118</v>
      </c>
      <c r="E102" s="77">
        <v>40</v>
      </c>
      <c r="F102" s="23" t="s">
        <v>259</v>
      </c>
      <c r="G102" s="24" t="s">
        <v>260</v>
      </c>
      <c r="H102" s="40">
        <f t="shared" si="15"/>
        <v>1834392.76</v>
      </c>
      <c r="I102" s="40"/>
      <c r="J102" s="40">
        <f>495000+1485702-146309.24</f>
        <v>1834392.76</v>
      </c>
      <c r="K102" s="40">
        <f>495000+1485702-146309.24</f>
        <v>1834392.76</v>
      </c>
    </row>
    <row r="103" spans="1:11" s="25" customFormat="1" ht="46.8" x14ac:dyDescent="0.3">
      <c r="A103" s="21" t="s">
        <v>31</v>
      </c>
      <c r="B103" s="21" t="s">
        <v>56</v>
      </c>
      <c r="C103" s="21" t="s">
        <v>20</v>
      </c>
      <c r="D103" s="22" t="s">
        <v>57</v>
      </c>
      <c r="E103" s="69">
        <v>5</v>
      </c>
      <c r="F103" s="98" t="s">
        <v>222</v>
      </c>
      <c r="G103" s="24" t="s">
        <v>183</v>
      </c>
      <c r="H103" s="40">
        <f t="shared" si="15"/>
        <v>1493000</v>
      </c>
      <c r="I103" s="40">
        <v>1493000</v>
      </c>
      <c r="J103" s="40"/>
      <c r="K103" s="40"/>
    </row>
    <row r="104" spans="1:11" s="25" customFormat="1" ht="78" x14ac:dyDescent="0.3">
      <c r="A104" s="21" t="s">
        <v>31</v>
      </c>
      <c r="B104" s="21" t="s">
        <v>56</v>
      </c>
      <c r="C104" s="21" t="s">
        <v>20</v>
      </c>
      <c r="D104" s="22" t="s">
        <v>57</v>
      </c>
      <c r="E104" s="69"/>
      <c r="F104" s="93" t="s">
        <v>313</v>
      </c>
      <c r="G104" s="24" t="s">
        <v>326</v>
      </c>
      <c r="H104" s="40">
        <f t="shared" si="15"/>
        <v>1200000</v>
      </c>
      <c r="I104" s="40"/>
      <c r="J104" s="40">
        <v>1200000</v>
      </c>
      <c r="K104" s="40">
        <v>1200000</v>
      </c>
    </row>
    <row r="105" spans="1:11" s="25" customFormat="1" ht="46.8" x14ac:dyDescent="0.3">
      <c r="A105" s="21" t="s">
        <v>330</v>
      </c>
      <c r="B105" s="21" t="s">
        <v>331</v>
      </c>
      <c r="C105" s="24" t="s">
        <v>20</v>
      </c>
      <c r="D105" s="26" t="s">
        <v>332</v>
      </c>
      <c r="E105" s="69"/>
      <c r="F105" s="98" t="s">
        <v>222</v>
      </c>
      <c r="G105" s="24" t="s">
        <v>183</v>
      </c>
      <c r="H105" s="40">
        <f t="shared" si="15"/>
        <v>993080</v>
      </c>
      <c r="I105" s="40"/>
      <c r="J105" s="40">
        <f>126980+866100</f>
        <v>993080</v>
      </c>
      <c r="K105" s="40">
        <f>126980+866100</f>
        <v>993080</v>
      </c>
    </row>
    <row r="106" spans="1:11" s="25" customFormat="1" ht="46.8" x14ac:dyDescent="0.3">
      <c r="A106" s="21" t="s">
        <v>19</v>
      </c>
      <c r="B106" s="21" t="s">
        <v>55</v>
      </c>
      <c r="C106" s="21" t="s">
        <v>20</v>
      </c>
      <c r="D106" s="85" t="s">
        <v>30</v>
      </c>
      <c r="E106" s="77">
        <v>5</v>
      </c>
      <c r="F106" s="98" t="s">
        <v>222</v>
      </c>
      <c r="G106" s="24" t="s">
        <v>183</v>
      </c>
      <c r="H106" s="40">
        <f t="shared" ref="H106:H111" si="16">I106+J106</f>
        <v>76377309.239999995</v>
      </c>
      <c r="I106" s="40">
        <f>74060000-50000+30000+550000-690000-55000-114000+496309.24+1535000-224500-40000</f>
        <v>75497809.239999995</v>
      </c>
      <c r="J106" s="40">
        <f>839500+550000-550000+40000</f>
        <v>879500</v>
      </c>
      <c r="K106" s="40">
        <f>839500+550000-550000+40000</f>
        <v>879500</v>
      </c>
    </row>
    <row r="107" spans="1:11" s="25" customFormat="1" ht="46.8" x14ac:dyDescent="0.3">
      <c r="A107" s="21" t="s">
        <v>33</v>
      </c>
      <c r="B107" s="21" t="s">
        <v>58</v>
      </c>
      <c r="C107" s="21" t="s">
        <v>32</v>
      </c>
      <c r="D107" s="22" t="s">
        <v>34</v>
      </c>
      <c r="E107" s="69">
        <v>5</v>
      </c>
      <c r="F107" s="98" t="s">
        <v>222</v>
      </c>
      <c r="G107" s="24" t="s">
        <v>183</v>
      </c>
      <c r="H107" s="40">
        <f t="shared" si="16"/>
        <v>25700000</v>
      </c>
      <c r="I107" s="40">
        <v>25700000</v>
      </c>
      <c r="J107" s="40"/>
      <c r="K107" s="40"/>
    </row>
    <row r="108" spans="1:11" s="25" customFormat="1" ht="31.2" x14ac:dyDescent="0.3">
      <c r="A108" s="27" t="s">
        <v>333</v>
      </c>
      <c r="B108" s="21" t="s">
        <v>315</v>
      </c>
      <c r="C108" s="28" t="s">
        <v>316</v>
      </c>
      <c r="D108" s="26" t="s">
        <v>317</v>
      </c>
      <c r="E108" s="78"/>
      <c r="F108" s="23" t="s">
        <v>318</v>
      </c>
      <c r="G108" s="24" t="s">
        <v>319</v>
      </c>
      <c r="H108" s="41">
        <f t="shared" si="16"/>
        <v>36000</v>
      </c>
      <c r="I108" s="40">
        <f>190900-190900</f>
        <v>0</v>
      </c>
      <c r="J108" s="40">
        <v>36000</v>
      </c>
      <c r="K108" s="40">
        <v>36000</v>
      </c>
    </row>
    <row r="109" spans="1:11" s="25" customFormat="1" ht="63" customHeight="1" x14ac:dyDescent="0.3">
      <c r="A109" s="27" t="s">
        <v>334</v>
      </c>
      <c r="B109" s="21" t="s">
        <v>335</v>
      </c>
      <c r="C109" s="28" t="s">
        <v>21</v>
      </c>
      <c r="D109" s="26" t="s">
        <v>336</v>
      </c>
      <c r="E109" s="78"/>
      <c r="F109" s="23" t="s">
        <v>223</v>
      </c>
      <c r="G109" s="24" t="s">
        <v>235</v>
      </c>
      <c r="H109" s="41">
        <f t="shared" si="16"/>
        <v>16769497</v>
      </c>
      <c r="I109" s="40"/>
      <c r="J109" s="40">
        <f>2170700+4755297+188000+9655500</f>
        <v>16769497</v>
      </c>
      <c r="K109" s="40">
        <f>2170700+4755297+188000+9655500</f>
        <v>16769497</v>
      </c>
    </row>
    <row r="110" spans="1:11" s="46" customFormat="1" ht="109.2" x14ac:dyDescent="0.3">
      <c r="A110" s="21" t="s">
        <v>261</v>
      </c>
      <c r="B110" s="21" t="s">
        <v>262</v>
      </c>
      <c r="C110" s="28" t="s">
        <v>21</v>
      </c>
      <c r="D110" s="26" t="s">
        <v>263</v>
      </c>
      <c r="E110" s="81">
        <v>40</v>
      </c>
      <c r="F110" s="23" t="s">
        <v>259</v>
      </c>
      <c r="G110" s="24" t="s">
        <v>260</v>
      </c>
      <c r="H110" s="40">
        <f t="shared" si="16"/>
        <v>619546.29</v>
      </c>
      <c r="I110" s="40"/>
      <c r="J110" s="40">
        <f>393146+187656.88+55000-16256.59</f>
        <v>619546.29</v>
      </c>
      <c r="K110" s="40"/>
    </row>
    <row r="111" spans="1:11" s="46" customFormat="1" ht="46.8" x14ac:dyDescent="0.3">
      <c r="A111" s="21" t="s">
        <v>187</v>
      </c>
      <c r="B111" s="21" t="s">
        <v>35</v>
      </c>
      <c r="C111" s="21" t="s">
        <v>21</v>
      </c>
      <c r="D111" s="32" t="s">
        <v>53</v>
      </c>
      <c r="E111" s="77">
        <v>51</v>
      </c>
      <c r="F111" s="23" t="s">
        <v>223</v>
      </c>
      <c r="G111" s="24" t="s">
        <v>235</v>
      </c>
      <c r="H111" s="40">
        <f t="shared" si="16"/>
        <v>53408782</v>
      </c>
      <c r="I111" s="40">
        <f>31215000+3554300+1350000+8051802+3490000-350000+2184900+3912780</f>
        <v>53408782</v>
      </c>
      <c r="J111" s="40"/>
      <c r="K111" s="40"/>
    </row>
    <row r="112" spans="1:11" s="46" customFormat="1" ht="46.8" x14ac:dyDescent="0.3">
      <c r="A112" s="24">
        <v>1218110</v>
      </c>
      <c r="B112" s="24">
        <v>8110</v>
      </c>
      <c r="C112" s="28" t="s">
        <v>164</v>
      </c>
      <c r="D112" s="102" t="s">
        <v>165</v>
      </c>
      <c r="E112" s="81">
        <v>17</v>
      </c>
      <c r="F112" s="23" t="s">
        <v>155</v>
      </c>
      <c r="G112" s="24" t="s">
        <v>175</v>
      </c>
      <c r="H112" s="40">
        <f>I112+J112</f>
        <v>6203356</v>
      </c>
      <c r="I112" s="40">
        <f>835000+552900+58341+62000+500000+63990+330000+1948125</f>
        <v>4350356</v>
      </c>
      <c r="J112" s="40">
        <f>150000+2213000-1200000+690000</f>
        <v>1853000</v>
      </c>
      <c r="K112" s="40">
        <f>150000+2213000-1200000+690000</f>
        <v>1853000</v>
      </c>
    </row>
    <row r="113" spans="1:11" s="46" customFormat="1" ht="109.2" x14ac:dyDescent="0.3">
      <c r="A113" s="21" t="s">
        <v>249</v>
      </c>
      <c r="B113" s="21" t="s">
        <v>157</v>
      </c>
      <c r="C113" s="21" t="s">
        <v>85</v>
      </c>
      <c r="D113" s="85" t="s">
        <v>158</v>
      </c>
      <c r="E113" s="92">
        <v>52</v>
      </c>
      <c r="F113" s="26" t="s">
        <v>296</v>
      </c>
      <c r="G113" s="24" t="s">
        <v>237</v>
      </c>
      <c r="H113" s="40">
        <f>I113+J113</f>
        <v>12700</v>
      </c>
      <c r="I113" s="40">
        <v>12700</v>
      </c>
      <c r="J113" s="40"/>
      <c r="K113" s="40"/>
    </row>
    <row r="114" spans="1:11" s="25" customFormat="1" ht="62.4" x14ac:dyDescent="0.3">
      <c r="A114" s="21" t="s">
        <v>301</v>
      </c>
      <c r="B114" s="21" t="s">
        <v>302</v>
      </c>
      <c r="C114" s="24" t="s">
        <v>303</v>
      </c>
      <c r="D114" s="26" t="s">
        <v>304</v>
      </c>
      <c r="E114" s="77">
        <v>56</v>
      </c>
      <c r="F114" s="93" t="s">
        <v>343</v>
      </c>
      <c r="G114" s="24" t="s">
        <v>299</v>
      </c>
      <c r="H114" s="40">
        <f>I114+J114</f>
        <v>250000</v>
      </c>
      <c r="I114" s="40"/>
      <c r="J114" s="40">
        <v>250000</v>
      </c>
      <c r="K114" s="40"/>
    </row>
    <row r="115" spans="1:11" s="25" customFormat="1" ht="30" customHeight="1" x14ac:dyDescent="0.3">
      <c r="A115" s="29" t="s">
        <v>264</v>
      </c>
      <c r="B115" s="29"/>
      <c r="C115" s="29"/>
      <c r="D115" s="121" t="s">
        <v>266</v>
      </c>
      <c r="E115" s="122"/>
      <c r="F115" s="123"/>
      <c r="G115" s="30"/>
      <c r="H115" s="39">
        <f>H116</f>
        <v>232880779</v>
      </c>
      <c r="I115" s="39">
        <f>I116</f>
        <v>0</v>
      </c>
      <c r="J115" s="39">
        <f>J116</f>
        <v>232880779</v>
      </c>
      <c r="K115" s="39">
        <f>K116</f>
        <v>232532079</v>
      </c>
    </row>
    <row r="116" spans="1:11" s="31" customFormat="1" ht="30" customHeight="1" x14ac:dyDescent="0.3">
      <c r="A116" s="29" t="s">
        <v>265</v>
      </c>
      <c r="B116" s="29"/>
      <c r="C116" s="29"/>
      <c r="D116" s="121" t="s">
        <v>266</v>
      </c>
      <c r="E116" s="122"/>
      <c r="F116" s="123"/>
      <c r="G116" s="30"/>
      <c r="H116" s="39">
        <f>SUM(H117:H134)</f>
        <v>232880779</v>
      </c>
      <c r="I116" s="39">
        <f t="shared" ref="I116:K116" si="17">SUM(I117:I134)</f>
        <v>0</v>
      </c>
      <c r="J116" s="39">
        <f t="shared" si="17"/>
        <v>232880779</v>
      </c>
      <c r="K116" s="39">
        <f t="shared" si="17"/>
        <v>232532079</v>
      </c>
    </row>
    <row r="117" spans="1:11" s="46" customFormat="1" ht="46.8" x14ac:dyDescent="0.3">
      <c r="A117" s="21" t="s">
        <v>267</v>
      </c>
      <c r="B117" s="21" t="s">
        <v>65</v>
      </c>
      <c r="C117" s="21" t="s">
        <v>66</v>
      </c>
      <c r="D117" s="22" t="s">
        <v>67</v>
      </c>
      <c r="E117" s="69">
        <v>15</v>
      </c>
      <c r="F117" s="23" t="s">
        <v>229</v>
      </c>
      <c r="G117" s="24" t="s">
        <v>172</v>
      </c>
      <c r="H117" s="40">
        <f t="shared" ref="H117:H134" si="18">I117+J117</f>
        <v>1130727</v>
      </c>
      <c r="I117" s="40"/>
      <c r="J117" s="40">
        <f>1205627-30000-25000-19900</f>
        <v>1130727</v>
      </c>
      <c r="K117" s="40">
        <f>1205627-30000-25000-19900</f>
        <v>1130727</v>
      </c>
    </row>
    <row r="118" spans="1:11" s="46" customFormat="1" ht="46.8" x14ac:dyDescent="0.3">
      <c r="A118" s="21" t="s">
        <v>268</v>
      </c>
      <c r="B118" s="21" t="s">
        <v>269</v>
      </c>
      <c r="C118" s="28" t="s">
        <v>20</v>
      </c>
      <c r="D118" s="26" t="s">
        <v>270</v>
      </c>
      <c r="E118" s="81">
        <v>5</v>
      </c>
      <c r="F118" s="98" t="s">
        <v>222</v>
      </c>
      <c r="G118" s="24" t="s">
        <v>183</v>
      </c>
      <c r="H118" s="40">
        <f t="shared" si="18"/>
        <v>382750</v>
      </c>
      <c r="I118" s="40"/>
      <c r="J118" s="40">
        <v>382750</v>
      </c>
      <c r="K118" s="40">
        <v>382750</v>
      </c>
    </row>
    <row r="119" spans="1:11" s="46" customFormat="1" ht="46.8" x14ac:dyDescent="0.3">
      <c r="A119" s="21" t="s">
        <v>271</v>
      </c>
      <c r="B119" s="21" t="s">
        <v>117</v>
      </c>
      <c r="C119" s="21" t="s">
        <v>20</v>
      </c>
      <c r="D119" s="32" t="s">
        <v>118</v>
      </c>
      <c r="E119" s="77">
        <v>9</v>
      </c>
      <c r="F119" s="23" t="s">
        <v>210</v>
      </c>
      <c r="G119" s="24" t="s">
        <v>204</v>
      </c>
      <c r="H119" s="40">
        <f t="shared" si="18"/>
        <v>15318217</v>
      </c>
      <c r="I119" s="40"/>
      <c r="J119" s="40">
        <f>23415217-6097000-2000000</f>
        <v>15318217</v>
      </c>
      <c r="K119" s="40">
        <f>23415217-6097000-2000000</f>
        <v>15318217</v>
      </c>
    </row>
    <row r="120" spans="1:11" s="46" customFormat="1" ht="62.4" x14ac:dyDescent="0.3">
      <c r="A120" s="21" t="s">
        <v>271</v>
      </c>
      <c r="B120" s="21" t="s">
        <v>117</v>
      </c>
      <c r="C120" s="21" t="s">
        <v>20</v>
      </c>
      <c r="D120" s="32" t="s">
        <v>118</v>
      </c>
      <c r="E120" s="77"/>
      <c r="F120" s="23" t="s">
        <v>280</v>
      </c>
      <c r="G120" s="24" t="s">
        <v>279</v>
      </c>
      <c r="H120" s="40">
        <f t="shared" si="18"/>
        <v>399900</v>
      </c>
      <c r="I120" s="40"/>
      <c r="J120" s="40">
        <v>399900</v>
      </c>
      <c r="K120" s="40">
        <v>399900</v>
      </c>
    </row>
    <row r="121" spans="1:11" s="46" customFormat="1" ht="46.8" x14ac:dyDescent="0.3">
      <c r="A121" s="21" t="s">
        <v>337</v>
      </c>
      <c r="B121" s="21" t="s">
        <v>56</v>
      </c>
      <c r="C121" s="28" t="s">
        <v>20</v>
      </c>
      <c r="D121" s="26" t="s">
        <v>338</v>
      </c>
      <c r="E121" s="77"/>
      <c r="F121" s="98" t="s">
        <v>222</v>
      </c>
      <c r="G121" s="24" t="s">
        <v>183</v>
      </c>
      <c r="H121" s="40">
        <f t="shared" si="18"/>
        <v>330000</v>
      </c>
      <c r="I121" s="40"/>
      <c r="J121" s="40">
        <v>330000</v>
      </c>
      <c r="K121" s="40">
        <v>330000</v>
      </c>
    </row>
    <row r="122" spans="1:11" s="25" customFormat="1" ht="62.4" x14ac:dyDescent="0.3">
      <c r="A122" s="21" t="s">
        <v>272</v>
      </c>
      <c r="B122" s="21" t="s">
        <v>273</v>
      </c>
      <c r="C122" s="28" t="s">
        <v>20</v>
      </c>
      <c r="D122" s="26" t="s">
        <v>274</v>
      </c>
      <c r="E122" s="81">
        <v>56</v>
      </c>
      <c r="F122" s="99" t="s">
        <v>343</v>
      </c>
      <c r="G122" s="24" t="s">
        <v>299</v>
      </c>
      <c r="H122" s="40">
        <f t="shared" si="18"/>
        <v>1194873</v>
      </c>
      <c r="I122" s="40"/>
      <c r="J122" s="40">
        <f>2439154-1244281</f>
        <v>1194873</v>
      </c>
      <c r="K122" s="40">
        <f>2439154-1244281</f>
        <v>1194873</v>
      </c>
    </row>
    <row r="123" spans="1:11" s="46" customFormat="1" ht="46.8" x14ac:dyDescent="0.3">
      <c r="A123" s="21" t="s">
        <v>276</v>
      </c>
      <c r="B123" s="21" t="s">
        <v>277</v>
      </c>
      <c r="C123" s="28" t="s">
        <v>194</v>
      </c>
      <c r="D123" s="26" t="s">
        <v>275</v>
      </c>
      <c r="E123" s="81">
        <v>5</v>
      </c>
      <c r="F123" s="23" t="s">
        <v>222</v>
      </c>
      <c r="G123" s="24" t="s">
        <v>183</v>
      </c>
      <c r="H123" s="40">
        <f t="shared" si="18"/>
        <v>47832250</v>
      </c>
      <c r="I123" s="40"/>
      <c r="J123" s="40">
        <f>19000000+10001250+20804000+1027000-3000000</f>
        <v>47832250</v>
      </c>
      <c r="K123" s="40">
        <f>19000000+10001250+20804000+1027000-3000000</f>
        <v>47832250</v>
      </c>
    </row>
    <row r="124" spans="1:11" s="25" customFormat="1" ht="46.8" x14ac:dyDescent="0.3">
      <c r="A124" s="21" t="s">
        <v>339</v>
      </c>
      <c r="B124" s="21" t="s">
        <v>340</v>
      </c>
      <c r="C124" s="28" t="s">
        <v>194</v>
      </c>
      <c r="D124" s="26" t="s">
        <v>341</v>
      </c>
      <c r="E124" s="81"/>
      <c r="F124" s="23" t="s">
        <v>119</v>
      </c>
      <c r="G124" s="24" t="s">
        <v>176</v>
      </c>
      <c r="H124" s="40">
        <f t="shared" si="18"/>
        <v>227660</v>
      </c>
      <c r="I124" s="40"/>
      <c r="J124" s="40">
        <v>227660</v>
      </c>
      <c r="K124" s="40">
        <v>227660</v>
      </c>
    </row>
    <row r="125" spans="1:11" s="46" customFormat="1" ht="46.8" x14ac:dyDescent="0.3">
      <c r="A125" s="21" t="s">
        <v>339</v>
      </c>
      <c r="B125" s="21" t="s">
        <v>340</v>
      </c>
      <c r="C125" s="28" t="s">
        <v>194</v>
      </c>
      <c r="D125" s="26" t="s">
        <v>341</v>
      </c>
      <c r="E125" s="81"/>
      <c r="F125" s="23" t="s">
        <v>163</v>
      </c>
      <c r="G125" s="24" t="s">
        <v>175</v>
      </c>
      <c r="H125" s="40">
        <f t="shared" si="18"/>
        <v>87348800</v>
      </c>
      <c r="I125" s="40"/>
      <c r="J125" s="40">
        <f>87268800+80000</f>
        <v>87348800</v>
      </c>
      <c r="K125" s="40">
        <f>87268800+80000</f>
        <v>87348800</v>
      </c>
    </row>
    <row r="126" spans="1:11" s="46" customFormat="1" ht="46.8" x14ac:dyDescent="0.3">
      <c r="A126" s="21" t="s">
        <v>293</v>
      </c>
      <c r="B126" s="21" t="s">
        <v>294</v>
      </c>
      <c r="C126" s="28" t="s">
        <v>21</v>
      </c>
      <c r="D126" s="26" t="s">
        <v>295</v>
      </c>
      <c r="E126" s="89">
        <v>17</v>
      </c>
      <c r="F126" s="23" t="s">
        <v>163</v>
      </c>
      <c r="G126" s="24" t="s">
        <v>175</v>
      </c>
      <c r="H126" s="40">
        <f t="shared" si="18"/>
        <v>26491442</v>
      </c>
      <c r="I126" s="40"/>
      <c r="J126" s="40">
        <v>26491442</v>
      </c>
      <c r="K126" s="40">
        <v>26491442</v>
      </c>
    </row>
    <row r="127" spans="1:11" s="46" customFormat="1" ht="62.4" x14ac:dyDescent="0.3">
      <c r="A127" s="24">
        <v>1517370</v>
      </c>
      <c r="B127" s="24">
        <v>7370</v>
      </c>
      <c r="C127" s="28" t="s">
        <v>21</v>
      </c>
      <c r="D127" s="102" t="s">
        <v>278</v>
      </c>
      <c r="E127" s="81">
        <v>20</v>
      </c>
      <c r="F127" s="23" t="s">
        <v>280</v>
      </c>
      <c r="G127" s="24" t="s">
        <v>279</v>
      </c>
      <c r="H127" s="40">
        <f t="shared" si="18"/>
        <v>27585022</v>
      </c>
      <c r="I127" s="40"/>
      <c r="J127" s="40">
        <f>7664771+2000000+17920251</f>
        <v>27585022</v>
      </c>
      <c r="K127" s="40">
        <f>7664771+2000000+17920251</f>
        <v>27585022</v>
      </c>
    </row>
    <row r="128" spans="1:11" s="46" customFormat="1" ht="46.8" x14ac:dyDescent="0.3">
      <c r="A128" s="21" t="s">
        <v>281</v>
      </c>
      <c r="B128" s="21" t="s">
        <v>282</v>
      </c>
      <c r="C128" s="28" t="s">
        <v>21</v>
      </c>
      <c r="D128" s="102" t="s">
        <v>278</v>
      </c>
      <c r="E128" s="81">
        <v>5</v>
      </c>
      <c r="F128" s="23" t="s">
        <v>222</v>
      </c>
      <c r="G128" s="24" t="s">
        <v>183</v>
      </c>
      <c r="H128" s="40">
        <f t="shared" si="18"/>
        <v>118569</v>
      </c>
      <c r="I128" s="40"/>
      <c r="J128" s="40">
        <v>118569</v>
      </c>
      <c r="K128" s="40">
        <v>118569</v>
      </c>
    </row>
    <row r="129" spans="1:11" s="25" customFormat="1" ht="62.4" hidden="1" x14ac:dyDescent="0.3">
      <c r="A129" s="21" t="s">
        <v>281</v>
      </c>
      <c r="B129" s="21" t="s">
        <v>282</v>
      </c>
      <c r="C129" s="28" t="s">
        <v>21</v>
      </c>
      <c r="D129" s="102" t="s">
        <v>278</v>
      </c>
      <c r="E129" s="81">
        <v>56</v>
      </c>
      <c r="F129" s="99" t="s">
        <v>343</v>
      </c>
      <c r="G129" s="24" t="s">
        <v>299</v>
      </c>
      <c r="H129" s="40">
        <f t="shared" si="18"/>
        <v>0</v>
      </c>
      <c r="I129" s="40"/>
      <c r="J129" s="40">
        <f>37107-37107</f>
        <v>0</v>
      </c>
      <c r="K129" s="40">
        <f>37107-37107</f>
        <v>0</v>
      </c>
    </row>
    <row r="130" spans="1:11" s="25" customFormat="1" ht="46.8" x14ac:dyDescent="0.3">
      <c r="A130" s="27" t="s">
        <v>365</v>
      </c>
      <c r="B130" s="21" t="s">
        <v>345</v>
      </c>
      <c r="C130" s="28" t="s">
        <v>21</v>
      </c>
      <c r="D130" s="26" t="s">
        <v>346</v>
      </c>
      <c r="E130" s="78"/>
      <c r="F130" s="23" t="s">
        <v>163</v>
      </c>
      <c r="G130" s="24" t="s">
        <v>175</v>
      </c>
      <c r="H130" s="40">
        <f t="shared" si="18"/>
        <v>550000</v>
      </c>
      <c r="I130" s="40"/>
      <c r="J130" s="40">
        <v>550000</v>
      </c>
      <c r="K130" s="40">
        <v>550000</v>
      </c>
    </row>
    <row r="131" spans="1:11" s="25" customFormat="1" ht="62.4" x14ac:dyDescent="0.3">
      <c r="A131" s="24">
        <v>1517640</v>
      </c>
      <c r="B131" s="24">
        <v>7640</v>
      </c>
      <c r="C131" s="28" t="s">
        <v>254</v>
      </c>
      <c r="D131" s="102" t="s">
        <v>255</v>
      </c>
      <c r="E131" s="81">
        <v>56</v>
      </c>
      <c r="F131" s="99" t="s">
        <v>343</v>
      </c>
      <c r="G131" s="24" t="s">
        <v>299</v>
      </c>
      <c r="H131" s="40">
        <f t="shared" si="18"/>
        <v>121222</v>
      </c>
      <c r="I131" s="40"/>
      <c r="J131" s="40">
        <v>121222</v>
      </c>
      <c r="K131" s="40">
        <v>121222</v>
      </c>
    </row>
    <row r="132" spans="1:11" s="46" customFormat="1" ht="46.8" x14ac:dyDescent="0.3">
      <c r="A132" s="24">
        <v>1517640</v>
      </c>
      <c r="B132" s="24">
        <v>7640</v>
      </c>
      <c r="C132" s="28" t="s">
        <v>254</v>
      </c>
      <c r="D132" s="102" t="s">
        <v>255</v>
      </c>
      <c r="E132" s="81">
        <v>15</v>
      </c>
      <c r="F132" s="23" t="s">
        <v>283</v>
      </c>
      <c r="G132" s="24" t="s">
        <v>172</v>
      </c>
      <c r="H132" s="40">
        <f t="shared" si="18"/>
        <v>6330569</v>
      </c>
      <c r="I132" s="40"/>
      <c r="J132" s="40">
        <f>7598869-1268300</f>
        <v>6330569</v>
      </c>
      <c r="K132" s="40">
        <f>7598869-1268300</f>
        <v>6330569</v>
      </c>
    </row>
    <row r="133" spans="1:11" s="46" customFormat="1" ht="46.8" x14ac:dyDescent="0.3">
      <c r="A133" s="24">
        <v>1518110</v>
      </c>
      <c r="B133" s="24">
        <v>8110</v>
      </c>
      <c r="C133" s="28" t="s">
        <v>164</v>
      </c>
      <c r="D133" s="102" t="s">
        <v>165</v>
      </c>
      <c r="E133" s="81">
        <v>17</v>
      </c>
      <c r="F133" s="23" t="s">
        <v>155</v>
      </c>
      <c r="G133" s="24" t="s">
        <v>175</v>
      </c>
      <c r="H133" s="40">
        <f t="shared" si="18"/>
        <v>17170078</v>
      </c>
      <c r="I133" s="40"/>
      <c r="J133" s="40">
        <f>22333778-1000000-49000-3790000-324700</f>
        <v>17170078</v>
      </c>
      <c r="K133" s="40">
        <f>22333778-1000000-49000-3790000-324700</f>
        <v>17170078</v>
      </c>
    </row>
    <row r="134" spans="1:11" s="46" customFormat="1" ht="62.4" x14ac:dyDescent="0.3">
      <c r="A134" s="24">
        <v>1518340</v>
      </c>
      <c r="B134" s="24">
        <v>8340</v>
      </c>
      <c r="C134" s="28" t="s">
        <v>303</v>
      </c>
      <c r="D134" s="26" t="s">
        <v>304</v>
      </c>
      <c r="E134" s="81"/>
      <c r="F134" s="99" t="s">
        <v>343</v>
      </c>
      <c r="G134" s="24" t="s">
        <v>299</v>
      </c>
      <c r="H134" s="40">
        <f t="shared" si="18"/>
        <v>348700</v>
      </c>
      <c r="I134" s="40"/>
      <c r="J134" s="40">
        <v>348700</v>
      </c>
      <c r="K134" s="40"/>
    </row>
    <row r="135" spans="1:11" s="25" customFormat="1" ht="30" customHeight="1" x14ac:dyDescent="0.3">
      <c r="A135" s="29" t="s">
        <v>39</v>
      </c>
      <c r="B135" s="29"/>
      <c r="C135" s="29"/>
      <c r="D135" s="143" t="s">
        <v>151</v>
      </c>
      <c r="E135" s="143"/>
      <c r="F135" s="143"/>
      <c r="G135" s="30"/>
      <c r="H135" s="39">
        <f>H136</f>
        <v>19125096</v>
      </c>
      <c r="I135" s="39">
        <f>I136</f>
        <v>19096596</v>
      </c>
      <c r="J135" s="39">
        <f>J136</f>
        <v>28500</v>
      </c>
      <c r="K135" s="39">
        <f>K136</f>
        <v>28500</v>
      </c>
    </row>
    <row r="136" spans="1:11" s="31" customFormat="1" ht="30" customHeight="1" x14ac:dyDescent="0.3">
      <c r="A136" s="29" t="s">
        <v>40</v>
      </c>
      <c r="B136" s="29"/>
      <c r="C136" s="29"/>
      <c r="D136" s="121" t="s">
        <v>151</v>
      </c>
      <c r="E136" s="122"/>
      <c r="F136" s="123"/>
      <c r="G136" s="30"/>
      <c r="H136" s="39">
        <f>SUM(H137:H139)</f>
        <v>19125096</v>
      </c>
      <c r="I136" s="39">
        <f>SUM(I137:I139)</f>
        <v>19096596</v>
      </c>
      <c r="J136" s="39">
        <f>SUM(J137:J139)</f>
        <v>28500</v>
      </c>
      <c r="K136" s="39">
        <f>SUM(K137:K139)</f>
        <v>28500</v>
      </c>
    </row>
    <row r="137" spans="1:11" s="31" customFormat="1" ht="109.2" x14ac:dyDescent="0.3">
      <c r="A137" s="21" t="s">
        <v>205</v>
      </c>
      <c r="B137" s="21" t="s">
        <v>206</v>
      </c>
      <c r="C137" s="21" t="s">
        <v>194</v>
      </c>
      <c r="D137" s="26" t="s">
        <v>207</v>
      </c>
      <c r="E137" s="81">
        <v>45</v>
      </c>
      <c r="F137" s="26" t="s">
        <v>209</v>
      </c>
      <c r="G137" s="95" t="s">
        <v>236</v>
      </c>
      <c r="H137" s="40">
        <f>I137+J137</f>
        <v>1500000</v>
      </c>
      <c r="I137" s="40">
        <v>1500000</v>
      </c>
      <c r="J137" s="40">
        <f>K137</f>
        <v>0</v>
      </c>
      <c r="K137" s="40"/>
    </row>
    <row r="138" spans="1:11" s="31" customFormat="1" ht="46.8" x14ac:dyDescent="0.3">
      <c r="A138" s="21" t="s">
        <v>41</v>
      </c>
      <c r="B138" s="21" t="s">
        <v>35</v>
      </c>
      <c r="C138" s="21" t="s">
        <v>21</v>
      </c>
      <c r="D138" s="32" t="s">
        <v>53</v>
      </c>
      <c r="E138" s="77">
        <v>51</v>
      </c>
      <c r="F138" s="23" t="s">
        <v>223</v>
      </c>
      <c r="G138" s="24" t="s">
        <v>235</v>
      </c>
      <c r="H138" s="40">
        <f>I138+J138</f>
        <v>17475096</v>
      </c>
      <c r="I138" s="40">
        <f>18281300+187000-19400+104446-1106750</f>
        <v>17446596</v>
      </c>
      <c r="J138" s="40">
        <v>28500</v>
      </c>
      <c r="K138" s="40">
        <v>28500</v>
      </c>
    </row>
    <row r="139" spans="1:11" s="25" customFormat="1" ht="109.2" x14ac:dyDescent="0.3">
      <c r="A139" s="21" t="s">
        <v>190</v>
      </c>
      <c r="B139" s="21" t="s">
        <v>157</v>
      </c>
      <c r="C139" s="21" t="s">
        <v>85</v>
      </c>
      <c r="D139" s="85" t="s">
        <v>158</v>
      </c>
      <c r="E139" s="92">
        <v>52</v>
      </c>
      <c r="F139" s="26" t="s">
        <v>296</v>
      </c>
      <c r="G139" s="24" t="s">
        <v>237</v>
      </c>
      <c r="H139" s="40">
        <f>I139+J139</f>
        <v>150000</v>
      </c>
      <c r="I139" s="40">
        <v>150000</v>
      </c>
      <c r="J139" s="40"/>
      <c r="K139" s="40"/>
    </row>
    <row r="140" spans="1:11" s="25" customFormat="1" ht="15.6" x14ac:dyDescent="0.3">
      <c r="A140" s="29" t="s">
        <v>193</v>
      </c>
      <c r="B140" s="29"/>
      <c r="C140" s="29"/>
      <c r="D140" s="121" t="s">
        <v>191</v>
      </c>
      <c r="E140" s="122"/>
      <c r="F140" s="123"/>
      <c r="G140" s="24"/>
      <c r="H140" s="39">
        <f>H141</f>
        <v>93236903</v>
      </c>
      <c r="I140" s="39">
        <f>I141</f>
        <v>24506180</v>
      </c>
      <c r="J140" s="39">
        <f>J141</f>
        <v>68730723</v>
      </c>
      <c r="K140" s="39">
        <f>K141</f>
        <v>68730723</v>
      </c>
    </row>
    <row r="141" spans="1:11" s="25" customFormat="1" ht="15.6" x14ac:dyDescent="0.3">
      <c r="A141" s="29" t="s">
        <v>192</v>
      </c>
      <c r="B141" s="29"/>
      <c r="C141" s="29"/>
      <c r="D141" s="121" t="s">
        <v>191</v>
      </c>
      <c r="E141" s="122"/>
      <c r="F141" s="123"/>
      <c r="G141" s="24"/>
      <c r="H141" s="39">
        <f>SUM(H142:H153)</f>
        <v>93236903</v>
      </c>
      <c r="I141" s="39">
        <f t="shared" ref="I141:K141" si="19">SUM(I142:I153)</f>
        <v>24506180</v>
      </c>
      <c r="J141" s="39">
        <f t="shared" si="19"/>
        <v>68730723</v>
      </c>
      <c r="K141" s="39">
        <f t="shared" si="19"/>
        <v>68730723</v>
      </c>
    </row>
    <row r="142" spans="1:11" s="25" customFormat="1" ht="93.6" x14ac:dyDescent="0.3">
      <c r="A142" s="24">
        <v>3719770</v>
      </c>
      <c r="B142" s="103">
        <v>9770</v>
      </c>
      <c r="C142" s="28" t="s">
        <v>128</v>
      </c>
      <c r="D142" s="26" t="s">
        <v>218</v>
      </c>
      <c r="E142" s="104">
        <v>54</v>
      </c>
      <c r="F142" s="23" t="s">
        <v>228</v>
      </c>
      <c r="G142" s="24" t="s">
        <v>244</v>
      </c>
      <c r="H142" s="40">
        <f t="shared" ref="H142:H153" si="20">I142+J142</f>
        <v>1570500</v>
      </c>
      <c r="I142" s="40">
        <f>1261500+309000-283500</f>
        <v>1287000</v>
      </c>
      <c r="J142" s="40">
        <v>283500</v>
      </c>
      <c r="K142" s="40">
        <v>283500</v>
      </c>
    </row>
    <row r="143" spans="1:11" s="25" customFormat="1" ht="31.2" x14ac:dyDescent="0.3">
      <c r="A143" s="24">
        <v>3719770</v>
      </c>
      <c r="B143" s="103">
        <v>9770</v>
      </c>
      <c r="C143" s="28" t="s">
        <v>128</v>
      </c>
      <c r="D143" s="26" t="s">
        <v>208</v>
      </c>
      <c r="E143" s="81">
        <v>55</v>
      </c>
      <c r="F143" s="26" t="s">
        <v>231</v>
      </c>
      <c r="G143" s="95" t="s">
        <v>245</v>
      </c>
      <c r="H143" s="40">
        <f t="shared" si="20"/>
        <v>300000</v>
      </c>
      <c r="I143" s="40">
        <v>300000</v>
      </c>
      <c r="J143" s="40"/>
      <c r="K143" s="40"/>
    </row>
    <row r="144" spans="1:11" s="25" customFormat="1" ht="46.8" x14ac:dyDescent="0.3">
      <c r="A144" s="24">
        <v>3719770</v>
      </c>
      <c r="B144" s="103">
        <v>9770</v>
      </c>
      <c r="C144" s="28" t="s">
        <v>128</v>
      </c>
      <c r="D144" s="26" t="s">
        <v>218</v>
      </c>
      <c r="E144" s="81">
        <v>14</v>
      </c>
      <c r="F144" s="23" t="s">
        <v>78</v>
      </c>
      <c r="G144" s="24" t="s">
        <v>174</v>
      </c>
      <c r="H144" s="40">
        <f t="shared" si="20"/>
        <v>2237000</v>
      </c>
      <c r="I144" s="40">
        <v>2237000</v>
      </c>
      <c r="J144" s="40"/>
      <c r="K144" s="40"/>
    </row>
    <row r="145" spans="1:12" s="25" customFormat="1" ht="46.8" x14ac:dyDescent="0.3">
      <c r="A145" s="24">
        <v>3719770</v>
      </c>
      <c r="B145" s="103">
        <v>9770</v>
      </c>
      <c r="C145" s="28" t="s">
        <v>128</v>
      </c>
      <c r="D145" s="26" t="s">
        <v>208</v>
      </c>
      <c r="E145" s="89">
        <v>30</v>
      </c>
      <c r="F145" s="23" t="s">
        <v>162</v>
      </c>
      <c r="G145" s="24" t="s">
        <v>188</v>
      </c>
      <c r="H145" s="40">
        <f t="shared" si="20"/>
        <v>300000</v>
      </c>
      <c r="I145" s="40">
        <v>300000</v>
      </c>
      <c r="J145" s="40"/>
      <c r="K145" s="40"/>
    </row>
    <row r="146" spans="1:12" s="25" customFormat="1" ht="62.4" x14ac:dyDescent="0.3">
      <c r="A146" s="24">
        <v>3719770</v>
      </c>
      <c r="B146" s="103">
        <v>9770</v>
      </c>
      <c r="C146" s="28" t="s">
        <v>128</v>
      </c>
      <c r="D146" s="26" t="s">
        <v>208</v>
      </c>
      <c r="E146" s="105">
        <v>50</v>
      </c>
      <c r="F146" s="99" t="s">
        <v>284</v>
      </c>
      <c r="G146" s="24" t="s">
        <v>285</v>
      </c>
      <c r="H146" s="40">
        <f t="shared" si="20"/>
        <v>1800000</v>
      </c>
      <c r="I146" s="40"/>
      <c r="J146" s="40">
        <v>1800000</v>
      </c>
      <c r="K146" s="40">
        <v>1800000</v>
      </c>
    </row>
    <row r="147" spans="1:12" s="25" customFormat="1" ht="109.2" x14ac:dyDescent="0.3">
      <c r="A147" s="21" t="s">
        <v>246</v>
      </c>
      <c r="B147" s="24" t="s">
        <v>247</v>
      </c>
      <c r="C147" s="106" t="s">
        <v>128</v>
      </c>
      <c r="D147" s="93" t="s">
        <v>248</v>
      </c>
      <c r="E147" s="107">
        <v>52</v>
      </c>
      <c r="F147" s="26" t="s">
        <v>296</v>
      </c>
      <c r="G147" s="24" t="s">
        <v>237</v>
      </c>
      <c r="H147" s="40">
        <f t="shared" si="20"/>
        <v>61653003</v>
      </c>
      <c r="I147" s="40">
        <f>190000+1000000+1835334+1000000+2000000+295600+2377680+2949666+5757500</f>
        <v>17405780</v>
      </c>
      <c r="J147" s="40">
        <f>1300000+6800000+1902000+4750000+1943963+2204400+5202404+4100000+6000000+10044456</f>
        <v>44247223</v>
      </c>
      <c r="K147" s="40">
        <f>1300000+6800000+1902000+4750000+1943963+2204400+5202404+4100000+6000000+10044456</f>
        <v>44247223</v>
      </c>
    </row>
    <row r="148" spans="1:12" s="25" customFormat="1" ht="62.4" x14ac:dyDescent="0.3">
      <c r="A148" s="21" t="s">
        <v>246</v>
      </c>
      <c r="B148" s="24" t="s">
        <v>247</v>
      </c>
      <c r="C148" s="106" t="s">
        <v>128</v>
      </c>
      <c r="D148" s="93" t="s">
        <v>248</v>
      </c>
      <c r="E148" s="107">
        <v>50</v>
      </c>
      <c r="F148" s="99" t="s">
        <v>284</v>
      </c>
      <c r="G148" s="24" t="s">
        <v>285</v>
      </c>
      <c r="H148" s="40">
        <f t="shared" si="20"/>
        <v>16200000</v>
      </c>
      <c r="I148" s="40"/>
      <c r="J148" s="40">
        <f>5000000+3200000+8000000</f>
        <v>16200000</v>
      </c>
      <c r="K148" s="40">
        <f>5000000+3200000+8000000</f>
        <v>16200000</v>
      </c>
    </row>
    <row r="149" spans="1:12" s="25" customFormat="1" ht="46.8" x14ac:dyDescent="0.3">
      <c r="A149" s="21" t="s">
        <v>246</v>
      </c>
      <c r="B149" s="24" t="s">
        <v>247</v>
      </c>
      <c r="C149" s="106" t="s">
        <v>128</v>
      </c>
      <c r="D149" s="93" t="s">
        <v>248</v>
      </c>
      <c r="E149" s="107">
        <v>57</v>
      </c>
      <c r="F149" s="99" t="s">
        <v>286</v>
      </c>
      <c r="G149" s="24" t="s">
        <v>289</v>
      </c>
      <c r="H149" s="40">
        <f t="shared" si="20"/>
        <v>2000000</v>
      </c>
      <c r="I149" s="40">
        <v>2000000</v>
      </c>
      <c r="J149" s="40"/>
      <c r="K149" s="40"/>
    </row>
    <row r="150" spans="1:12" s="25" customFormat="1" ht="46.8" x14ac:dyDescent="0.3">
      <c r="A150" s="21" t="s">
        <v>246</v>
      </c>
      <c r="B150" s="24" t="s">
        <v>247</v>
      </c>
      <c r="C150" s="106" t="s">
        <v>128</v>
      </c>
      <c r="D150" s="93" t="s">
        <v>248</v>
      </c>
      <c r="E150" s="107">
        <v>58</v>
      </c>
      <c r="F150" s="99" t="s">
        <v>287</v>
      </c>
      <c r="G150" s="24" t="s">
        <v>290</v>
      </c>
      <c r="H150" s="40">
        <f t="shared" si="20"/>
        <v>2526400</v>
      </c>
      <c r="I150" s="40">
        <f>950000+26400</f>
        <v>976400</v>
      </c>
      <c r="J150" s="40">
        <v>1550000</v>
      </c>
      <c r="K150" s="40">
        <v>1550000</v>
      </c>
    </row>
    <row r="151" spans="1:12" s="25" customFormat="1" ht="46.8" x14ac:dyDescent="0.3">
      <c r="A151" s="21" t="s">
        <v>246</v>
      </c>
      <c r="B151" s="24" t="s">
        <v>247</v>
      </c>
      <c r="C151" s="106" t="s">
        <v>128</v>
      </c>
      <c r="D151" s="93" t="s">
        <v>248</v>
      </c>
      <c r="E151" s="89">
        <v>17</v>
      </c>
      <c r="F151" s="23" t="s">
        <v>163</v>
      </c>
      <c r="G151" s="24" t="s">
        <v>175</v>
      </c>
      <c r="H151" s="40">
        <f t="shared" si="20"/>
        <v>950000</v>
      </c>
      <c r="I151" s="40"/>
      <c r="J151" s="40">
        <v>950000</v>
      </c>
      <c r="K151" s="40">
        <v>950000</v>
      </c>
    </row>
    <row r="152" spans="1:12" s="25" customFormat="1" ht="60.6" customHeight="1" x14ac:dyDescent="0.3">
      <c r="A152" s="21" t="s">
        <v>246</v>
      </c>
      <c r="B152" s="24" t="s">
        <v>247</v>
      </c>
      <c r="C152" s="106" t="s">
        <v>128</v>
      </c>
      <c r="D152" s="93" t="s">
        <v>248</v>
      </c>
      <c r="E152" s="108"/>
      <c r="F152" s="84" t="s">
        <v>360</v>
      </c>
      <c r="G152" s="109" t="s">
        <v>369</v>
      </c>
      <c r="H152" s="40">
        <f t="shared" si="20"/>
        <v>1000000</v>
      </c>
      <c r="I152" s="40"/>
      <c r="J152" s="40">
        <v>1000000</v>
      </c>
      <c r="K152" s="40">
        <v>1000000</v>
      </c>
    </row>
    <row r="153" spans="1:12" s="25" customFormat="1" ht="46.8" x14ac:dyDescent="0.3">
      <c r="A153" s="21" t="s">
        <v>246</v>
      </c>
      <c r="B153" s="24" t="s">
        <v>247</v>
      </c>
      <c r="C153" s="106" t="s">
        <v>128</v>
      </c>
      <c r="D153" s="93" t="s">
        <v>248</v>
      </c>
      <c r="E153" s="89"/>
      <c r="F153" s="110" t="s">
        <v>366</v>
      </c>
      <c r="G153" s="24" t="s">
        <v>367</v>
      </c>
      <c r="H153" s="40">
        <f t="shared" si="20"/>
        <v>2700000</v>
      </c>
      <c r="I153" s="40"/>
      <c r="J153" s="40">
        <v>2700000</v>
      </c>
      <c r="K153" s="40">
        <v>2700000</v>
      </c>
    </row>
    <row r="154" spans="1:12" s="64" customFormat="1" ht="18" x14ac:dyDescent="0.35">
      <c r="A154" s="111"/>
      <c r="B154" s="111"/>
      <c r="C154" s="111"/>
      <c r="D154" s="140" t="s">
        <v>232</v>
      </c>
      <c r="E154" s="141"/>
      <c r="F154" s="142"/>
      <c r="G154" s="111"/>
      <c r="H154" s="112">
        <f>H16+H33+H57+H72+H76+H86+H94+H115+H135+H140</f>
        <v>736282413.28999996</v>
      </c>
      <c r="I154" s="112">
        <f>I16+I33+I57+I72+I76+I86+I94+I115+I135+I140</f>
        <v>355638676.88</v>
      </c>
      <c r="J154" s="112">
        <f>J16+J33+J57+J72+J76+J86+J94+J115+J135+J140</f>
        <v>380643736.40999997</v>
      </c>
      <c r="K154" s="112">
        <f>K16+K33+K57+K72+K76+K86+K94+K115+K135+K140</f>
        <v>375676371.12</v>
      </c>
    </row>
    <row r="155" spans="1:12" s="31" customFormat="1" ht="46.8" x14ac:dyDescent="0.3">
      <c r="A155" s="24">
        <v>1</v>
      </c>
      <c r="B155" s="113"/>
      <c r="C155" s="113"/>
      <c r="D155" s="114"/>
      <c r="E155" s="89">
        <v>1</v>
      </c>
      <c r="F155" s="23" t="s">
        <v>28</v>
      </c>
      <c r="G155" s="24" t="s">
        <v>181</v>
      </c>
      <c r="H155" s="40">
        <f>H53</f>
        <v>360000</v>
      </c>
      <c r="I155" s="40">
        <f>I53</f>
        <v>360000</v>
      </c>
      <c r="J155" s="40"/>
      <c r="K155" s="40"/>
    </row>
    <row r="156" spans="1:12" s="25" customFormat="1" ht="46.8" x14ac:dyDescent="0.3">
      <c r="A156" s="24">
        <v>2</v>
      </c>
      <c r="B156" s="113"/>
      <c r="C156" s="113"/>
      <c r="D156" s="114"/>
      <c r="E156" s="89">
        <v>5</v>
      </c>
      <c r="F156" s="23" t="s">
        <v>222</v>
      </c>
      <c r="G156" s="24" t="s">
        <v>183</v>
      </c>
      <c r="H156" s="40">
        <f>H98+H100+H103+H105+H106+H107+H118+H121+H123+H128</f>
        <v>157180657.24000001</v>
      </c>
      <c r="I156" s="40">
        <f t="shared" ref="I156:K156" si="21">I98+I100+I103+I105+I106+I107+I118+I121+I123+I128</f>
        <v>103069818.23999999</v>
      </c>
      <c r="J156" s="40">
        <f t="shared" si="21"/>
        <v>54110839</v>
      </c>
      <c r="K156" s="40">
        <f t="shared" si="21"/>
        <v>54110839</v>
      </c>
    </row>
    <row r="157" spans="1:12" s="25" customFormat="1" ht="46.8" x14ac:dyDescent="0.3">
      <c r="A157" s="24">
        <v>3</v>
      </c>
      <c r="B157" s="113"/>
      <c r="C157" s="113"/>
      <c r="D157" s="114"/>
      <c r="E157" s="89">
        <v>9</v>
      </c>
      <c r="F157" s="23" t="s">
        <v>210</v>
      </c>
      <c r="G157" s="24" t="s">
        <v>204</v>
      </c>
      <c r="H157" s="40">
        <f>H101+H119</f>
        <v>15318217</v>
      </c>
      <c r="I157" s="40">
        <f>I101+I119</f>
        <v>0</v>
      </c>
      <c r="J157" s="40">
        <f>J101+J119</f>
        <v>15318217</v>
      </c>
      <c r="K157" s="40">
        <f>K101+K119</f>
        <v>15318217</v>
      </c>
    </row>
    <row r="158" spans="1:12" s="25" customFormat="1" ht="62.4" x14ac:dyDescent="0.3">
      <c r="A158" s="24">
        <v>4</v>
      </c>
      <c r="B158" s="113"/>
      <c r="C158" s="113"/>
      <c r="D158" s="114"/>
      <c r="E158" s="89">
        <v>13</v>
      </c>
      <c r="F158" s="23" t="s">
        <v>91</v>
      </c>
      <c r="G158" s="24" t="s">
        <v>182</v>
      </c>
      <c r="H158" s="40">
        <f>H24+H60+H70+H35</f>
        <v>15798200</v>
      </c>
      <c r="I158" s="40">
        <f>I24+I60+I70+I35</f>
        <v>15798200</v>
      </c>
      <c r="J158" s="40">
        <f>J24+J60+J70+J35</f>
        <v>0</v>
      </c>
      <c r="K158" s="40">
        <f>K24+K60+K70+K35</f>
        <v>0</v>
      </c>
    </row>
    <row r="159" spans="1:12" s="25" customFormat="1" ht="46.8" x14ac:dyDescent="0.3">
      <c r="A159" s="24">
        <v>5</v>
      </c>
      <c r="B159" s="113"/>
      <c r="C159" s="113"/>
      <c r="D159" s="114"/>
      <c r="E159" s="89">
        <v>14</v>
      </c>
      <c r="F159" s="23" t="s">
        <v>78</v>
      </c>
      <c r="G159" s="24" t="s">
        <v>174</v>
      </c>
      <c r="H159" s="40">
        <f>H23+H54+H59+H61+H63+H64+H65+H66+H67+H68+H69+H74+H144</f>
        <v>48463000</v>
      </c>
      <c r="I159" s="40">
        <f>I23+I54+I59+I61+I63+I64+I65+I66+I67+I68+I69+I74+I144</f>
        <v>48463000</v>
      </c>
      <c r="J159" s="40">
        <f>J23+J54+J59+J61+J63+J64+J65+J66+J67+J68+J69+J74+J144</f>
        <v>0</v>
      </c>
      <c r="K159" s="40">
        <f>K23+K54+K59+K61+K63+K64+K65+K66+K67+K68+K69+K74+K144</f>
        <v>0</v>
      </c>
    </row>
    <row r="160" spans="1:12" s="25" customFormat="1" ht="46.8" x14ac:dyDescent="0.3">
      <c r="A160" s="24">
        <v>6</v>
      </c>
      <c r="B160" s="113"/>
      <c r="C160" s="113"/>
      <c r="D160" s="115"/>
      <c r="E160" s="89">
        <v>15</v>
      </c>
      <c r="F160" s="23" t="s">
        <v>229</v>
      </c>
      <c r="G160" s="24" t="s">
        <v>172</v>
      </c>
      <c r="H160" s="40">
        <f>H19+H20+H21+H22+H26+H117+H132</f>
        <v>64968624</v>
      </c>
      <c r="I160" s="40">
        <f>I19+I20+I21+I22+I26+I117+I132</f>
        <v>47777779</v>
      </c>
      <c r="J160" s="40">
        <f>J19+J20+J21+J22+J26+J117+J132</f>
        <v>17190845</v>
      </c>
      <c r="K160" s="40">
        <f>K19+K20+K21+K22+K26+K117+K132</f>
        <v>17190845</v>
      </c>
      <c r="L160" s="38"/>
    </row>
    <row r="161" spans="1:12" s="25" customFormat="1" ht="46.8" x14ac:dyDescent="0.3">
      <c r="A161" s="24">
        <v>7</v>
      </c>
      <c r="B161" s="113"/>
      <c r="C161" s="113"/>
      <c r="D161" s="115"/>
      <c r="E161" s="89">
        <v>16</v>
      </c>
      <c r="F161" s="23" t="s">
        <v>119</v>
      </c>
      <c r="G161" s="24" t="s">
        <v>176</v>
      </c>
      <c r="H161" s="40">
        <f>H36+H38+H47+H48+H42+H46+H49+H50+H51+H124</f>
        <v>44525883</v>
      </c>
      <c r="I161" s="40">
        <f t="shared" ref="I161:K161" si="22">I36+I38+I47+I48+I42+I46+I49+I50+I51+I124</f>
        <v>23636100</v>
      </c>
      <c r="J161" s="40">
        <f t="shared" si="22"/>
        <v>20889783</v>
      </c>
      <c r="K161" s="40">
        <f t="shared" si="22"/>
        <v>17525564</v>
      </c>
      <c r="L161" s="38"/>
    </row>
    <row r="162" spans="1:12" s="25" customFormat="1" ht="46.8" x14ac:dyDescent="0.3">
      <c r="A162" s="24">
        <v>8</v>
      </c>
      <c r="B162" s="113"/>
      <c r="C162" s="113"/>
      <c r="D162" s="114"/>
      <c r="E162" s="89">
        <v>17</v>
      </c>
      <c r="F162" s="23" t="s">
        <v>163</v>
      </c>
      <c r="G162" s="24" t="s">
        <v>175</v>
      </c>
      <c r="H162" s="40">
        <f>H27+H56+H112+H125+H126+H130+H133+H151</f>
        <v>147863633</v>
      </c>
      <c r="I162" s="40">
        <f>I27+I56+I112+I125+I126+I130+I133+I151</f>
        <v>5627387.6400000006</v>
      </c>
      <c r="J162" s="40">
        <f t="shared" ref="J162:K162" si="23">J27+J56+J112+J125+J126+J130+J133+J151</f>
        <v>142236245.36000001</v>
      </c>
      <c r="K162" s="40">
        <f t="shared" si="23"/>
        <v>142236245.36000001</v>
      </c>
      <c r="L162" s="38"/>
    </row>
    <row r="163" spans="1:12" s="25" customFormat="1" ht="124.8" x14ac:dyDescent="0.3">
      <c r="A163" s="24">
        <v>9</v>
      </c>
      <c r="B163" s="113"/>
      <c r="C163" s="113"/>
      <c r="D163" s="114"/>
      <c r="E163" s="116">
        <v>18</v>
      </c>
      <c r="F163" s="91" t="s">
        <v>198</v>
      </c>
      <c r="G163" s="24" t="s">
        <v>199</v>
      </c>
      <c r="H163" s="40">
        <f>H28</f>
        <v>556030</v>
      </c>
      <c r="I163" s="40">
        <f>I28</f>
        <v>556030</v>
      </c>
      <c r="J163" s="40">
        <f>J28</f>
        <v>0</v>
      </c>
      <c r="K163" s="40">
        <f>K28</f>
        <v>0</v>
      </c>
      <c r="L163" s="38"/>
    </row>
    <row r="164" spans="1:12" s="25" customFormat="1" ht="62.4" x14ac:dyDescent="0.3">
      <c r="A164" s="24">
        <v>10</v>
      </c>
      <c r="B164" s="113"/>
      <c r="C164" s="113"/>
      <c r="D164" s="114"/>
      <c r="E164" s="89">
        <v>20</v>
      </c>
      <c r="F164" s="23" t="s">
        <v>280</v>
      </c>
      <c r="G164" s="24" t="s">
        <v>279</v>
      </c>
      <c r="H164" s="40">
        <f>H120+H127</f>
        <v>27984922</v>
      </c>
      <c r="I164" s="40">
        <f t="shared" ref="I164:K164" si="24">I120+I127</f>
        <v>0</v>
      </c>
      <c r="J164" s="40">
        <f t="shared" si="24"/>
        <v>27984922</v>
      </c>
      <c r="K164" s="40">
        <f t="shared" si="24"/>
        <v>27984922</v>
      </c>
      <c r="L164" s="38"/>
    </row>
    <row r="165" spans="1:12" s="25" customFormat="1" ht="46.8" x14ac:dyDescent="0.3">
      <c r="A165" s="24">
        <v>11</v>
      </c>
      <c r="B165" s="113"/>
      <c r="C165" s="113"/>
      <c r="D165" s="114"/>
      <c r="E165" s="116">
        <v>23</v>
      </c>
      <c r="F165" s="91" t="s">
        <v>159</v>
      </c>
      <c r="G165" s="24" t="s">
        <v>161</v>
      </c>
      <c r="H165" s="40">
        <f>H39+H43</f>
        <v>196820</v>
      </c>
      <c r="I165" s="40">
        <f t="shared" ref="I165:K165" si="25">I39+I43</f>
        <v>196820</v>
      </c>
      <c r="J165" s="40">
        <f t="shared" si="25"/>
        <v>0</v>
      </c>
      <c r="K165" s="40">
        <f t="shared" si="25"/>
        <v>0</v>
      </c>
      <c r="L165" s="38"/>
    </row>
    <row r="166" spans="1:12" s="25" customFormat="1" ht="46.8" x14ac:dyDescent="0.3">
      <c r="A166" s="24">
        <v>12</v>
      </c>
      <c r="B166" s="113"/>
      <c r="C166" s="113"/>
      <c r="D166" s="114"/>
      <c r="E166" s="89">
        <v>25</v>
      </c>
      <c r="F166" s="98" t="s">
        <v>170</v>
      </c>
      <c r="G166" s="24" t="s">
        <v>212</v>
      </c>
      <c r="H166" s="40">
        <f>H52+H80</f>
        <v>4049780</v>
      </c>
      <c r="I166" s="40">
        <f>I52+I80</f>
        <v>4049780</v>
      </c>
      <c r="J166" s="40">
        <f>J52+J80</f>
        <v>0</v>
      </c>
      <c r="K166" s="40">
        <f>K52+K80</f>
        <v>0</v>
      </c>
      <c r="L166" s="38"/>
    </row>
    <row r="167" spans="1:12" s="25" customFormat="1" ht="46.8" x14ac:dyDescent="0.3">
      <c r="A167" s="24">
        <v>13</v>
      </c>
      <c r="B167" s="113"/>
      <c r="C167" s="113"/>
      <c r="D167" s="114"/>
      <c r="E167" s="89">
        <v>28</v>
      </c>
      <c r="F167" s="98" t="s">
        <v>149</v>
      </c>
      <c r="G167" s="82" t="s">
        <v>200</v>
      </c>
      <c r="H167" s="40">
        <f>H78+H79+H81+H82+H83+H84</f>
        <v>1355810</v>
      </c>
      <c r="I167" s="40">
        <f>I78+I79+I81+I82+I83+I84</f>
        <v>890810</v>
      </c>
      <c r="J167" s="40">
        <f>J78+J79+J81+J82+J83+J84</f>
        <v>465000</v>
      </c>
      <c r="K167" s="40">
        <f>K78+K79+K81+K82+K83+K84</f>
        <v>190000</v>
      </c>
      <c r="L167" s="38"/>
    </row>
    <row r="168" spans="1:12" s="25" customFormat="1" ht="46.8" x14ac:dyDescent="0.3">
      <c r="A168" s="24">
        <v>14</v>
      </c>
      <c r="B168" s="113"/>
      <c r="C168" s="113"/>
      <c r="D168" s="114"/>
      <c r="E168" s="89">
        <v>29</v>
      </c>
      <c r="F168" s="23" t="s">
        <v>171</v>
      </c>
      <c r="G168" s="24" t="s">
        <v>201</v>
      </c>
      <c r="H168" s="40">
        <f>H62+H88+H90</f>
        <v>1135730</v>
      </c>
      <c r="I168" s="40">
        <f>I62+I88+I90</f>
        <v>1135730</v>
      </c>
      <c r="J168" s="40">
        <f>J62+J88+J90</f>
        <v>0</v>
      </c>
      <c r="K168" s="40">
        <f>K62+K88+K90</f>
        <v>0</v>
      </c>
      <c r="L168" s="38"/>
    </row>
    <row r="169" spans="1:12" s="25" customFormat="1" ht="46.8" x14ac:dyDescent="0.3">
      <c r="A169" s="24">
        <v>15</v>
      </c>
      <c r="B169" s="113"/>
      <c r="C169" s="113"/>
      <c r="D169" s="114"/>
      <c r="E169" s="89">
        <v>30</v>
      </c>
      <c r="F169" s="23" t="s">
        <v>162</v>
      </c>
      <c r="G169" s="24" t="s">
        <v>188</v>
      </c>
      <c r="H169" s="40">
        <f>H41+H44+H45+H89+H91+H92+H93+H145</f>
        <v>3851898</v>
      </c>
      <c r="I169" s="40">
        <f>I41+I44+I45+I89+I91+I92+I93+I145</f>
        <v>3851898</v>
      </c>
      <c r="J169" s="40">
        <f>J41+J44+J89+J91+J92+J93+J145</f>
        <v>0</v>
      </c>
      <c r="K169" s="40">
        <f>K41+K44+K89+K91+K92+K93+K145</f>
        <v>0</v>
      </c>
    </row>
    <row r="170" spans="1:12" s="25" customFormat="1" ht="62.4" x14ac:dyDescent="0.3">
      <c r="A170" s="24">
        <v>16</v>
      </c>
      <c r="B170" s="113"/>
      <c r="C170" s="113"/>
      <c r="D170" s="114"/>
      <c r="E170" s="89">
        <v>32</v>
      </c>
      <c r="F170" s="23" t="s">
        <v>186</v>
      </c>
      <c r="G170" s="24" t="s">
        <v>185</v>
      </c>
      <c r="H170" s="40">
        <f>H40</f>
        <v>15000</v>
      </c>
      <c r="I170" s="40">
        <f>I40</f>
        <v>15000</v>
      </c>
      <c r="J170" s="40">
        <f>J40</f>
        <v>0</v>
      </c>
      <c r="K170" s="40">
        <f>K40</f>
        <v>0</v>
      </c>
    </row>
    <row r="171" spans="1:12" s="25" customFormat="1" ht="62.4" x14ac:dyDescent="0.3">
      <c r="A171" s="24">
        <v>17</v>
      </c>
      <c r="B171" s="113"/>
      <c r="C171" s="113"/>
      <c r="D171" s="114"/>
      <c r="E171" s="116">
        <v>36</v>
      </c>
      <c r="F171" s="91" t="s">
        <v>189</v>
      </c>
      <c r="G171" s="24" t="s">
        <v>202</v>
      </c>
      <c r="H171" s="40">
        <f>H29</f>
        <v>2220100</v>
      </c>
      <c r="I171" s="40">
        <f>I29</f>
        <v>2029300</v>
      </c>
      <c r="J171" s="40">
        <f>J29</f>
        <v>190800</v>
      </c>
      <c r="K171" s="40">
        <f>K29</f>
        <v>190800</v>
      </c>
      <c r="L171" s="38"/>
    </row>
    <row r="172" spans="1:12" s="25" customFormat="1" ht="78" x14ac:dyDescent="0.3">
      <c r="A172" s="24">
        <v>18</v>
      </c>
      <c r="B172" s="113"/>
      <c r="C172" s="113"/>
      <c r="D172" s="114"/>
      <c r="E172" s="89">
        <v>40</v>
      </c>
      <c r="F172" s="23" t="s">
        <v>259</v>
      </c>
      <c r="G172" s="24" t="s">
        <v>260</v>
      </c>
      <c r="H172" s="40">
        <f>H97+H102+H110</f>
        <v>6195463.0499999998</v>
      </c>
      <c r="I172" s="40">
        <f>I97+I102+I110</f>
        <v>0</v>
      </c>
      <c r="J172" s="40">
        <f>J97+J102+J110</f>
        <v>6195463.0499999998</v>
      </c>
      <c r="K172" s="40">
        <f>K97+K102+K110</f>
        <v>5575916.7599999998</v>
      </c>
      <c r="L172" s="38"/>
    </row>
    <row r="173" spans="1:12" s="25" customFormat="1" ht="46.8" x14ac:dyDescent="0.3">
      <c r="A173" s="24">
        <v>19</v>
      </c>
      <c r="B173" s="113"/>
      <c r="C173" s="113"/>
      <c r="D173" s="114"/>
      <c r="E173" s="89"/>
      <c r="F173" s="84" t="s">
        <v>358</v>
      </c>
      <c r="G173" s="82" t="s">
        <v>359</v>
      </c>
      <c r="H173" s="40">
        <f>H75</f>
        <v>4281735</v>
      </c>
      <c r="I173" s="40">
        <f t="shared" ref="I173:K173" si="26">I75</f>
        <v>50000</v>
      </c>
      <c r="J173" s="40">
        <f t="shared" si="26"/>
        <v>4231735</v>
      </c>
      <c r="K173" s="40">
        <f t="shared" si="26"/>
        <v>4231735</v>
      </c>
      <c r="L173" s="38"/>
    </row>
    <row r="174" spans="1:12" s="25" customFormat="1" ht="109.2" x14ac:dyDescent="0.3">
      <c r="A174" s="24">
        <v>20</v>
      </c>
      <c r="B174" s="113"/>
      <c r="C174" s="113"/>
      <c r="D174" s="114"/>
      <c r="E174" s="89">
        <v>45</v>
      </c>
      <c r="F174" s="26" t="s">
        <v>209</v>
      </c>
      <c r="G174" s="95" t="s">
        <v>236</v>
      </c>
      <c r="H174" s="40">
        <f>I174+J174</f>
        <v>1500000</v>
      </c>
      <c r="I174" s="40">
        <v>1500000</v>
      </c>
      <c r="J174" s="40">
        <f>K174</f>
        <v>0</v>
      </c>
      <c r="K174" s="40"/>
      <c r="L174" s="38"/>
    </row>
    <row r="175" spans="1:12" s="25" customFormat="1" ht="62.4" x14ac:dyDescent="0.3">
      <c r="A175" s="24">
        <v>21</v>
      </c>
      <c r="B175" s="113"/>
      <c r="C175" s="113"/>
      <c r="D175" s="114"/>
      <c r="E175" s="105">
        <v>50</v>
      </c>
      <c r="F175" s="99" t="s">
        <v>284</v>
      </c>
      <c r="G175" s="24" t="s">
        <v>285</v>
      </c>
      <c r="H175" s="40">
        <f>H146+H148</f>
        <v>18000000</v>
      </c>
      <c r="I175" s="40">
        <f>I146+I148</f>
        <v>0</v>
      </c>
      <c r="J175" s="40">
        <f>J146+J148</f>
        <v>18000000</v>
      </c>
      <c r="K175" s="40">
        <f>K146+K148</f>
        <v>18000000</v>
      </c>
      <c r="L175" s="38"/>
    </row>
    <row r="176" spans="1:12" s="25" customFormat="1" ht="46.8" x14ac:dyDescent="0.3">
      <c r="A176" s="24">
        <v>22</v>
      </c>
      <c r="B176" s="113"/>
      <c r="C176" s="113"/>
      <c r="D176" s="114"/>
      <c r="E176" s="89">
        <v>51</v>
      </c>
      <c r="F176" s="98" t="s">
        <v>223</v>
      </c>
      <c r="G176" s="24" t="s">
        <v>235</v>
      </c>
      <c r="H176" s="40">
        <f>H109+H111+H138</f>
        <v>87653375</v>
      </c>
      <c r="I176" s="40">
        <f t="shared" ref="I176:K176" si="27">I109+I111+I138</f>
        <v>70855378</v>
      </c>
      <c r="J176" s="40">
        <f t="shared" si="27"/>
        <v>16797997</v>
      </c>
      <c r="K176" s="40">
        <f t="shared" si="27"/>
        <v>16797997</v>
      </c>
      <c r="L176" s="38"/>
    </row>
    <row r="177" spans="1:12" s="25" customFormat="1" ht="120" customHeight="1" x14ac:dyDescent="0.3">
      <c r="A177" s="24">
        <v>23</v>
      </c>
      <c r="B177" s="113"/>
      <c r="C177" s="113"/>
      <c r="D177" s="114"/>
      <c r="E177" s="116">
        <v>52</v>
      </c>
      <c r="F177" s="26" t="s">
        <v>296</v>
      </c>
      <c r="G177" s="24" t="s">
        <v>306</v>
      </c>
      <c r="H177" s="40">
        <f>I177+J177</f>
        <v>71363515</v>
      </c>
      <c r="I177" s="40">
        <f>I30+I31+I113+I139+I147+12255046-5757500</f>
        <v>25839792</v>
      </c>
      <c r="J177" s="40">
        <f>J30+J31+J113+J139+J147</f>
        <v>45523723</v>
      </c>
      <c r="K177" s="40">
        <f>K30+K31+K113+K139+K147</f>
        <v>45523723</v>
      </c>
      <c r="L177" s="38"/>
    </row>
    <row r="178" spans="1:12" s="25" customFormat="1" ht="46.8" x14ac:dyDescent="0.3">
      <c r="A178" s="24">
        <v>24</v>
      </c>
      <c r="B178" s="113"/>
      <c r="C178" s="113"/>
      <c r="D178" s="114"/>
      <c r="E178" s="116">
        <v>53</v>
      </c>
      <c r="F178" s="91" t="s">
        <v>238</v>
      </c>
      <c r="G178" s="24" t="s">
        <v>239</v>
      </c>
      <c r="H178" s="40">
        <f>H96</f>
        <v>30000</v>
      </c>
      <c r="I178" s="40">
        <f>I96</f>
        <v>30000</v>
      </c>
      <c r="J178" s="40">
        <f>J96</f>
        <v>0</v>
      </c>
      <c r="K178" s="40">
        <f>K96</f>
        <v>0</v>
      </c>
      <c r="L178" s="38"/>
    </row>
    <row r="179" spans="1:12" s="25" customFormat="1" ht="93.6" x14ac:dyDescent="0.3">
      <c r="A179" s="24">
        <v>25</v>
      </c>
      <c r="B179" s="113"/>
      <c r="C179" s="113"/>
      <c r="D179" s="114"/>
      <c r="E179" s="89">
        <v>54</v>
      </c>
      <c r="F179" s="23" t="s">
        <v>228</v>
      </c>
      <c r="G179" s="24" t="s">
        <v>244</v>
      </c>
      <c r="H179" s="40">
        <f t="shared" ref="H179:K180" si="28">H142</f>
        <v>1570500</v>
      </c>
      <c r="I179" s="40">
        <f t="shared" si="28"/>
        <v>1287000</v>
      </c>
      <c r="J179" s="40">
        <f t="shared" si="28"/>
        <v>283500</v>
      </c>
      <c r="K179" s="40">
        <f t="shared" si="28"/>
        <v>283500</v>
      </c>
      <c r="L179" s="38"/>
    </row>
    <row r="180" spans="1:12" s="25" customFormat="1" ht="31.2" x14ac:dyDescent="0.3">
      <c r="A180" s="24">
        <v>26</v>
      </c>
      <c r="B180" s="113"/>
      <c r="C180" s="113"/>
      <c r="D180" s="114"/>
      <c r="E180" s="89">
        <v>55</v>
      </c>
      <c r="F180" s="26" t="s">
        <v>230</v>
      </c>
      <c r="G180" s="95" t="s">
        <v>245</v>
      </c>
      <c r="H180" s="40">
        <f t="shared" si="28"/>
        <v>300000</v>
      </c>
      <c r="I180" s="40">
        <f t="shared" si="28"/>
        <v>300000</v>
      </c>
      <c r="J180" s="40">
        <f t="shared" si="28"/>
        <v>0</v>
      </c>
      <c r="K180" s="40">
        <f t="shared" si="28"/>
        <v>0</v>
      </c>
      <c r="L180" s="38"/>
    </row>
    <row r="181" spans="1:12" s="25" customFormat="1" ht="46.8" x14ac:dyDescent="0.3">
      <c r="A181" s="24">
        <v>27</v>
      </c>
      <c r="B181" s="113"/>
      <c r="C181" s="113"/>
      <c r="D181" s="114"/>
      <c r="E181" s="105">
        <v>57</v>
      </c>
      <c r="F181" s="99" t="s">
        <v>286</v>
      </c>
      <c r="G181" s="24" t="s">
        <v>289</v>
      </c>
      <c r="H181" s="40">
        <f>H149</f>
        <v>2000000</v>
      </c>
      <c r="I181" s="40">
        <f t="shared" ref="I181:K181" si="29">I149</f>
        <v>2000000</v>
      </c>
      <c r="J181" s="40">
        <f t="shared" si="29"/>
        <v>0</v>
      </c>
      <c r="K181" s="40">
        <f t="shared" si="29"/>
        <v>0</v>
      </c>
      <c r="L181" s="38"/>
    </row>
    <row r="182" spans="1:12" s="25" customFormat="1" ht="46.8" x14ac:dyDescent="0.3">
      <c r="A182" s="24">
        <v>28</v>
      </c>
      <c r="B182" s="113"/>
      <c r="C182" s="113"/>
      <c r="D182" s="114"/>
      <c r="E182" s="105">
        <v>58</v>
      </c>
      <c r="F182" s="99" t="s">
        <v>287</v>
      </c>
      <c r="G182" s="24" t="s">
        <v>290</v>
      </c>
      <c r="H182" s="40">
        <f>H150</f>
        <v>2526400</v>
      </c>
      <c r="I182" s="40">
        <f t="shared" ref="I182:K182" si="30">I150</f>
        <v>976400</v>
      </c>
      <c r="J182" s="40">
        <f t="shared" si="30"/>
        <v>1550000</v>
      </c>
      <c r="K182" s="40">
        <f t="shared" si="30"/>
        <v>1550000</v>
      </c>
      <c r="L182" s="38"/>
    </row>
    <row r="183" spans="1:12" s="25" customFormat="1" ht="62.4" x14ac:dyDescent="0.3">
      <c r="A183" s="24">
        <v>29</v>
      </c>
      <c r="B183" s="113"/>
      <c r="C183" s="113"/>
      <c r="D183" s="114"/>
      <c r="E183" s="105">
        <v>56</v>
      </c>
      <c r="F183" s="99" t="s">
        <v>343</v>
      </c>
      <c r="G183" s="24" t="s">
        <v>299</v>
      </c>
      <c r="H183" s="40">
        <f>H32+H37+H114+H122+H129+H131+H134</f>
        <v>3324695</v>
      </c>
      <c r="I183" s="40">
        <f t="shared" ref="I183:K183" si="31">I32+I37+I114+I122+I129+I131+I134</f>
        <v>0</v>
      </c>
      <c r="J183" s="40">
        <f t="shared" si="31"/>
        <v>3324695</v>
      </c>
      <c r="K183" s="40">
        <f t="shared" si="31"/>
        <v>2616095</v>
      </c>
      <c r="L183" s="38"/>
    </row>
    <row r="184" spans="1:12" s="25" customFormat="1" ht="78" x14ac:dyDescent="0.3">
      <c r="A184" s="24">
        <v>30</v>
      </c>
      <c r="B184" s="113"/>
      <c r="C184" s="113"/>
      <c r="D184" s="114"/>
      <c r="E184" s="105">
        <v>59</v>
      </c>
      <c r="F184" s="99" t="s">
        <v>342</v>
      </c>
      <c r="G184" s="24" t="s">
        <v>300</v>
      </c>
      <c r="H184" s="40">
        <f>H99</f>
        <v>325175</v>
      </c>
      <c r="I184" s="40">
        <f>I99</f>
        <v>0</v>
      </c>
      <c r="J184" s="40">
        <f>J99</f>
        <v>325175</v>
      </c>
      <c r="K184" s="40">
        <f>K99</f>
        <v>325175</v>
      </c>
      <c r="L184" s="38"/>
    </row>
    <row r="185" spans="1:12" s="25" customFormat="1" ht="78" x14ac:dyDescent="0.3">
      <c r="A185" s="24">
        <v>31</v>
      </c>
      <c r="B185" s="113"/>
      <c r="C185" s="113"/>
      <c r="D185" s="114"/>
      <c r="E185" s="89"/>
      <c r="F185" s="93" t="s">
        <v>327</v>
      </c>
      <c r="G185" s="24" t="s">
        <v>326</v>
      </c>
      <c r="H185" s="40">
        <f>H104</f>
        <v>1200000</v>
      </c>
      <c r="I185" s="40">
        <f t="shared" ref="I185:K185" si="32">I104</f>
        <v>0</v>
      </c>
      <c r="J185" s="40">
        <f t="shared" si="32"/>
        <v>1200000</v>
      </c>
      <c r="K185" s="40">
        <f t="shared" si="32"/>
        <v>1200000</v>
      </c>
      <c r="L185" s="38"/>
    </row>
    <row r="186" spans="1:12" s="25" customFormat="1" ht="31.2" x14ac:dyDescent="0.3">
      <c r="A186" s="24">
        <v>32</v>
      </c>
      <c r="B186" s="113"/>
      <c r="C186" s="113"/>
      <c r="D186" s="114"/>
      <c r="E186" s="108"/>
      <c r="F186" s="23" t="s">
        <v>318</v>
      </c>
      <c r="G186" s="24" t="s">
        <v>319</v>
      </c>
      <c r="H186" s="40">
        <f>H18+H25+H55+H71+H85+H108</f>
        <v>2964797</v>
      </c>
      <c r="I186" s="40">
        <f>I18+I25+I55+I71+I85+I108</f>
        <v>1840000</v>
      </c>
      <c r="J186" s="40">
        <f>J18+J25+J55+J71+J85+J108</f>
        <v>1124797</v>
      </c>
      <c r="K186" s="40">
        <f>K18+K25+K55+K71+K85+K108</f>
        <v>1124797</v>
      </c>
      <c r="L186" s="38"/>
    </row>
    <row r="187" spans="1:12" s="25" customFormat="1" ht="31.2" x14ac:dyDescent="0.3">
      <c r="A187" s="24">
        <v>33</v>
      </c>
      <c r="B187" s="113"/>
      <c r="C187" s="113"/>
      <c r="D187" s="114"/>
      <c r="E187" s="108"/>
      <c r="F187" s="84" t="s">
        <v>360</v>
      </c>
      <c r="G187" s="24" t="s">
        <v>370</v>
      </c>
      <c r="H187" s="40">
        <f>H152</f>
        <v>1000000</v>
      </c>
      <c r="I187" s="40">
        <f t="shared" ref="I187:K187" si="33">I152</f>
        <v>0</v>
      </c>
      <c r="J187" s="40">
        <f t="shared" si="33"/>
        <v>1000000</v>
      </c>
      <c r="K187" s="40">
        <f t="shared" si="33"/>
        <v>1000000</v>
      </c>
      <c r="L187" s="38"/>
    </row>
    <row r="188" spans="1:12" s="25" customFormat="1" ht="31.2" x14ac:dyDescent="0.3">
      <c r="A188" s="24">
        <v>34</v>
      </c>
      <c r="B188" s="113"/>
      <c r="C188" s="113"/>
      <c r="D188" s="114"/>
      <c r="E188" s="89"/>
      <c r="F188" s="110" t="s">
        <v>366</v>
      </c>
      <c r="G188" s="24" t="s">
        <v>368</v>
      </c>
      <c r="H188" s="40">
        <f>H153</f>
        <v>2700000</v>
      </c>
      <c r="I188" s="40">
        <f t="shared" ref="I188:K188" si="34">I153</f>
        <v>0</v>
      </c>
      <c r="J188" s="40">
        <f t="shared" si="34"/>
        <v>2700000</v>
      </c>
      <c r="K188" s="40">
        <f t="shared" si="34"/>
        <v>2700000</v>
      </c>
      <c r="L188" s="38"/>
    </row>
    <row r="189" spans="1:12" s="53" customFormat="1" ht="17.399999999999999" x14ac:dyDescent="0.3">
      <c r="A189" s="140" t="s">
        <v>233</v>
      </c>
      <c r="B189" s="141"/>
      <c r="C189" s="141"/>
      <c r="D189" s="141"/>
      <c r="E189" s="141"/>
      <c r="F189" s="141"/>
      <c r="G189" s="142"/>
      <c r="H189" s="112">
        <f>I189+J189</f>
        <v>742779959.28999996</v>
      </c>
      <c r="I189" s="112">
        <f>SUM(I155:I188)</f>
        <v>362136222.88</v>
      </c>
      <c r="J189" s="112">
        <f t="shared" ref="J189:K189" si="35">SUM(J155:J188)</f>
        <v>380643736.41000003</v>
      </c>
      <c r="K189" s="112">
        <f t="shared" si="35"/>
        <v>375676371.12</v>
      </c>
      <c r="L189" s="52"/>
    </row>
    <row r="190" spans="1:12" s="25" customFormat="1" ht="15.6" x14ac:dyDescent="0.3">
      <c r="A190" s="117"/>
      <c r="B190" s="118"/>
      <c r="C190" s="117"/>
      <c r="D190" s="25" t="s">
        <v>219</v>
      </c>
      <c r="E190" s="31"/>
      <c r="F190" s="20"/>
      <c r="G190" s="118" t="s">
        <v>220</v>
      </c>
      <c r="H190" s="118"/>
      <c r="I190" s="118"/>
      <c r="J190" s="118"/>
      <c r="K190" s="118"/>
      <c r="L190" s="38"/>
    </row>
    <row r="191" spans="1:12" s="25" customFormat="1" ht="15.6" x14ac:dyDescent="0.3">
      <c r="A191" s="17"/>
      <c r="B191" s="1"/>
      <c r="C191" s="17"/>
      <c r="D191" s="2"/>
      <c r="E191" s="56"/>
      <c r="F191" s="20"/>
      <c r="G191" s="1"/>
      <c r="H191" s="42"/>
      <c r="I191" s="42"/>
      <c r="J191" s="42">
        <f t="shared" ref="I191:K191" si="36">J154-J189</f>
        <v>0</v>
      </c>
      <c r="K191" s="42">
        <f t="shared" si="36"/>
        <v>0</v>
      </c>
    </row>
    <row r="192" spans="1:12" ht="15.6" x14ac:dyDescent="0.3">
      <c r="F192" s="20"/>
      <c r="H192" s="42"/>
      <c r="I192" s="42"/>
      <c r="J192" s="42"/>
      <c r="K192" s="42"/>
    </row>
    <row r="193" spans="1:11" x14ac:dyDescent="0.3">
      <c r="B193" s="17"/>
      <c r="H193" s="42"/>
    </row>
    <row r="194" spans="1:11" s="56" customFormat="1" x14ac:dyDescent="0.3">
      <c r="A194" s="54"/>
      <c r="B194" s="55"/>
      <c r="C194" s="54"/>
      <c r="F194" s="139"/>
      <c r="G194" s="139"/>
      <c r="H194" s="74">
        <f>H192-H193</f>
        <v>0</v>
      </c>
      <c r="I194" s="74"/>
      <c r="J194" s="57">
        <f>J192-K192</f>
        <v>0</v>
      </c>
      <c r="K194" s="57"/>
    </row>
    <row r="195" spans="1:11" s="56" customFormat="1" x14ac:dyDescent="0.3">
      <c r="A195" s="54"/>
      <c r="B195" s="55"/>
      <c r="C195" s="54"/>
      <c r="F195" s="139"/>
      <c r="G195" s="139"/>
      <c r="H195" s="58"/>
      <c r="I195" s="58"/>
      <c r="J195" s="58"/>
      <c r="K195" s="58"/>
    </row>
    <row r="196" spans="1:11" x14ac:dyDescent="0.3">
      <c r="H196" s="19"/>
      <c r="I196" s="19"/>
      <c r="J196" s="19"/>
      <c r="K196" s="19"/>
    </row>
    <row r="198" spans="1:11" x14ac:dyDescent="0.3">
      <c r="G198" s="55"/>
      <c r="H198" s="57"/>
      <c r="I198" s="57"/>
      <c r="J198" s="57"/>
      <c r="K198" s="57"/>
    </row>
    <row r="199" spans="1:11" s="61" customFormat="1" x14ac:dyDescent="0.3">
      <c r="A199" s="59"/>
      <c r="B199" s="60"/>
      <c r="C199" s="59"/>
      <c r="E199" s="72"/>
      <c r="F199" s="62"/>
      <c r="G199" s="60"/>
      <c r="H199" s="63"/>
      <c r="I199" s="63"/>
      <c r="J199" s="63"/>
      <c r="K199" s="63"/>
    </row>
    <row r="201" spans="1:11" x14ac:dyDescent="0.3">
      <c r="G201" s="55"/>
      <c r="H201" s="58"/>
      <c r="I201" s="58"/>
      <c r="J201" s="58"/>
      <c r="K201" s="58"/>
    </row>
    <row r="202" spans="1:11" x14ac:dyDescent="0.3">
      <c r="H202" s="42"/>
      <c r="I202" s="42"/>
      <c r="J202" s="42"/>
      <c r="K202" s="42"/>
    </row>
    <row r="204" spans="1:11" x14ac:dyDescent="0.3">
      <c r="H204" s="42"/>
    </row>
    <row r="205" spans="1:11" x14ac:dyDescent="0.3">
      <c r="H205" s="42"/>
    </row>
  </sheetData>
  <mergeCells count="42">
    <mergeCell ref="D115:F115"/>
    <mergeCell ref="D116:F116"/>
    <mergeCell ref="F194:G194"/>
    <mergeCell ref="F195:G195"/>
    <mergeCell ref="A189:G189"/>
    <mergeCell ref="D154:F154"/>
    <mergeCell ref="D141:F141"/>
    <mergeCell ref="D136:F136"/>
    <mergeCell ref="D135:F135"/>
    <mergeCell ref="D140:F140"/>
    <mergeCell ref="A9:K9"/>
    <mergeCell ref="F13:F14"/>
    <mergeCell ref="A10:B10"/>
    <mergeCell ref="A13:A14"/>
    <mergeCell ref="B13:B14"/>
    <mergeCell ref="C13:C14"/>
    <mergeCell ref="D13:D14"/>
    <mergeCell ref="E13:E14"/>
    <mergeCell ref="D94:F94"/>
    <mergeCell ref="D87:F87"/>
    <mergeCell ref="D95:F95"/>
    <mergeCell ref="D72:F72"/>
    <mergeCell ref="D73:F73"/>
    <mergeCell ref="D76:F76"/>
    <mergeCell ref="D77:F77"/>
    <mergeCell ref="D86:F86"/>
    <mergeCell ref="I1:K1"/>
    <mergeCell ref="I2:K2"/>
    <mergeCell ref="I3:K3"/>
    <mergeCell ref="D58:F58"/>
    <mergeCell ref="D17:F17"/>
    <mergeCell ref="D33:F33"/>
    <mergeCell ref="D16:F16"/>
    <mergeCell ref="D34:F34"/>
    <mergeCell ref="D57:F57"/>
    <mergeCell ref="I5:K5"/>
    <mergeCell ref="I6:K6"/>
    <mergeCell ref="I7:K7"/>
    <mergeCell ref="G13:G14"/>
    <mergeCell ref="H13:H14"/>
    <mergeCell ref="I13:I14"/>
    <mergeCell ref="J13:K13"/>
  </mergeCells>
  <pageMargins left="0.39370078740157483" right="0.39370078740157483" top="0.59055118110236227" bottom="0.19685039370078741" header="0.51181102362204722" footer="0.51181102362204722"/>
  <pageSetup paperSize="9" scale="45" fitToHeight="9" orientation="landscape" r:id="rId1"/>
  <headerFooter differentFirst="1">
    <oddHeader>&amp;C&amp;P</oddHeader>
  </headerFooter>
  <rowBreaks count="3" manualBreakCount="3">
    <brk id="32" max="10" man="1"/>
    <brk id="111" max="10" man="1"/>
    <brk id="137"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3</vt:i4>
      </vt:variant>
    </vt:vector>
  </HeadingPairs>
  <TitlesOfParts>
    <vt:vector size="4" baseType="lpstr">
      <vt:lpstr>2024</vt:lpstr>
      <vt:lpstr>'2024'!_Hlk183088685</vt:lpstr>
      <vt:lpstr>'2024'!Заголовки_для_друку</vt:lpstr>
      <vt:lpstr>'2024'!Область_друку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2024-11-25T09:25:52Z</dcterms:modified>
</cp:coreProperties>
</file>