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УТОЧНЕННЯ\13_НАСТУПНЕ\"/>
    </mc:Choice>
  </mc:AlternateContent>
  <bookViews>
    <workbookView xWindow="-105" yWindow="-105" windowWidth="23250" windowHeight="12570" firstSheet="1" activeTab="1"/>
  </bookViews>
  <sheets>
    <sheet name="Лист1" sheetId="13" state="hidden" r:id="rId1"/>
    <sheet name="2024" sheetId="19" r:id="rId2"/>
  </sheets>
  <externalReferences>
    <externalReference r:id="rId3"/>
    <externalReference r:id="rId4"/>
  </externalReferences>
  <definedNames>
    <definedName name="_xlnm.Print_Titles" localSheetId="1">'2024'!$12:$14</definedName>
    <definedName name="_xlnm.Print_Area" localSheetId="1">'2024'!$A$1:$I$197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4" i="19" l="1"/>
  <c r="G186" i="19"/>
  <c r="F186" i="19"/>
  <c r="G188" i="19" l="1"/>
  <c r="F188" i="19"/>
  <c r="G161" i="19"/>
  <c r="F161" i="19"/>
  <c r="G160" i="19"/>
  <c r="F160" i="19"/>
  <c r="G159" i="19"/>
  <c r="F159" i="19"/>
  <c r="G158" i="19"/>
  <c r="F158" i="19"/>
  <c r="G157" i="19"/>
  <c r="F157" i="19"/>
  <c r="G129" i="19"/>
  <c r="F129" i="19"/>
  <c r="G106" i="19"/>
  <c r="F106" i="19"/>
  <c r="G105" i="19"/>
  <c r="F105" i="19"/>
  <c r="G97" i="19"/>
  <c r="F97" i="19"/>
  <c r="H64" i="19"/>
  <c r="I64" i="19"/>
  <c r="F64" i="19"/>
  <c r="G66" i="19"/>
  <c r="G64" i="19" s="1"/>
  <c r="F66" i="19"/>
  <c r="G53" i="19"/>
  <c r="F53" i="19"/>
  <c r="G52" i="19"/>
  <c r="F52" i="19"/>
  <c r="G28" i="19"/>
  <c r="F28" i="19"/>
  <c r="G25" i="19"/>
  <c r="F25" i="19"/>
  <c r="G21" i="19"/>
  <c r="F21" i="19"/>
  <c r="F95" i="19" l="1"/>
  <c r="G95" i="19"/>
  <c r="G107" i="19" l="1"/>
  <c r="F107" i="19"/>
  <c r="G165" i="19" l="1"/>
  <c r="G204" i="19" l="1"/>
  <c r="I155" i="19" l="1"/>
  <c r="G183" i="19"/>
  <c r="F183" i="19"/>
  <c r="G176" i="19"/>
  <c r="F176" i="19"/>
  <c r="G175" i="19"/>
  <c r="F175" i="19"/>
  <c r="G173" i="19"/>
  <c r="F173" i="19"/>
  <c r="G172" i="19"/>
  <c r="F172" i="19"/>
  <c r="G156" i="19"/>
  <c r="G147" i="19"/>
  <c r="F147" i="19"/>
  <c r="G140" i="19"/>
  <c r="F140" i="19"/>
  <c r="G135" i="19"/>
  <c r="F135" i="19"/>
  <c r="H111" i="19"/>
  <c r="I111" i="19"/>
  <c r="G115" i="19"/>
  <c r="G111" i="19" s="1"/>
  <c r="I112" i="19"/>
  <c r="F112" i="19"/>
  <c r="F111" i="19" s="1"/>
  <c r="G51" i="19"/>
  <c r="F51" i="19"/>
  <c r="G44" i="19"/>
  <c r="F44" i="19"/>
  <c r="H16" i="19"/>
  <c r="I16" i="19"/>
  <c r="G35" i="19"/>
  <c r="F35" i="19"/>
  <c r="F165" i="19" l="1"/>
  <c r="G179" i="19" l="1"/>
  <c r="G178" i="19" s="1"/>
  <c r="F179" i="19"/>
  <c r="F178" i="19" s="1"/>
  <c r="F155" i="19"/>
  <c r="H137" i="19"/>
  <c r="I137" i="19"/>
  <c r="G104" i="19"/>
  <c r="F104" i="19"/>
  <c r="G102" i="19"/>
  <c r="F102" i="19"/>
  <c r="G80" i="19"/>
  <c r="I80" i="19"/>
  <c r="G70" i="19"/>
  <c r="G69" i="19" s="1"/>
  <c r="F70" i="19"/>
  <c r="F69" i="19" s="1"/>
  <c r="G61" i="19"/>
  <c r="F61" i="19"/>
  <c r="G56" i="19"/>
  <c r="F56" i="19"/>
  <c r="G48" i="19"/>
  <c r="F48" i="19"/>
  <c r="G47" i="19"/>
  <c r="F47" i="19"/>
  <c r="G46" i="19"/>
  <c r="F46" i="19"/>
  <c r="G41" i="19"/>
  <c r="F41" i="19"/>
  <c r="F32" i="19" l="1"/>
  <c r="F31" i="19"/>
  <c r="F30" i="19" l="1"/>
  <c r="H155" i="19"/>
  <c r="H78" i="19" l="1"/>
  <c r="I78" i="19"/>
  <c r="G155" i="19"/>
  <c r="G150" i="19"/>
  <c r="H150" i="19"/>
  <c r="I150" i="19"/>
  <c r="F150" i="19"/>
  <c r="G125" i="19"/>
  <c r="F125" i="19"/>
  <c r="I77" i="19" l="1"/>
  <c r="I76" i="19" s="1"/>
  <c r="H77" i="19"/>
  <c r="H76" i="19" s="1"/>
  <c r="G73" i="19"/>
  <c r="G72" i="19" s="1"/>
  <c r="F73" i="19"/>
  <c r="F72" i="19" s="1"/>
  <c r="H39" i="19"/>
  <c r="I39" i="19"/>
  <c r="G59" i="19"/>
  <c r="F59" i="19"/>
  <c r="G60" i="19"/>
  <c r="F60" i="19"/>
  <c r="G62" i="19"/>
  <c r="F62" i="19"/>
  <c r="G49" i="19"/>
  <c r="G45" i="19" s="1"/>
  <c r="F49" i="19"/>
  <c r="F45" i="19" s="1"/>
  <c r="G33" i="19"/>
  <c r="F33" i="19"/>
  <c r="G27" i="19"/>
  <c r="F27" i="19"/>
  <c r="F58" i="19" l="1"/>
  <c r="G58" i="19"/>
  <c r="H162" i="19" l="1"/>
  <c r="I162" i="19"/>
  <c r="G30" i="19" l="1"/>
  <c r="G189" i="19" l="1"/>
  <c r="F189" i="19"/>
  <c r="G101" i="19" l="1"/>
  <c r="F101" i="19"/>
  <c r="G82" i="19"/>
  <c r="F82" i="19"/>
  <c r="G84" i="19"/>
  <c r="F84" i="19"/>
  <c r="G83" i="19"/>
  <c r="F83" i="19"/>
  <c r="G78" i="19" l="1"/>
  <c r="F78" i="19"/>
  <c r="G163" i="19"/>
  <c r="F163" i="19"/>
  <c r="H63" i="19" l="1"/>
  <c r="I63" i="19"/>
  <c r="G153" i="19" l="1"/>
  <c r="F153" i="19"/>
  <c r="G20" i="19" l="1"/>
  <c r="F20" i="19"/>
  <c r="F18" i="19" l="1"/>
  <c r="F16" i="19" s="1"/>
  <c r="G18" i="19"/>
  <c r="G16" i="19" s="1"/>
  <c r="F182" i="19"/>
  <c r="G182" i="19"/>
  <c r="G40" i="19" l="1"/>
  <c r="G39" i="19" s="1"/>
  <c r="F40" i="19"/>
  <c r="F39" i="19" s="1"/>
  <c r="H174" i="19" l="1"/>
  <c r="H134" i="19" s="1"/>
  <c r="I174" i="19"/>
  <c r="I134" i="19" s="1"/>
  <c r="F174" i="19"/>
  <c r="G177" i="19"/>
  <c r="G174" i="19" s="1"/>
  <c r="G167" i="19"/>
  <c r="F167" i="19"/>
  <c r="G162" i="19"/>
  <c r="F162" i="19"/>
  <c r="G148" i="19"/>
  <c r="G146" i="19"/>
  <c r="G145" i="19"/>
  <c r="G144" i="19"/>
  <c r="G143" i="19"/>
  <c r="G142" i="19"/>
  <c r="G141" i="19"/>
  <c r="G139" i="19"/>
  <c r="G138" i="19"/>
  <c r="F148" i="19"/>
  <c r="F146" i="19"/>
  <c r="F145" i="19"/>
  <c r="F144" i="19"/>
  <c r="F143" i="19"/>
  <c r="F142" i="19"/>
  <c r="F141" i="19"/>
  <c r="F139" i="19"/>
  <c r="F138" i="19"/>
  <c r="G100" i="19"/>
  <c r="G63" i="19" s="1"/>
  <c r="F100" i="19"/>
  <c r="F63" i="19" s="1"/>
  <c r="G86" i="19"/>
  <c r="G85" i="19"/>
  <c r="G77" i="19" s="1"/>
  <c r="F86" i="19"/>
  <c r="F85" i="19"/>
  <c r="F77" i="19" s="1"/>
  <c r="I75" i="19"/>
  <c r="H75" i="19"/>
  <c r="F137" i="19" l="1"/>
  <c r="F134" i="19" s="1"/>
  <c r="G137" i="19"/>
  <c r="G134" i="19" s="1"/>
  <c r="I133" i="19"/>
  <c r="H133" i="19"/>
  <c r="F76" i="19"/>
  <c r="G76" i="19"/>
  <c r="H38" i="19"/>
  <c r="I38" i="19"/>
  <c r="G181" i="19"/>
  <c r="F133" i="19" l="1"/>
  <c r="G133" i="19"/>
  <c r="F75" i="19"/>
  <c r="G75" i="19"/>
  <c r="F38" i="19"/>
  <c r="G38" i="19"/>
  <c r="F181" i="19" l="1"/>
  <c r="G15" i="19" l="1"/>
  <c r="G195" i="19" s="1"/>
  <c r="G199" i="19" l="1"/>
  <c r="G203" i="19"/>
  <c r="G205" i="19" s="1"/>
  <c r="I15" i="19"/>
  <c r="H15" i="19"/>
  <c r="H195" i="19" s="1"/>
  <c r="H203" i="19" l="1"/>
  <c r="H199" i="19"/>
  <c r="I195" i="19"/>
  <c r="F15" i="19"/>
  <c r="F195" i="19" s="1"/>
  <c r="I199" i="19" l="1"/>
  <c r="I203" i="19"/>
  <c r="F199" i="19"/>
  <c r="F203" i="19"/>
  <c r="F205" i="19" l="1"/>
</calcChain>
</file>

<file path=xl/sharedStrings.xml><?xml version="1.0" encoding="utf-8"?>
<sst xmlns="http://schemas.openxmlformats.org/spreadsheetml/2006/main" count="419" uniqueCount="328">
  <si>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</si>
  <si>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</si>
  <si>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</si>
  <si>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</si>
  <si>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</si>
  <si>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</si>
  <si>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</si>
  <si>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</si>
  <si>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</si>
  <si>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</si>
  <si>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</si>
  <si>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</si>
  <si>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</si>
  <si>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</si>
  <si>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</si>
  <si>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</si>
  <si>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</si>
  <si>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</si>
  <si>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</si>
  <si>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</si>
  <si>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</si>
  <si>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</si>
  <si>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</si>
  <si>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</si>
  <si>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</si>
  <si>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</si>
  <si>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</si>
  <si>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</si>
  <si>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</si>
  <si>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</si>
  <si>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</si>
  <si>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</si>
  <si>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</si>
  <si>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</si>
  <si>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</si>
  <si>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</si>
  <si>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</si>
  <si>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</si>
  <si>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</si>
  <si>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</si>
  <si>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</si>
  <si>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</si>
  <si>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</si>
  <si>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</si>
  <si>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</si>
  <si>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</si>
  <si>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</si>
  <si>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</si>
  <si>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</si>
  <si>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</si>
  <si>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</si>
  <si>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</si>
  <si>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</si>
  <si>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</si>
  <si>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</si>
  <si>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</si>
  <si>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</si>
  <si>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</si>
  <si>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</si>
  <si>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</si>
  <si>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</si>
  <si>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</si>
  <si>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</si>
  <si>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</si>
  <si>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</si>
  <si>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</si>
  <si>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</si>
  <si>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</si>
  <si>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</si>
  <si>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</si>
  <si>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</si>
  <si>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</si>
  <si>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</si>
  <si>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</si>
  <si>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</si>
  <si>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</si>
  <si>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</si>
  <si>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</si>
  <si>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</si>
  <si>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</si>
  <si>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</si>
  <si>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</si>
  <si>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</si>
  <si>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</si>
  <si>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</si>
  <si>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</si>
  <si>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</si>
  <si>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</si>
  <si>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</si>
  <si>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</si>
  <si>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</si>
  <si>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</si>
  <si>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</si>
  <si>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</si>
  <si>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</si>
  <si>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</si>
  <si>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</si>
  <si>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</si>
  <si>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</si>
  <si>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</si>
  <si>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</si>
  <si>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</si>
  <si>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</si>
  <si>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</si>
  <si>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</si>
  <si>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</si>
  <si>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</si>
  <si>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</si>
  <si>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</si>
  <si>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</si>
  <si>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</si>
  <si>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</si>
  <si>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</si>
  <si>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</si>
  <si>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</si>
  <si>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</si>
  <si>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</si>
  <si>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</si>
  <si>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</si>
  <si>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</si>
  <si>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</si>
  <si>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</si>
  <si>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</si>
  <si>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</si>
  <si>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</si>
  <si>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</si>
  <si>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</si>
  <si>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</si>
  <si>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</si>
  <si>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</si>
  <si>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</si>
  <si>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</si>
  <si>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</si>
  <si>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</si>
  <si>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</si>
  <si>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</si>
  <si>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</si>
  <si>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</si>
  <si>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</si>
  <si>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</si>
  <si>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</si>
  <si>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</si>
  <si>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</si>
  <si>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</si>
  <si>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</si>
  <si>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</si>
  <si>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0160</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</si>
  <si>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</si>
  <si>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</si>
  <si>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</si>
  <si>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</si>
  <si>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</si>
  <si>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</si>
  <si>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</si>
  <si>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</si>
  <si>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</si>
  <si>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</si>
  <si>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</si>
  <si>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</si>
  <si>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</si>
  <si>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</si>
  <si>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</si>
  <si>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</si>
  <si>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</si>
  <si>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</si>
  <si>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</si>
  <si>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</si>
  <si>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</si>
  <si>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</si>
  <si>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</si>
  <si>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</si>
  <si>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</si>
  <si>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</si>
  <si>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</si>
  <si>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</si>
  <si>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</si>
  <si>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</si>
  <si>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</si>
  <si>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</si>
  <si>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</si>
  <si>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</si>
  <si>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</si>
  <si>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</si>
  <si>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</si>
  <si>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</si>
  <si>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</si>
  <si>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</si>
  <si>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</si>
  <si>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</si>
  <si>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</si>
  <si>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</si>
  <si>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</si>
  <si>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</si>
  <si>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</si>
  <si>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</si>
  <si>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</si>
  <si>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</si>
  <si>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</si>
  <si>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</si>
  <si>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</si>
  <si>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</si>
  <si>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</si>
  <si>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</si>
  <si>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</si>
  <si>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</si>
  <si>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</si>
  <si>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</si>
  <si>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</si>
  <si>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</si>
  <si>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</si>
  <si>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</si>
  <si>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</si>
  <si>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</si>
  <si>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</si>
  <si>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</si>
  <si>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</si>
  <si>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</si>
  <si>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</si>
  <si>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</si>
  <si>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</si>
  <si>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</si>
  <si>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</si>
  <si>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</si>
  <si>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0617520</t>
  </si>
  <si>
    <t>Відділ культури Чорноморської  міської ради  Одеського району Одеської області</t>
  </si>
  <si>
    <t>1014040</t>
  </si>
  <si>
    <t>4040</t>
  </si>
  <si>
    <t>Забезпечення діяльності музеїв і виставок</t>
  </si>
  <si>
    <t>0824</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</si>
  <si>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</si>
  <si>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</si>
  <si>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</si>
  <si>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</si>
  <si>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</si>
  <si>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</si>
  <si>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</si>
  <si>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</si>
  <si>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</si>
  <si>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1217520</t>
  </si>
  <si>
    <t>1217670</t>
  </si>
  <si>
    <t>7670</t>
  </si>
  <si>
    <t>Внески до статутного капіталу суб'єктів господарювання</t>
  </si>
  <si>
    <t>Придбання обладнання і предметів довгострокового користування / генератора</t>
  </si>
  <si>
    <t>1516017</t>
  </si>
  <si>
    <t>Інша діяльність, пов'язана з експлуатацією об'єктів житлово-комунального господарства</t>
  </si>
  <si>
    <r>
      <t xml:space="preserve">коштів, що передаються із загального фонду до бюджету розвитку (спеціального фонду)
</t>
    </r>
    <r>
      <rPr>
        <b/>
        <sz val="12"/>
        <rFont val="Times New Roman"/>
        <family val="1"/>
        <charset val="204"/>
      </rPr>
      <t>208400
УКБ - субвенції ЗФ</t>
    </r>
  </si>
  <si>
    <t>Олександрівська селищна адміністрація Чорноморської міської ради Одеського району Одеської області - придбання автомобіля</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</si>
  <si>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</si>
  <si>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</si>
  <si>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</si>
  <si>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</si>
  <si>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</si>
  <si>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</si>
  <si>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</si>
  <si>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Капітальні видатки - придбання основного капіталу</t>
  </si>
  <si>
    <t>Придбання дровоколу гідравлічного для  КП "Зеленгосп"</t>
  </si>
  <si>
    <t>Придбання вантажопасажирського  бортового автомобіля для  КП "МУЖКГ"</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</si>
  <si>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</si>
  <si>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1218733</t>
  </si>
  <si>
    <t>8733</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</si>
  <si>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вул.Космонавтів, 59Г в с.Малодолинське до вул.Світла, 51 в смт.Олександрівка</t>
    </r>
  </si>
  <si>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</si>
  <si>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0212100</t>
  </si>
  <si>
    <t>2100</t>
  </si>
  <si>
    <t>0722</t>
  </si>
  <si>
    <t>Стоматологічна допомога населенню</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</si>
  <si>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</si>
  <si>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7373</t>
  </si>
  <si>
    <t>3121</t>
  </si>
  <si>
    <t>0813121</t>
  </si>
  <si>
    <t>1040</t>
  </si>
  <si>
    <t>Утримання та забезпечення діяльності центрів соціальних служб</t>
  </si>
  <si>
    <r>
      <t xml:space="preserve">доходів
</t>
    </r>
    <r>
      <rPr>
        <b/>
        <sz val="12"/>
        <rFont val="Times New Roman"/>
        <family val="1"/>
        <charset val="204"/>
      </rPr>
      <t>33010100,
субвенції СФ</t>
    </r>
  </si>
  <si>
    <t>субв. ККДБ 41035600 - передача коштів</t>
  </si>
  <si>
    <t>Служба у справах дітей Чорноморської  міської ради  Одеського району Одеської області</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</si>
  <si>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</si>
  <si>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</si>
  <si>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</si>
  <si>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</si>
  <si>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субв.ККДБ 41050900</t>
  </si>
  <si>
    <t>Придбання насосних станцій підвищення тиску на ВНС м.Чорноморська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</si>
  <si>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</si>
  <si>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зварювального терморезисторного апарату для КП "Чорноморськводоканал"</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</si>
  <si>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</si>
  <si>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субв.ККДБ 41053400</t>
  </si>
  <si>
    <t>3100000</t>
  </si>
  <si>
    <t>3110000</t>
  </si>
  <si>
    <t>Управління комунальної власності та земельних відносин Чорноморської мiської ради Одеського району Одеської областi</t>
  </si>
  <si>
    <t>3117693</t>
  </si>
  <si>
    <t>7693</t>
  </si>
  <si>
    <t>Інші заходи, пов`язані з економічною діяльністю</t>
  </si>
  <si>
    <t>1000000</t>
  </si>
  <si>
    <t>1010000</t>
  </si>
  <si>
    <t>0900000</t>
  </si>
  <si>
    <t>0910000</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</si>
  <si>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</si>
  <si>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Міська цільова програма фінансової підтримки Іллічівського міського суду Одеської області на 2024 рік</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</si>
  <si>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</si>
  <si>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</si>
  <si>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</si>
  <si>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</si>
  <si>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</si>
  <si>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1517373</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</si>
  <si>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</si>
  <si>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попередні</t>
  </si>
  <si>
    <t>зміни</t>
  </si>
  <si>
    <t>0218110</t>
  </si>
  <si>
    <t>Олександрівська селищна адміністрація Чорноморської міської ради Одеського району Одеської області - придбання зарядної станції</t>
  </si>
  <si>
    <t>Придбання автомобіля</t>
  </si>
  <si>
    <t>Придбання шкільного автобуса</t>
  </si>
  <si>
    <t>Придбання вакуумного прибиральника (пилососа) для КП "МУЖКГ"</t>
  </si>
  <si>
    <t>Придбання вантажного електричного трициклу для КП "МУЖКГ"</t>
  </si>
  <si>
    <t>Придбання трактора для КП "МУЖКГ"</t>
  </si>
  <si>
    <t>Придбання вакуумного садового пилососу для КП "Зеленгосп"</t>
  </si>
  <si>
    <t>Придбання автоцистерни для транспортування та роздачі питної води для КП "Чорноморськводоканал"</t>
  </si>
  <si>
    <t>Придбання мережевих насосів для КП "Чорноморськтеплоенерго"</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</si>
  <si>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</si>
  <si>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цільова програма підтримки Департаменту кіберполіції  Національної  поліції  України на 2024 рік</t>
  </si>
  <si>
    <t>Модернізація та енергоефективність бювета, що розташований за адресою: Одеська область, Одеський район, м.Чорноморськ, вул.Парусна, 4-б (проектні роботи)</t>
  </si>
  <si>
    <t>Будівництво станції знезараження питної води діоксиду хлору за адресою: Одеська область, Одеський район, с.Великий Дальник, вул.Маяцька, 21 (проектні роботи)</t>
  </si>
  <si>
    <t>Придбання тенту для КП "МУЖКГ"</t>
  </si>
  <si>
    <t>Капітальний ремонт, заміна каналізаційних відпусків багатоквартирного будинку за адресою: м.Чорноморськ, вул.Олександрійська, 20</t>
  </si>
  <si>
    <t>Капітальний ремонт, заміна каналізаційних відпусків багатоквартирного будинку за адресою: м.Чорноморськ, вул.Олександрійська, 22</t>
  </si>
  <si>
    <t xml:space="preserve">                                                                           від       12.2024  №         - VIII</t>
  </si>
  <si>
    <t>0813222</t>
  </si>
  <si>
    <t>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</si>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</sst>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р_._-;\-* #,##0.00_р_._-;_-* &quot;-&quot;??_р_._-;_-@_-"/>
  </numFmts>
  <fonts count="31">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
      <sz val="12"/>
      <color theme="1"/>
      <name val="Times New Roman"/>
      <family val="1"/>
      <charset val="204"/>
    </font>
    <font>
      <b/>
      <sz val="14"/>
      <color theme="1"/>
      <name val="Times New Roman"/>
      <family val="1"/>
      <charset val="204"/>
    </font>
    <font>
      <b/>
      <i/>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1" fillId="0" borderId="0"/>
    <xf numFmtId="0" fontId="24"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7" fillId="4" borderId="0" applyNumberFormat="0" applyBorder="0" applyAlignment="0" applyProtection="0"/>
    <xf numFmtId="0" fontId="25" fillId="0" borderId="0"/>
    <xf numFmtId="0" fontId="26" fillId="0" borderId="0"/>
    <xf numFmtId="0" fontId="26" fillId="0" borderId="0"/>
    <xf numFmtId="0" fontId="1" fillId="0" borderId="0"/>
    <xf numFmtId="0" fontId="23" fillId="0" borderId="0"/>
    <xf numFmtId="0" fontId="5" fillId="0" borderId="0"/>
    <xf numFmtId="0" fontId="25" fillId="0" borderId="0"/>
    <xf numFmtId="0" fontId="25" fillId="0" borderId="0"/>
    <xf numFmtId="0" fontId="5" fillId="0" borderId="0"/>
    <xf numFmtId="0" fontId="23" fillId="0" borderId="0"/>
    <xf numFmtId="0" fontId="5" fillId="0" borderId="0"/>
    <xf numFmtId="0" fontId="1" fillId="0" borderId="0"/>
    <xf numFmtId="0" fontId="1" fillId="0" borderId="0"/>
    <xf numFmtId="0" fontId="1" fillId="0" borderId="0"/>
    <xf numFmtId="165" fontId="26" fillId="0" borderId="0" applyFont="0" applyFill="0" applyBorder="0" applyAlignment="0" applyProtection="0"/>
  </cellStyleXfs>
  <cellXfs count="106">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15"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2" fillId="2" borderId="0" xfId="0" applyFont="1" applyFill="1" applyAlignment="1">
      <alignment vertical="center"/>
    </xf>
    <xf numFmtId="0" fontId="15" fillId="2" borderId="1" xfId="11" quotePrefix="1" applyFont="1" applyFill="1" applyBorder="1" applyAlignment="1">
      <alignment vertical="center" wrapText="1"/>
    </xf>
    <xf numFmtId="0" fontId="11" fillId="2" borderId="1" xfId="10" applyFont="1" applyFill="1" applyBorder="1" applyAlignment="1">
      <alignment horizontal="left" vertical="center" wrapText="1"/>
    </xf>
    <xf numFmtId="0" fontId="7"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0" fontId="3" fillId="2" borderId="1" xfId="10" applyFont="1" applyFill="1" applyBorder="1" applyAlignment="1">
      <alignment horizontal="left" vertical="center" wrapText="1"/>
    </xf>
    <xf numFmtId="0" fontId="15" fillId="0" borderId="1" xfId="10" applyFont="1" applyBorder="1" applyAlignment="1">
      <alignment horizontal="left" vertical="center" wrapText="1"/>
    </xf>
    <xf numFmtId="0" fontId="20" fillId="2" borderId="1" xfId="10" quotePrefix="1" applyFont="1" applyFill="1" applyBorder="1" applyAlignment="1">
      <alignment vertical="center" wrapText="1"/>
    </xf>
    <xf numFmtId="0" fontId="15" fillId="0" borderId="5" xfId="10" applyFont="1" applyBorder="1" applyAlignment="1">
      <alignment horizontal="left" vertical="center" wrapText="1"/>
    </xf>
    <xf numFmtId="0" fontId="28" fillId="2" borderId="1" xfId="0" applyFont="1" applyFill="1" applyBorder="1" applyAlignment="1">
      <alignment horizontal="center" vertical="center" wrapText="1"/>
    </xf>
    <xf numFmtId="0" fontId="28" fillId="2" borderId="1" xfId="0" quotePrefix="1" applyFont="1" applyFill="1" applyBorder="1" applyAlignment="1">
      <alignment vertical="center" wrapText="1"/>
    </xf>
    <xf numFmtId="0" fontId="29" fillId="2" borderId="1" xfId="0" applyFont="1" applyFill="1" applyBorder="1" applyAlignment="1">
      <alignment horizontal="center" vertical="center" wrapText="1"/>
    </xf>
    <xf numFmtId="4" fontId="2" fillId="2" borderId="0" xfId="0" applyNumberFormat="1" applyFont="1" applyFill="1"/>
    <xf numFmtId="0" fontId="2" fillId="2" borderId="0" xfId="0" applyFont="1" applyFill="1"/>
    <xf numFmtId="0" fontId="30" fillId="2" borderId="0" xfId="0" applyFont="1" applyFill="1"/>
    <xf numFmtId="0" fontId="3" fillId="2" borderId="1" xfId="10" quotePrefix="1" applyFont="1" applyFill="1" applyBorder="1" applyAlignment="1">
      <alignment horizontal="left" vertical="center" wrapText="1"/>
    </xf>
    <xf numFmtId="0" fontId="15" fillId="2" borderId="5" xfId="0"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0" borderId="4" xfId="10" applyFont="1" applyBorder="1" applyAlignment="1">
      <alignment horizontal="left" vertical="center" wrapText="1"/>
    </xf>
    <xf numFmtId="0" fontId="15" fillId="0" borderId="5" xfId="10" applyFont="1" applyBorder="1" applyAlignment="1">
      <alignment horizontal="left" vertical="center" wrapText="1"/>
    </xf>
    <xf numFmtId="0" fontId="29" fillId="0" borderId="4" xfId="10" applyFont="1" applyBorder="1" applyAlignment="1">
      <alignment horizontal="center" vertical="center" wrapText="1"/>
    </xf>
    <xf numFmtId="0" fontId="29" fillId="0" borderId="5" xfId="10" applyFont="1" applyBorder="1" applyAlignment="1">
      <alignment horizontal="center" vertical="center" wrapText="1"/>
    </xf>
  </cellXfs>
  <cellStyles count="31">
    <cellStyle name="Excel Built-in Normal" xfId="9"/>
    <cellStyle name="Normal_Доходи" xfId="12"/>
    <cellStyle name="Денежный 2" xfId="13"/>
    <cellStyle name="Денежный 2 2" xfId="14"/>
    <cellStyle name="Звичайний" xfId="0" builtinId="0"/>
    <cellStyle name="Звичайний 2" xfId="11"/>
    <cellStyle name="Нейтральный 2" xfId="15"/>
    <cellStyle name="Обычный 10" xfId="7"/>
    <cellStyle name="Обычный 11 2" xfId="16"/>
    <cellStyle name="Обычный 17" xfId="17"/>
    <cellStyle name="Обычный 17 5 6" xfId="18"/>
    <cellStyle name="Обычный 2" xfId="1"/>
    <cellStyle name="Обычный 2 2" xfId="20"/>
    <cellStyle name="Обычный 2 3" xfId="21"/>
    <cellStyle name="Обычный 2 4" xfId="19"/>
    <cellStyle name="Обычный 3" xfId="2"/>
    <cellStyle name="Обычный 3 2" xfId="23"/>
    <cellStyle name="Обычный 3 3" xfId="24"/>
    <cellStyle name="Обычный 3 4" xfId="22"/>
    <cellStyle name="Обычный 4" xfId="3"/>
    <cellStyle name="Обычный 4 2" xfId="26"/>
    <cellStyle name="Обычный 4 3" xfId="25"/>
    <cellStyle name="Обычный 5" xfId="4"/>
    <cellStyle name="Обычный 6" xfId="5"/>
    <cellStyle name="Обычный 6 2" xfId="27"/>
    <cellStyle name="Обычный 7" xfId="8"/>
    <cellStyle name="Обычный 7 2" xfId="28"/>
    <cellStyle name="Обычный 8" xfId="29"/>
    <cellStyle name="Обычный 9" xfId="10"/>
    <cellStyle name="Обычный_дод 3" xfId="6"/>
    <cellStyle name="Финансовый 2" xfId="3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86;&#1076;&#1072;&#1090;&#1086;&#1082;%203%20(3)%20&#1042;&#1080;&#1076;&#1072;&#1090;&#1082;&#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4;&#1086;&#1076;&#1072;&#1090;&#1086;&#1082;%202%20(2)%20&#1060;&#1110;&#1085;&#1072;&#1085;&#1089;&#1091;&#1074;&#1072;&#1085;&#1085;&#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ркуш1"/>
    </sheetNames>
    <sheetDataSet>
      <sheetData sheetId="0">
        <row r="223">
          <cell r="K223">
            <v>406671013.13999999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s>
    <sheetDataSet>
      <sheetData sheetId="0">
        <row r="22">
          <cell r="E22">
            <v>374210817.13999999</v>
          </cell>
        </row>
      </sheetData>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5"/>
  <sheetViews>
    <sheetView tabSelected="1" view="pageBreakPreview" zoomScale="70" zoomScaleNormal="100" zoomScaleSheetLayoutView="70" workbookViewId="0">
      <selection activeCell="K193" sqref="K193"/>
    </sheetView>
  </sheetViews>
  <sheetFormatPr defaultColWidth="9.140625" defaultRowHeight="18.75"/>
  <cols>
    <col min="1" max="1" width="17.140625" style="12" customWidth="1"/>
    <col min="2" max="2" width="13.28515625" style="5" customWidth="1"/>
    <col min="3" max="3" width="15.28515625" style="5" customWidth="1"/>
    <col min="4" max="4" width="38.28515625" style="5" customWidth="1"/>
    <col min="5" max="5" width="79.7109375" style="6" customWidth="1"/>
    <col min="6" max="6" width="25.28515625" style="5" customWidth="1"/>
    <col min="7" max="9" width="25.28515625" style="34" hidden="1" customWidth="1"/>
    <col min="10" max="10" width="25.28515625" style="5" customWidth="1"/>
    <col min="11" max="11" width="19" style="5" customWidth="1"/>
    <col min="12" max="12" width="15.28515625" style="5" bestFit="1" customWidth="1"/>
    <col min="13" max="16384" width="9.140625" style="5"/>
  </cols>
  <sheetData>
    <row r="1" spans="1:11">
      <c r="E1" s="16" t="s">
        <v>166</v>
      </c>
    </row>
    <row r="2" spans="1:11">
      <c r="E2" s="16" t="s">
        <v>162</v>
      </c>
    </row>
    <row r="3" spans="1:11">
      <c r="E3" s="16" t="s">
        <v>323</v>
      </c>
    </row>
    <row r="5" spans="1:11">
      <c r="E5" s="16" t="s">
        <v>163</v>
      </c>
      <c r="F5" s="16"/>
    </row>
    <row r="6" spans="1:11">
      <c r="E6" s="16" t="s">
        <v>164</v>
      </c>
      <c r="F6" s="16"/>
    </row>
    <row r="7" spans="1:11">
      <c r="E7" s="16" t="s">
        <v>165</v>
      </c>
      <c r="F7" s="16"/>
    </row>
    <row r="8" spans="1:11">
      <c r="A8" s="95">
        <v>1558900000</v>
      </c>
      <c r="B8" s="95"/>
    </row>
    <row r="9" spans="1:11">
      <c r="A9" s="96" t="s">
        <v>6</v>
      </c>
      <c r="B9" s="96"/>
      <c r="D9" s="12"/>
    </row>
    <row r="10" spans="1:11" s="3" customFormat="1" ht="28.9" customHeight="1">
      <c r="A10" s="97" t="s">
        <v>21</v>
      </c>
      <c r="B10" s="97"/>
      <c r="C10" s="97"/>
      <c r="D10" s="97"/>
      <c r="E10" s="97"/>
      <c r="F10" s="97"/>
      <c r="G10" s="97"/>
      <c r="H10" s="97"/>
      <c r="I10" s="97"/>
    </row>
    <row r="11" spans="1:11" s="3" customFormat="1" ht="20.25">
      <c r="A11" s="7"/>
      <c r="D11" s="8"/>
      <c r="E11" s="9"/>
      <c r="F11" s="8"/>
      <c r="G11" s="35" t="s">
        <v>2</v>
      </c>
      <c r="H11" s="35"/>
      <c r="I11" s="35"/>
    </row>
    <row r="12" spans="1:11" s="16" customFormat="1" ht="15.6" customHeight="1">
      <c r="A12" s="98" t="s">
        <v>3</v>
      </c>
      <c r="B12" s="98" t="s">
        <v>4</v>
      </c>
      <c r="C12" s="98" t="s">
        <v>1</v>
      </c>
      <c r="D12" s="98" t="s">
        <v>5</v>
      </c>
      <c r="E12" s="98" t="s">
        <v>16</v>
      </c>
      <c r="F12" s="98" t="s">
        <v>43</v>
      </c>
      <c r="G12" s="101" t="s">
        <v>11</v>
      </c>
      <c r="H12" s="101"/>
      <c r="I12" s="101"/>
    </row>
    <row r="13" spans="1:11" s="16" customFormat="1" ht="99.6" customHeight="1">
      <c r="A13" s="99"/>
      <c r="B13" s="99"/>
      <c r="C13" s="99"/>
      <c r="D13" s="100"/>
      <c r="E13" s="100"/>
      <c r="F13" s="100"/>
      <c r="G13" s="76" t="s">
        <v>245</v>
      </c>
      <c r="H13" s="76" t="s">
        <v>12</v>
      </c>
      <c r="I13" s="76" t="s">
        <v>272</v>
      </c>
    </row>
    <row r="14" spans="1:11">
      <c r="A14" s="10">
        <v>1</v>
      </c>
      <c r="B14" s="10">
        <v>2</v>
      </c>
      <c r="C14" s="10">
        <v>3</v>
      </c>
      <c r="D14" s="11">
        <v>4</v>
      </c>
      <c r="E14" s="11">
        <v>5</v>
      </c>
      <c r="F14" s="11">
        <v>6</v>
      </c>
      <c r="G14" s="36" t="s">
        <v>17</v>
      </c>
      <c r="H14" s="36" t="s">
        <v>18</v>
      </c>
      <c r="I14" s="36" t="s">
        <v>19</v>
      </c>
    </row>
    <row r="15" spans="1:11" ht="18.75" customHeight="1">
      <c r="A15" s="19" t="s">
        <v>7</v>
      </c>
      <c r="B15" s="19"/>
      <c r="C15" s="19"/>
      <c r="D15" s="91" t="s">
        <v>9</v>
      </c>
      <c r="E15" s="92"/>
      <c r="F15" s="22">
        <f t="shared" ref="F15:I15" si="0">F16</f>
        <v>12321296</v>
      </c>
      <c r="G15" s="37">
        <f>G16</f>
        <v>12321296</v>
      </c>
      <c r="H15" s="37">
        <f t="shared" si="0"/>
        <v>0</v>
      </c>
      <c r="I15" s="37">
        <f t="shared" si="0"/>
        <v>0</v>
      </c>
      <c r="J15" s="1"/>
      <c r="K15" s="1"/>
    </row>
    <row r="16" spans="1:11" ht="18.75" customHeight="1">
      <c r="A16" s="19" t="s">
        <v>8</v>
      </c>
      <c r="B16" s="18"/>
      <c r="C16" s="18"/>
      <c r="D16" s="91" t="s">
        <v>9</v>
      </c>
      <c r="E16" s="92"/>
      <c r="F16" s="22">
        <f>F17+F18+F26+F27+F30+F33+F34+F35+F36+F37</f>
        <v>12321296</v>
      </c>
      <c r="G16" s="22">
        <f>G17+G18+G26+G27+G30+G33+G34+G35+G36+G37</f>
        <v>12321296</v>
      </c>
      <c r="H16" s="22">
        <f t="shared" ref="H16:I16" si="1">H17+H18+H26+H27+H30+H33+H34+H35+H36+H37</f>
        <v>0</v>
      </c>
      <c r="I16" s="22">
        <f t="shared" si="1"/>
        <v>0</v>
      </c>
      <c r="J16" s="1"/>
    </row>
    <row r="17" spans="1:13" s="50" customFormat="1" ht="150">
      <c r="A17" s="20" t="s">
        <v>210</v>
      </c>
      <c r="B17" s="20" t="s">
        <v>211</v>
      </c>
      <c r="C17" s="20" t="s">
        <v>147</v>
      </c>
      <c r="D17" s="48" t="s">
        <v>212</v>
      </c>
      <c r="E17" s="17" t="s">
        <v>246</v>
      </c>
      <c r="F17" s="28">
        <v>1100000</v>
      </c>
      <c r="G17" s="38">
        <v>1100000</v>
      </c>
      <c r="H17" s="38"/>
      <c r="I17" s="38"/>
      <c r="J17" s="49"/>
    </row>
    <row r="18" spans="1:13" s="50" customFormat="1" ht="37.5">
      <c r="A18" s="20" t="s">
        <v>38</v>
      </c>
      <c r="B18" s="20" t="s">
        <v>39</v>
      </c>
      <c r="C18" s="20" t="s">
        <v>41</v>
      </c>
      <c r="D18" s="48" t="s">
        <v>40</v>
      </c>
      <c r="E18" s="17" t="s">
        <v>10</v>
      </c>
      <c r="F18" s="28">
        <f>SUM(F19:F25)</f>
        <v>4863749</v>
      </c>
      <c r="G18" s="38">
        <f>SUM(G19:G25)</f>
        <v>4863749</v>
      </c>
      <c r="H18" s="38"/>
      <c r="I18" s="38"/>
      <c r="J18" s="49"/>
    </row>
    <row r="19" spans="1:13" s="50" customFormat="1" ht="112.5">
      <c r="A19" s="20"/>
      <c r="B19" s="20"/>
      <c r="C19" s="20"/>
      <c r="D19" s="51"/>
      <c r="E19" s="52" t="s">
        <v>253</v>
      </c>
      <c r="F19" s="28">
        <v>334805</v>
      </c>
      <c r="G19" s="38">
        <v>334805</v>
      </c>
      <c r="H19" s="38"/>
      <c r="I19" s="38"/>
      <c r="J19" s="49"/>
    </row>
    <row r="20" spans="1:13" s="50" customFormat="1" ht="93.75">
      <c r="A20" s="20"/>
      <c r="B20" s="20"/>
      <c r="C20" s="20"/>
      <c r="D20" s="51"/>
      <c r="E20" s="52" t="s">
        <v>42</v>
      </c>
      <c r="F20" s="28">
        <f>1400000+700000</f>
        <v>2100000</v>
      </c>
      <c r="G20" s="38">
        <f>1400000+700000</f>
        <v>2100000</v>
      </c>
      <c r="H20" s="38"/>
      <c r="I20" s="38"/>
      <c r="J20" s="49"/>
    </row>
    <row r="21" spans="1:13" s="50" customFormat="1" ht="150">
      <c r="A21" s="20"/>
      <c r="B21" s="20"/>
      <c r="C21" s="20"/>
      <c r="D21" s="51"/>
      <c r="E21" s="65" t="s">
        <v>134</v>
      </c>
      <c r="F21" s="28">
        <f>66000-9440.93</f>
        <v>56559.07</v>
      </c>
      <c r="G21" s="38">
        <f>66000-9440.93</f>
        <v>56559.07</v>
      </c>
      <c r="H21" s="38"/>
      <c r="I21" s="38"/>
      <c r="J21" s="49"/>
    </row>
    <row r="22" spans="1:13" s="50" customFormat="1" ht="206.25">
      <c r="A22" s="20"/>
      <c r="B22" s="20"/>
      <c r="C22" s="20"/>
      <c r="D22" s="51"/>
      <c r="E22" s="81" t="s">
        <v>185</v>
      </c>
      <c r="F22" s="28">
        <v>47706</v>
      </c>
      <c r="G22" s="38">
        <v>47706</v>
      </c>
      <c r="H22" s="38"/>
      <c r="I22" s="38"/>
      <c r="J22" s="49"/>
    </row>
    <row r="23" spans="1:13" s="50" customFormat="1" ht="168.75">
      <c r="A23" s="20"/>
      <c r="B23" s="20"/>
      <c r="C23" s="20"/>
      <c r="D23" s="51"/>
      <c r="E23" s="81" t="s">
        <v>249</v>
      </c>
      <c r="F23" s="28">
        <v>2193059</v>
      </c>
      <c r="G23" s="38">
        <v>2193059</v>
      </c>
      <c r="H23" s="38"/>
      <c r="I23" s="38"/>
      <c r="J23" s="49"/>
    </row>
    <row r="24" spans="1:13" s="50" customFormat="1" ht="187.5">
      <c r="A24" s="20"/>
      <c r="B24" s="20"/>
      <c r="C24" s="20"/>
      <c r="D24" s="51"/>
      <c r="E24" s="67" t="s">
        <v>186</v>
      </c>
      <c r="F24" s="28">
        <v>47706</v>
      </c>
      <c r="G24" s="38">
        <v>47706</v>
      </c>
      <c r="H24" s="38"/>
      <c r="I24" s="38"/>
      <c r="J24" s="49"/>
    </row>
    <row r="25" spans="1:13" s="50" customFormat="1" ht="75">
      <c r="A25" s="20"/>
      <c r="B25" s="20"/>
      <c r="C25" s="20"/>
      <c r="D25" s="51"/>
      <c r="E25" s="68" t="s">
        <v>187</v>
      </c>
      <c r="F25" s="28">
        <f>74473+9440.93</f>
        <v>83913.93</v>
      </c>
      <c r="G25" s="38">
        <f>74473+9440.93</f>
        <v>83913.93</v>
      </c>
      <c r="H25" s="38"/>
      <c r="I25" s="38"/>
      <c r="J25" s="49"/>
    </row>
    <row r="26" spans="1:13" s="50" customFormat="1" ht="31.5">
      <c r="A26" s="20" t="s">
        <v>262</v>
      </c>
      <c r="B26" s="20" t="s">
        <v>263</v>
      </c>
      <c r="C26" s="83" t="s">
        <v>264</v>
      </c>
      <c r="D26" s="84" t="s">
        <v>265</v>
      </c>
      <c r="E26" s="68" t="s">
        <v>254</v>
      </c>
      <c r="F26" s="28">
        <v>870000</v>
      </c>
      <c r="G26" s="38">
        <v>870000</v>
      </c>
      <c r="H26" s="38"/>
      <c r="I26" s="38"/>
      <c r="J26" s="49"/>
    </row>
    <row r="27" spans="1:13" s="50" customFormat="1" ht="75">
      <c r="A27" s="20" t="s">
        <v>148</v>
      </c>
      <c r="B27" s="20" t="s">
        <v>149</v>
      </c>
      <c r="C27" s="20" t="s">
        <v>150</v>
      </c>
      <c r="D27" s="52" t="s">
        <v>151</v>
      </c>
      <c r="E27" s="65" t="s">
        <v>10</v>
      </c>
      <c r="F27" s="28">
        <f>F28+F29</f>
        <v>2320500</v>
      </c>
      <c r="G27" s="38">
        <f>G28+G29</f>
        <v>2320500</v>
      </c>
      <c r="H27" s="38"/>
      <c r="I27" s="38"/>
      <c r="J27" s="49"/>
    </row>
    <row r="28" spans="1:13" s="50" customFormat="1">
      <c r="A28" s="20"/>
      <c r="B28" s="20"/>
      <c r="C28" s="20"/>
      <c r="D28" s="52"/>
      <c r="E28" s="65" t="s">
        <v>254</v>
      </c>
      <c r="F28" s="28">
        <f>1000000-36000-56200+130000-246600+4700</f>
        <v>795900</v>
      </c>
      <c r="G28" s="38">
        <f>1000000-36000-56200+130000-246600+4700</f>
        <v>795900</v>
      </c>
      <c r="H28" s="38"/>
      <c r="I28" s="38"/>
      <c r="J28" s="49"/>
    </row>
    <row r="29" spans="1:13" s="50" customFormat="1" ht="131.25">
      <c r="A29" s="20"/>
      <c r="B29" s="20"/>
      <c r="C29" s="20"/>
      <c r="D29" s="52"/>
      <c r="E29" s="65" t="s">
        <v>301</v>
      </c>
      <c r="F29" s="28">
        <v>1524600</v>
      </c>
      <c r="G29" s="38">
        <v>1524600</v>
      </c>
      <c r="H29" s="38"/>
      <c r="I29" s="38"/>
      <c r="J29" s="49"/>
    </row>
    <row r="30" spans="1:13" s="50" customFormat="1" ht="56.25">
      <c r="A30" s="20" t="s">
        <v>135</v>
      </c>
      <c r="B30" s="20" t="s">
        <v>136</v>
      </c>
      <c r="C30" s="33" t="s">
        <v>137</v>
      </c>
      <c r="D30" s="27" t="s">
        <v>138</v>
      </c>
      <c r="E30" s="65" t="s">
        <v>10</v>
      </c>
      <c r="F30" s="28">
        <f>F31+F32</f>
        <v>660000</v>
      </c>
      <c r="G30" s="38">
        <f>260000+400000</f>
        <v>660000</v>
      </c>
      <c r="H30" s="38"/>
      <c r="I30" s="38"/>
      <c r="J30" s="24"/>
      <c r="K30" s="24"/>
      <c r="L30" s="24"/>
      <c r="M30" s="24"/>
    </row>
    <row r="31" spans="1:13" s="50" customFormat="1" ht="75">
      <c r="A31" s="20"/>
      <c r="B31" s="20"/>
      <c r="C31" s="33"/>
      <c r="D31" s="27"/>
      <c r="E31" s="65" t="s">
        <v>144</v>
      </c>
      <c r="F31" s="28">
        <f>260000</f>
        <v>260000</v>
      </c>
      <c r="G31" s="38">
        <v>260000</v>
      </c>
      <c r="H31" s="38"/>
      <c r="I31" s="38"/>
      <c r="J31" s="24"/>
      <c r="K31" s="24"/>
      <c r="L31" s="24"/>
      <c r="M31" s="24"/>
    </row>
    <row r="32" spans="1:13" s="50" customFormat="1" ht="75">
      <c r="A32" s="20"/>
      <c r="B32" s="20"/>
      <c r="C32" s="33"/>
      <c r="D32" s="27"/>
      <c r="E32" s="65" t="s">
        <v>247</v>
      </c>
      <c r="F32" s="28">
        <f>400000</f>
        <v>400000</v>
      </c>
      <c r="G32" s="38">
        <v>400000</v>
      </c>
      <c r="H32" s="38"/>
      <c r="I32" s="38"/>
      <c r="J32" s="24"/>
      <c r="K32" s="24"/>
      <c r="L32" s="24"/>
      <c r="M32" s="24"/>
    </row>
    <row r="33" spans="1:13" s="24" customFormat="1" ht="37.5">
      <c r="A33" s="20" t="s">
        <v>193</v>
      </c>
      <c r="B33" s="20" t="s">
        <v>190</v>
      </c>
      <c r="C33" s="33" t="s">
        <v>192</v>
      </c>
      <c r="D33" s="27" t="s">
        <v>191</v>
      </c>
      <c r="E33" s="46" t="s">
        <v>89</v>
      </c>
      <c r="F33" s="57">
        <f>58200+60000+75597+690000</f>
        <v>883797</v>
      </c>
      <c r="G33" s="77">
        <f>58200+60000+75597+690000</f>
        <v>883797</v>
      </c>
      <c r="H33" s="38"/>
      <c r="I33" s="38"/>
      <c r="J33" s="49"/>
      <c r="K33" s="50"/>
      <c r="L33" s="50"/>
      <c r="M33" s="50"/>
    </row>
    <row r="34" spans="1:13" s="24" customFormat="1" ht="75">
      <c r="A34" s="20" t="s">
        <v>306</v>
      </c>
      <c r="B34" s="20" t="s">
        <v>62</v>
      </c>
      <c r="C34" s="33" t="s">
        <v>64</v>
      </c>
      <c r="D34" s="53" t="s">
        <v>63</v>
      </c>
      <c r="E34" s="17" t="s">
        <v>307</v>
      </c>
      <c r="F34" s="57">
        <v>120000</v>
      </c>
      <c r="G34" s="77">
        <v>120000</v>
      </c>
      <c r="H34" s="38"/>
      <c r="I34" s="38"/>
      <c r="J34" s="49"/>
      <c r="K34" s="50"/>
      <c r="L34" s="50"/>
      <c r="M34" s="50"/>
    </row>
    <row r="35" spans="1:13" s="50" customFormat="1" ht="56.25">
      <c r="A35" s="20" t="s">
        <v>155</v>
      </c>
      <c r="B35" s="20" t="s">
        <v>156</v>
      </c>
      <c r="C35" s="44" t="s">
        <v>24</v>
      </c>
      <c r="D35" s="27" t="s">
        <v>157</v>
      </c>
      <c r="E35" s="65" t="s">
        <v>89</v>
      </c>
      <c r="F35" s="28">
        <f>37299-1349</f>
        <v>35950</v>
      </c>
      <c r="G35" s="38">
        <f>37299-1349</f>
        <v>35950</v>
      </c>
      <c r="H35" s="38"/>
      <c r="I35" s="38"/>
      <c r="J35" s="49"/>
    </row>
    <row r="36" spans="1:13" s="50" customFormat="1" ht="37.5">
      <c r="A36" s="20" t="s">
        <v>194</v>
      </c>
      <c r="B36" s="20" t="s">
        <v>195</v>
      </c>
      <c r="C36" s="33" t="s">
        <v>24</v>
      </c>
      <c r="D36" s="27" t="s">
        <v>196</v>
      </c>
      <c r="E36" s="65" t="s">
        <v>89</v>
      </c>
      <c r="F36" s="28">
        <v>190800</v>
      </c>
      <c r="G36" s="38">
        <v>190800</v>
      </c>
      <c r="H36" s="38"/>
      <c r="I36" s="38"/>
      <c r="J36" s="24"/>
      <c r="K36" s="24"/>
      <c r="L36" s="24"/>
      <c r="M36" s="24"/>
    </row>
    <row r="37" spans="1:13" s="24" customFormat="1" ht="131.25">
      <c r="A37" s="20" t="s">
        <v>22</v>
      </c>
      <c r="B37" s="20" t="s">
        <v>23</v>
      </c>
      <c r="C37" s="33" t="s">
        <v>24</v>
      </c>
      <c r="D37" s="27" t="s">
        <v>25</v>
      </c>
      <c r="E37" s="42" t="s">
        <v>26</v>
      </c>
      <c r="F37" s="28">
        <v>1276500</v>
      </c>
      <c r="G37" s="38">
        <v>1276500</v>
      </c>
      <c r="H37" s="38"/>
      <c r="I37" s="38"/>
      <c r="J37" s="1"/>
      <c r="K37" s="1"/>
      <c r="L37" s="5"/>
      <c r="M37" s="5"/>
    </row>
    <row r="38" spans="1:13" ht="18.75" customHeight="1">
      <c r="A38" s="19" t="s">
        <v>45</v>
      </c>
      <c r="B38" s="19"/>
      <c r="C38" s="19"/>
      <c r="D38" s="91" t="s">
        <v>46</v>
      </c>
      <c r="E38" s="92"/>
      <c r="F38" s="22">
        <f t="shared" ref="F38:I38" si="2">F39</f>
        <v>26555829.359999999</v>
      </c>
      <c r="G38" s="37">
        <f>G39</f>
        <v>26555829.359999999</v>
      </c>
      <c r="H38" s="37">
        <f t="shared" si="2"/>
        <v>0</v>
      </c>
      <c r="I38" s="37">
        <f t="shared" si="2"/>
        <v>0</v>
      </c>
      <c r="J38" s="1"/>
    </row>
    <row r="39" spans="1:13" ht="18.75" customHeight="1">
      <c r="A39" s="19" t="s">
        <v>44</v>
      </c>
      <c r="B39" s="18"/>
      <c r="C39" s="18"/>
      <c r="D39" s="91" t="s">
        <v>46</v>
      </c>
      <c r="E39" s="92"/>
      <c r="F39" s="22">
        <f>F40+F45+F51+F54+F55+F56+F57+F58</f>
        <v>26555829.359999999</v>
      </c>
      <c r="G39" s="37">
        <f>G40+G45+G51+G54+G55+G56+G57+G58</f>
        <v>26555829.359999999</v>
      </c>
      <c r="H39" s="37">
        <f>H40+H45+H51+H54+H55+H56+H57+H58</f>
        <v>0</v>
      </c>
      <c r="I39" s="37">
        <f>I40+I45+I51+I54+I55+I56+I57+I58</f>
        <v>0</v>
      </c>
      <c r="J39" s="49"/>
      <c r="K39" s="50"/>
      <c r="L39" s="50"/>
      <c r="M39" s="50"/>
    </row>
    <row r="40" spans="1:13" s="50" customFormat="1">
      <c r="A40" s="20" t="s">
        <v>47</v>
      </c>
      <c r="B40" s="20" t="s">
        <v>48</v>
      </c>
      <c r="C40" s="20" t="s">
        <v>50</v>
      </c>
      <c r="D40" s="48" t="s">
        <v>49</v>
      </c>
      <c r="E40" s="17" t="s">
        <v>10</v>
      </c>
      <c r="F40" s="28">
        <f>SUM(F41:F44)</f>
        <v>5545713</v>
      </c>
      <c r="G40" s="38">
        <f>SUM(G41:G44)</f>
        <v>5545713</v>
      </c>
      <c r="H40" s="38"/>
      <c r="I40" s="38"/>
      <c r="J40" s="24"/>
      <c r="K40" s="24"/>
      <c r="L40" s="24"/>
      <c r="M40" s="24"/>
    </row>
    <row r="41" spans="1:13" s="24" customFormat="1" ht="75">
      <c r="A41" s="20"/>
      <c r="B41" s="20"/>
      <c r="C41" s="33"/>
      <c r="D41" s="53"/>
      <c r="E41" s="54" t="s">
        <v>51</v>
      </c>
      <c r="F41" s="57">
        <f>1071430-166000</f>
        <v>905430</v>
      </c>
      <c r="G41" s="77">
        <f>1071430-166000</f>
        <v>905430</v>
      </c>
      <c r="H41" s="38"/>
      <c r="I41" s="38"/>
    </row>
    <row r="42" spans="1:13" s="24" customFormat="1" ht="75">
      <c r="A42" s="20"/>
      <c r="B42" s="20"/>
      <c r="C42" s="33"/>
      <c r="D42" s="53"/>
      <c r="E42" s="54" t="s">
        <v>52</v>
      </c>
      <c r="F42" s="57">
        <v>1100000</v>
      </c>
      <c r="G42" s="77">
        <v>1100000</v>
      </c>
      <c r="H42" s="38"/>
      <c r="I42" s="38"/>
    </row>
    <row r="43" spans="1:13" s="24" customFormat="1" ht="93.75">
      <c r="A43" s="20"/>
      <c r="B43" s="20"/>
      <c r="C43" s="33"/>
      <c r="D43" s="53"/>
      <c r="E43" s="55" t="s">
        <v>53</v>
      </c>
      <c r="F43" s="57">
        <v>200000</v>
      </c>
      <c r="G43" s="77">
        <v>200000</v>
      </c>
      <c r="H43" s="38"/>
      <c r="I43" s="38"/>
    </row>
    <row r="44" spans="1:13" s="24" customFormat="1" ht="93.75">
      <c r="A44" s="20"/>
      <c r="B44" s="20"/>
      <c r="C44" s="33"/>
      <c r="D44" s="53"/>
      <c r="E44" s="54" t="s">
        <v>139</v>
      </c>
      <c r="F44" s="57">
        <f>287283+2100000+953000</f>
        <v>3340283</v>
      </c>
      <c r="G44" s="77">
        <f>287283+2100000+953000</f>
        <v>3340283</v>
      </c>
      <c r="H44" s="38"/>
      <c r="I44" s="38"/>
      <c r="J44" s="49"/>
      <c r="K44" s="50"/>
      <c r="L44" s="50"/>
      <c r="M44" s="50"/>
    </row>
    <row r="45" spans="1:13" s="50" customFormat="1" ht="75">
      <c r="A45" s="20" t="s">
        <v>54</v>
      </c>
      <c r="B45" s="20" t="s">
        <v>55</v>
      </c>
      <c r="C45" s="20" t="s">
        <v>56</v>
      </c>
      <c r="D45" s="48" t="s">
        <v>57</v>
      </c>
      <c r="E45" s="17" t="s">
        <v>10</v>
      </c>
      <c r="F45" s="28">
        <f>SUM(F46:F50)</f>
        <v>3606770</v>
      </c>
      <c r="G45" s="38">
        <f>SUM(G46:G50)</f>
        <v>3606770</v>
      </c>
      <c r="H45" s="38"/>
      <c r="I45" s="38"/>
      <c r="J45" s="24"/>
      <c r="K45" s="24"/>
      <c r="L45" s="24"/>
      <c r="M45" s="24"/>
    </row>
    <row r="46" spans="1:13" s="24" customFormat="1" ht="56.25">
      <c r="A46" s="20"/>
      <c r="B46" s="20"/>
      <c r="C46" s="33"/>
      <c r="D46" s="53"/>
      <c r="E46" s="46" t="s">
        <v>58</v>
      </c>
      <c r="F46" s="57">
        <f>1173330-153000</f>
        <v>1020330</v>
      </c>
      <c r="G46" s="77">
        <f>1173330-153000</f>
        <v>1020330</v>
      </c>
      <c r="H46" s="38"/>
      <c r="I46" s="38"/>
    </row>
    <row r="47" spans="1:13" s="24" customFormat="1" ht="56.25">
      <c r="A47" s="20"/>
      <c r="B47" s="20"/>
      <c r="C47" s="33"/>
      <c r="D47" s="53"/>
      <c r="E47" s="46" t="s">
        <v>59</v>
      </c>
      <c r="F47" s="57">
        <f>888180-108000</f>
        <v>780180</v>
      </c>
      <c r="G47" s="77">
        <f>888180-108000</f>
        <v>780180</v>
      </c>
      <c r="H47" s="38"/>
      <c r="I47" s="38"/>
    </row>
    <row r="48" spans="1:13" s="24" customFormat="1" ht="75">
      <c r="A48" s="20"/>
      <c r="B48" s="20"/>
      <c r="C48" s="33"/>
      <c r="D48" s="53"/>
      <c r="E48" s="46" t="s">
        <v>60</v>
      </c>
      <c r="F48" s="57">
        <f>193260-37000</f>
        <v>156260</v>
      </c>
      <c r="G48" s="77">
        <f>193260-37000</f>
        <v>156260</v>
      </c>
      <c r="H48" s="38"/>
      <c r="I48" s="38"/>
    </row>
    <row r="49" spans="1:13" s="24" customFormat="1" ht="150">
      <c r="A49" s="20"/>
      <c r="B49" s="20"/>
      <c r="C49" s="33"/>
      <c r="D49" s="53"/>
      <c r="E49" s="46" t="s">
        <v>167</v>
      </c>
      <c r="F49" s="57">
        <f>1720000-270000</f>
        <v>1450000</v>
      </c>
      <c r="G49" s="77">
        <f>1720000-270000</f>
        <v>1450000</v>
      </c>
      <c r="H49" s="38"/>
      <c r="I49" s="38"/>
    </row>
    <row r="50" spans="1:13" s="24" customFormat="1" ht="112.5">
      <c r="A50" s="20"/>
      <c r="B50" s="20"/>
      <c r="C50" s="33"/>
      <c r="D50" s="53"/>
      <c r="E50" s="46" t="s">
        <v>213</v>
      </c>
      <c r="F50" s="57">
        <v>200000</v>
      </c>
      <c r="G50" s="77">
        <v>200000</v>
      </c>
      <c r="H50" s="38"/>
      <c r="I50" s="38"/>
    </row>
    <row r="51" spans="1:13" s="24" customFormat="1" ht="37.5">
      <c r="A51" s="20" t="s">
        <v>214</v>
      </c>
      <c r="B51" s="20" t="s">
        <v>215</v>
      </c>
      <c r="C51" s="33" t="s">
        <v>142</v>
      </c>
      <c r="D51" s="53" t="s">
        <v>216</v>
      </c>
      <c r="E51" s="46" t="s">
        <v>10</v>
      </c>
      <c r="F51" s="57">
        <f>F52+F53</f>
        <v>4630000</v>
      </c>
      <c r="G51" s="57">
        <f>G52+G53</f>
        <v>4630000</v>
      </c>
      <c r="H51" s="38"/>
      <c r="I51" s="38"/>
    </row>
    <row r="52" spans="1:13" s="24" customFormat="1" ht="24" customHeight="1">
      <c r="A52" s="26"/>
      <c r="B52" s="26"/>
      <c r="C52" s="61"/>
      <c r="D52" s="62"/>
      <c r="E52" s="71" t="s">
        <v>308</v>
      </c>
      <c r="F52" s="56">
        <f>1130000+70000</f>
        <v>1200000</v>
      </c>
      <c r="G52" s="78">
        <f>1130000+70000</f>
        <v>1200000</v>
      </c>
      <c r="H52" s="39"/>
      <c r="I52" s="39"/>
    </row>
    <row r="53" spans="1:13" s="24" customFormat="1" ht="23.45" customHeight="1">
      <c r="A53" s="26"/>
      <c r="B53" s="26"/>
      <c r="C53" s="61"/>
      <c r="D53" s="62"/>
      <c r="E53" s="71" t="s">
        <v>309</v>
      </c>
      <c r="F53" s="56">
        <f>3500000-70000</f>
        <v>3430000</v>
      </c>
      <c r="G53" s="78">
        <f>3500000-70000</f>
        <v>3430000</v>
      </c>
      <c r="H53" s="39"/>
      <c r="I53" s="39"/>
    </row>
    <row r="54" spans="1:13" s="24" customFormat="1" ht="150">
      <c r="A54" s="20" t="s">
        <v>217</v>
      </c>
      <c r="B54" s="20" t="s">
        <v>219</v>
      </c>
      <c r="C54" s="33" t="s">
        <v>142</v>
      </c>
      <c r="D54" s="53" t="s">
        <v>221</v>
      </c>
      <c r="E54" s="46" t="s">
        <v>89</v>
      </c>
      <c r="F54" s="57">
        <v>1012084</v>
      </c>
      <c r="G54" s="77">
        <v>1012084</v>
      </c>
      <c r="H54" s="38"/>
      <c r="I54" s="38"/>
    </row>
    <row r="55" spans="1:13" s="24" customFormat="1" ht="150">
      <c r="A55" s="20" t="s">
        <v>218</v>
      </c>
      <c r="B55" s="20" t="s">
        <v>220</v>
      </c>
      <c r="C55" s="33" t="s">
        <v>142</v>
      </c>
      <c r="D55" s="53" t="s">
        <v>222</v>
      </c>
      <c r="E55" s="46" t="s">
        <v>89</v>
      </c>
      <c r="F55" s="57">
        <v>2361528</v>
      </c>
      <c r="G55" s="77">
        <v>2361528</v>
      </c>
      <c r="H55" s="38"/>
      <c r="I55" s="38"/>
    </row>
    <row r="56" spans="1:13" s="24" customFormat="1" ht="225">
      <c r="A56" s="20" t="s">
        <v>140</v>
      </c>
      <c r="B56" s="20" t="s">
        <v>141</v>
      </c>
      <c r="C56" s="20" t="s">
        <v>142</v>
      </c>
      <c r="D56" s="27" t="s">
        <v>143</v>
      </c>
      <c r="E56" s="46" t="s">
        <v>89</v>
      </c>
      <c r="F56" s="57">
        <f>656964+784845</f>
        <v>1441809</v>
      </c>
      <c r="G56" s="77">
        <f>656964+784845</f>
        <v>1441809</v>
      </c>
      <c r="H56" s="38"/>
      <c r="I56" s="38"/>
    </row>
    <row r="57" spans="1:13" s="24" customFormat="1" ht="37.5">
      <c r="A57" s="20" t="s">
        <v>223</v>
      </c>
      <c r="B57" s="20" t="s">
        <v>190</v>
      </c>
      <c r="C57" s="33" t="s">
        <v>192</v>
      </c>
      <c r="D57" s="27" t="s">
        <v>191</v>
      </c>
      <c r="E57" s="46" t="s">
        <v>89</v>
      </c>
      <c r="F57" s="57">
        <v>205000</v>
      </c>
      <c r="G57" s="77">
        <v>205000</v>
      </c>
      <c r="H57" s="38"/>
      <c r="I57" s="38"/>
    </row>
    <row r="58" spans="1:13" s="24" customFormat="1" ht="75">
      <c r="A58" s="20" t="s">
        <v>61</v>
      </c>
      <c r="B58" s="20" t="s">
        <v>62</v>
      </c>
      <c r="C58" s="33" t="s">
        <v>64</v>
      </c>
      <c r="D58" s="53" t="s">
        <v>63</v>
      </c>
      <c r="E58" s="17" t="s">
        <v>10</v>
      </c>
      <c r="F58" s="28">
        <f>SUM(F59:F62)</f>
        <v>7752925.3600000003</v>
      </c>
      <c r="G58" s="38">
        <f>SUM(G59:G62)</f>
        <v>7752925.3600000003</v>
      </c>
      <c r="H58" s="38"/>
      <c r="I58" s="38"/>
    </row>
    <row r="59" spans="1:13" s="24" customFormat="1" ht="120.75" customHeight="1">
      <c r="A59" s="20"/>
      <c r="B59" s="20"/>
      <c r="C59" s="33"/>
      <c r="D59" s="53"/>
      <c r="E59" s="46" t="s">
        <v>182</v>
      </c>
      <c r="F59" s="57">
        <f>1400000+383680+1822017-421900</f>
        <v>3183797</v>
      </c>
      <c r="G59" s="77">
        <f>1400000+383680+1822017-421900</f>
        <v>3183797</v>
      </c>
      <c r="H59" s="38"/>
      <c r="I59" s="38"/>
    </row>
    <row r="60" spans="1:13" s="24" customFormat="1" ht="112.5">
      <c r="A60" s="20"/>
      <c r="B60" s="20"/>
      <c r="C60" s="33"/>
      <c r="D60" s="53"/>
      <c r="E60" s="46" t="s">
        <v>181</v>
      </c>
      <c r="F60" s="57">
        <f>900000+306196+667364-373200</f>
        <v>1500360</v>
      </c>
      <c r="G60" s="77">
        <f>900000+306196+667364-373200</f>
        <v>1500360</v>
      </c>
      <c r="H60" s="38"/>
      <c r="I60" s="38"/>
    </row>
    <row r="61" spans="1:13" s="24" customFormat="1" ht="93.75">
      <c r="A61" s="20"/>
      <c r="B61" s="20"/>
      <c r="C61" s="33"/>
      <c r="D61" s="53"/>
      <c r="E61" s="46" t="s">
        <v>183</v>
      </c>
      <c r="F61" s="57">
        <f>168768.36+5000000-3500000-100000</f>
        <v>1568768.3600000003</v>
      </c>
      <c r="G61" s="77">
        <f>168768.36+5000000-3500000-100000</f>
        <v>1568768.3600000003</v>
      </c>
      <c r="H61" s="38"/>
      <c r="I61" s="38"/>
    </row>
    <row r="62" spans="1:13" s="24" customFormat="1" ht="112.5">
      <c r="A62" s="20"/>
      <c r="B62" s="20"/>
      <c r="C62" s="33"/>
      <c r="D62" s="27"/>
      <c r="E62" s="46" t="s">
        <v>201</v>
      </c>
      <c r="F62" s="57">
        <f>2000000-500000</f>
        <v>1500000</v>
      </c>
      <c r="G62" s="77">
        <f>2000000-500000</f>
        <v>1500000</v>
      </c>
      <c r="H62" s="38"/>
      <c r="I62" s="38"/>
      <c r="J62" s="1"/>
      <c r="K62" s="1"/>
      <c r="L62" s="5"/>
      <c r="M62" s="5"/>
    </row>
    <row r="63" spans="1:13" ht="36.6" customHeight="1">
      <c r="A63" s="19" t="s">
        <v>168</v>
      </c>
      <c r="B63" s="19"/>
      <c r="C63" s="19"/>
      <c r="D63" s="91" t="s">
        <v>170</v>
      </c>
      <c r="E63" s="92"/>
      <c r="F63" s="22">
        <f t="shared" ref="F63:I63" si="3">F64</f>
        <v>19175497</v>
      </c>
      <c r="G63" s="37">
        <f>G64</f>
        <v>19175497</v>
      </c>
      <c r="H63" s="37">
        <f t="shared" si="3"/>
        <v>0</v>
      </c>
      <c r="I63" s="37">
        <f t="shared" si="3"/>
        <v>0</v>
      </c>
      <c r="J63" s="1"/>
    </row>
    <row r="64" spans="1:13" ht="36.6" customHeight="1">
      <c r="A64" s="19" t="s">
        <v>169</v>
      </c>
      <c r="B64" s="18"/>
      <c r="C64" s="18"/>
      <c r="D64" s="91" t="s">
        <v>170</v>
      </c>
      <c r="E64" s="92"/>
      <c r="F64" s="22">
        <f>F65+F66+F67+F68</f>
        <v>19175497</v>
      </c>
      <c r="G64" s="22">
        <f t="shared" ref="G64:I64" si="4">G65+G66+G67+G68</f>
        <v>19175497</v>
      </c>
      <c r="H64" s="22">
        <f t="shared" si="4"/>
        <v>0</v>
      </c>
      <c r="I64" s="22">
        <f t="shared" si="4"/>
        <v>0</v>
      </c>
      <c r="J64" s="24"/>
      <c r="K64" s="24"/>
      <c r="L64" s="24"/>
      <c r="M64" s="24"/>
    </row>
    <row r="65" spans="1:13" ht="92.45" customHeight="1">
      <c r="A65" s="20" t="s">
        <v>269</v>
      </c>
      <c r="B65" s="20" t="s">
        <v>268</v>
      </c>
      <c r="C65" s="44" t="s">
        <v>270</v>
      </c>
      <c r="D65" s="27" t="s">
        <v>271</v>
      </c>
      <c r="E65" s="65" t="s">
        <v>295</v>
      </c>
      <c r="F65" s="28">
        <v>2000000</v>
      </c>
      <c r="G65" s="38">
        <v>2000000</v>
      </c>
      <c r="H65" s="37"/>
      <c r="I65" s="38"/>
      <c r="J65" s="50" t="s">
        <v>273</v>
      </c>
      <c r="K65" s="24"/>
      <c r="L65" s="24"/>
      <c r="M65" s="24"/>
    </row>
    <row r="66" spans="1:13" s="24" customFormat="1" ht="159" customHeight="1">
      <c r="A66" s="20" t="s">
        <v>171</v>
      </c>
      <c r="B66" s="20" t="s">
        <v>175</v>
      </c>
      <c r="C66" s="44">
        <v>1060</v>
      </c>
      <c r="D66" s="102" t="s">
        <v>173</v>
      </c>
      <c r="E66" s="103"/>
      <c r="F66" s="57">
        <f>1859158+4332560</f>
        <v>6191718</v>
      </c>
      <c r="G66" s="77">
        <f>1859158+4332560</f>
        <v>6191718</v>
      </c>
      <c r="H66" s="38"/>
      <c r="I66" s="38"/>
    </row>
    <row r="67" spans="1:13" s="24" customFormat="1" ht="208.9" customHeight="1">
      <c r="A67" s="20" t="s">
        <v>324</v>
      </c>
      <c r="B67" s="20" t="s">
        <v>325</v>
      </c>
      <c r="C67" s="44">
        <v>1060</v>
      </c>
      <c r="D67" s="102" t="s">
        <v>326</v>
      </c>
      <c r="E67" s="103"/>
      <c r="F67" s="57">
        <v>6239090</v>
      </c>
      <c r="G67" s="77">
        <v>6239090</v>
      </c>
      <c r="H67" s="38"/>
      <c r="I67" s="38"/>
    </row>
    <row r="68" spans="1:13" s="24" customFormat="1" ht="107.45" customHeight="1">
      <c r="A68" s="20" t="s">
        <v>172</v>
      </c>
      <c r="B68" s="20" t="s">
        <v>176</v>
      </c>
      <c r="C68" s="44">
        <v>1060</v>
      </c>
      <c r="D68" s="102" t="s">
        <v>174</v>
      </c>
      <c r="E68" s="103"/>
      <c r="F68" s="57">
        <v>4744689</v>
      </c>
      <c r="G68" s="77">
        <v>4744689</v>
      </c>
      <c r="H68" s="38"/>
      <c r="I68" s="38"/>
      <c r="J68" s="1"/>
      <c r="K68" s="1"/>
      <c r="L68" s="5"/>
      <c r="M68" s="5"/>
    </row>
    <row r="69" spans="1:13" s="88" customFormat="1" ht="19.5">
      <c r="A69" s="43" t="s">
        <v>293</v>
      </c>
      <c r="B69" s="43"/>
      <c r="C69" s="85"/>
      <c r="D69" s="104" t="s">
        <v>274</v>
      </c>
      <c r="E69" s="105"/>
      <c r="F69" s="32">
        <f>F70</f>
        <v>4231735</v>
      </c>
      <c r="G69" s="32">
        <f>G70</f>
        <v>4231735</v>
      </c>
      <c r="H69" s="37"/>
      <c r="I69" s="37"/>
      <c r="J69" s="86"/>
      <c r="K69" s="86"/>
      <c r="L69" s="87"/>
      <c r="M69" s="87"/>
    </row>
    <row r="70" spans="1:13" s="88" customFormat="1" ht="19.5">
      <c r="A70" s="43" t="s">
        <v>294</v>
      </c>
      <c r="B70" s="43"/>
      <c r="C70" s="85"/>
      <c r="D70" s="104" t="s">
        <v>274</v>
      </c>
      <c r="E70" s="105"/>
      <c r="F70" s="32">
        <f>F71</f>
        <v>4231735</v>
      </c>
      <c r="G70" s="32">
        <f>G71</f>
        <v>4231735</v>
      </c>
      <c r="H70" s="37"/>
      <c r="I70" s="37"/>
      <c r="J70" s="86"/>
      <c r="K70" s="86"/>
      <c r="L70" s="87"/>
      <c r="M70" s="87"/>
    </row>
    <row r="71" spans="1:13" s="24" customFormat="1" ht="168.75">
      <c r="A71" s="20" t="s">
        <v>275</v>
      </c>
      <c r="B71" s="20" t="s">
        <v>276</v>
      </c>
      <c r="C71" s="33" t="s">
        <v>13</v>
      </c>
      <c r="D71" s="27" t="s">
        <v>277</v>
      </c>
      <c r="E71" s="82" t="s">
        <v>278</v>
      </c>
      <c r="F71" s="57">
        <v>4231735</v>
      </c>
      <c r="G71" s="77">
        <v>4231735</v>
      </c>
      <c r="H71" s="38"/>
      <c r="I71" s="38"/>
      <c r="J71" s="49" t="s">
        <v>279</v>
      </c>
      <c r="K71" s="1"/>
      <c r="L71" s="5"/>
      <c r="M71" s="5"/>
    </row>
    <row r="72" spans="1:13">
      <c r="A72" s="19" t="s">
        <v>291</v>
      </c>
      <c r="B72" s="19"/>
      <c r="C72" s="19"/>
      <c r="D72" s="91" t="s">
        <v>224</v>
      </c>
      <c r="E72" s="92"/>
      <c r="F72" s="22">
        <f>F73</f>
        <v>190000</v>
      </c>
      <c r="G72" s="37">
        <f>G73</f>
        <v>190000</v>
      </c>
      <c r="H72" s="37"/>
      <c r="I72" s="37"/>
      <c r="J72" s="1"/>
    </row>
    <row r="73" spans="1:13">
      <c r="A73" s="19" t="s">
        <v>292</v>
      </c>
      <c r="B73" s="18"/>
      <c r="C73" s="18"/>
      <c r="D73" s="91" t="s">
        <v>224</v>
      </c>
      <c r="E73" s="92"/>
      <c r="F73" s="22">
        <f>F74</f>
        <v>190000</v>
      </c>
      <c r="G73" s="37">
        <f>G74</f>
        <v>190000</v>
      </c>
      <c r="H73" s="37"/>
      <c r="I73" s="37"/>
      <c r="J73" s="24"/>
      <c r="K73" s="24"/>
      <c r="L73" s="24"/>
      <c r="M73" s="24"/>
    </row>
    <row r="74" spans="1:13" s="24" customFormat="1" ht="37.5">
      <c r="A74" s="20" t="s">
        <v>225</v>
      </c>
      <c r="B74" s="20" t="s">
        <v>226</v>
      </c>
      <c r="C74" s="33" t="s">
        <v>228</v>
      </c>
      <c r="D74" s="80" t="s">
        <v>227</v>
      </c>
      <c r="E74" s="80" t="s">
        <v>89</v>
      </c>
      <c r="F74" s="57">
        <v>190000</v>
      </c>
      <c r="G74" s="77">
        <v>190000</v>
      </c>
      <c r="H74" s="38"/>
      <c r="I74" s="38"/>
      <c r="J74" s="1"/>
      <c r="K74" s="1"/>
      <c r="L74" s="5"/>
      <c r="M74" s="5"/>
    </row>
    <row r="75" spans="1:13" ht="36.6" customHeight="1">
      <c r="A75" s="19" t="s">
        <v>65</v>
      </c>
      <c r="B75" s="19"/>
      <c r="C75" s="19"/>
      <c r="D75" s="91" t="s">
        <v>67</v>
      </c>
      <c r="E75" s="92"/>
      <c r="F75" s="22">
        <f t="shared" ref="F75:I75" si="5">F76</f>
        <v>32130880.16</v>
      </c>
      <c r="G75" s="37">
        <f>G76</f>
        <v>29711880.16</v>
      </c>
      <c r="H75" s="37">
        <f t="shared" si="5"/>
        <v>0</v>
      </c>
      <c r="I75" s="37">
        <f t="shared" si="5"/>
        <v>2419000</v>
      </c>
      <c r="J75" s="1"/>
    </row>
    <row r="76" spans="1:13" ht="36.6" customHeight="1">
      <c r="A76" s="19" t="s">
        <v>66</v>
      </c>
      <c r="B76" s="18"/>
      <c r="C76" s="18"/>
      <c r="D76" s="91" t="s">
        <v>67</v>
      </c>
      <c r="E76" s="92"/>
      <c r="F76" s="22">
        <f>F77+F97+F100+F103+F104+F107+F110+F111+F125+F131+F132</f>
        <v>32130880.16</v>
      </c>
      <c r="G76" s="22">
        <f>G77+G97+G100+G103+G104+G107+G110+G111+G125+G131+G132</f>
        <v>29711880.16</v>
      </c>
      <c r="H76" s="22">
        <f>H77+H97+H100+H103+H104+H107+H110+H111+H125+H131+H132</f>
        <v>0</v>
      </c>
      <c r="I76" s="22">
        <f>I77+I97+I100+I103+I104+I107+I110+I111+I125+I131+I132</f>
        <v>2419000</v>
      </c>
      <c r="J76" s="24"/>
      <c r="K76" s="24"/>
      <c r="L76" s="24"/>
      <c r="M76" s="24"/>
    </row>
    <row r="77" spans="1:13" s="24" customFormat="1" ht="56.25">
      <c r="A77" s="20" t="s">
        <v>68</v>
      </c>
      <c r="B77" s="20" t="s">
        <v>15</v>
      </c>
      <c r="C77" s="33" t="s">
        <v>13</v>
      </c>
      <c r="D77" s="53" t="s">
        <v>14</v>
      </c>
      <c r="E77" s="17" t="s">
        <v>10</v>
      </c>
      <c r="F77" s="57">
        <f>F78+F85+F86+F87+F88+F89+F90+F91+F92+F93+F94+F95+F96</f>
        <v>5393826</v>
      </c>
      <c r="G77" s="57">
        <f t="shared" ref="G77:I77" si="6">G78+G85+G86+G87+G88+G89+G90+G91+G92+G93+G94+G95+G96</f>
        <v>5145526</v>
      </c>
      <c r="H77" s="57">
        <f t="shared" si="6"/>
        <v>0</v>
      </c>
      <c r="I77" s="57">
        <f t="shared" si="6"/>
        <v>248300</v>
      </c>
    </row>
    <row r="78" spans="1:13" s="24" customFormat="1" ht="93.75">
      <c r="A78" s="20"/>
      <c r="B78" s="20"/>
      <c r="C78" s="33"/>
      <c r="D78" s="53"/>
      <c r="E78" s="27" t="s">
        <v>69</v>
      </c>
      <c r="F78" s="28">
        <f>F79+F80+F81+F82+F83+F84</f>
        <v>3741524</v>
      </c>
      <c r="G78" s="38">
        <f>G79+G80+G81+G82+G83+G84</f>
        <v>3493224</v>
      </c>
      <c r="H78" s="38">
        <f t="shared" ref="H78:I78" si="7">H79+H80+H81+H82+H83+H84</f>
        <v>0</v>
      </c>
      <c r="I78" s="38">
        <f t="shared" si="7"/>
        <v>248300</v>
      </c>
    </row>
    <row r="79" spans="1:13" s="24" customFormat="1" ht="56.25">
      <c r="A79" s="20"/>
      <c r="B79" s="20"/>
      <c r="C79" s="33"/>
      <c r="D79" s="53"/>
      <c r="E79" s="30" t="s">
        <v>231</v>
      </c>
      <c r="F79" s="29">
        <v>45000</v>
      </c>
      <c r="G79" s="39">
        <v>45000</v>
      </c>
      <c r="H79" s="38"/>
      <c r="I79" s="38"/>
    </row>
    <row r="80" spans="1:13" s="24" customFormat="1" ht="75">
      <c r="A80" s="20"/>
      <c r="B80" s="20"/>
      <c r="C80" s="33"/>
      <c r="D80" s="53"/>
      <c r="E80" s="30" t="s">
        <v>232</v>
      </c>
      <c r="F80" s="29">
        <v>360000</v>
      </c>
      <c r="G80" s="39">
        <f>61700+50000</f>
        <v>111700</v>
      </c>
      <c r="H80" s="38"/>
      <c r="I80" s="38">
        <f>298300-50000</f>
        <v>248300</v>
      </c>
    </row>
    <row r="81" spans="1:9" s="24" customFormat="1" ht="75">
      <c r="A81" s="20"/>
      <c r="B81" s="20"/>
      <c r="C81" s="33"/>
      <c r="D81" s="53"/>
      <c r="E81" s="75" t="s">
        <v>233</v>
      </c>
      <c r="F81" s="29">
        <v>90000</v>
      </c>
      <c r="G81" s="39">
        <v>90000</v>
      </c>
      <c r="H81" s="38"/>
      <c r="I81" s="38"/>
    </row>
    <row r="82" spans="1:9" s="24" customFormat="1" ht="75">
      <c r="A82" s="20"/>
      <c r="B82" s="20"/>
      <c r="C82" s="33"/>
      <c r="D82" s="53"/>
      <c r="E82" s="30" t="s">
        <v>184</v>
      </c>
      <c r="F82" s="59">
        <f>973214-32514.68</f>
        <v>940699.32</v>
      </c>
      <c r="G82" s="39">
        <f>973214-32514.68</f>
        <v>940699.32</v>
      </c>
      <c r="H82" s="38"/>
      <c r="I82" s="38"/>
    </row>
    <row r="83" spans="1:9" s="24" customFormat="1" ht="75">
      <c r="A83" s="20"/>
      <c r="B83" s="20"/>
      <c r="C83" s="33"/>
      <c r="D83" s="53"/>
      <c r="E83" s="30" t="s">
        <v>70</v>
      </c>
      <c r="F83" s="59">
        <f>1878462+277921.81</f>
        <v>2156383.81</v>
      </c>
      <c r="G83" s="39">
        <f>1878462+277921.81</f>
        <v>2156383.81</v>
      </c>
      <c r="H83" s="38"/>
      <c r="I83" s="38"/>
    </row>
    <row r="84" spans="1:9" s="24" customFormat="1" ht="75">
      <c r="A84" s="20"/>
      <c r="B84" s="20"/>
      <c r="C84" s="33"/>
      <c r="D84" s="53"/>
      <c r="E84" s="30" t="s">
        <v>71</v>
      </c>
      <c r="F84" s="59">
        <f>192509-43068.13</f>
        <v>149440.87</v>
      </c>
      <c r="G84" s="39">
        <f>192509-43068.13</f>
        <v>149440.87</v>
      </c>
      <c r="H84" s="38"/>
      <c r="I84" s="38"/>
    </row>
    <row r="85" spans="1:9" s="24" customFormat="1" ht="206.25">
      <c r="A85" s="20"/>
      <c r="B85" s="20"/>
      <c r="C85" s="33"/>
      <c r="D85" s="53"/>
      <c r="E85" s="27" t="s">
        <v>72</v>
      </c>
      <c r="F85" s="60">
        <f>158368.14+0.86</f>
        <v>158369</v>
      </c>
      <c r="G85" s="38">
        <f>158368.14+0.86</f>
        <v>158369</v>
      </c>
      <c r="H85" s="38"/>
      <c r="I85" s="38"/>
    </row>
    <row r="86" spans="1:9" s="24" customFormat="1" ht="206.25">
      <c r="A86" s="20"/>
      <c r="B86" s="20"/>
      <c r="C86" s="33"/>
      <c r="D86" s="53"/>
      <c r="E86" s="27" t="s">
        <v>73</v>
      </c>
      <c r="F86" s="60">
        <f>166805.43+0.57</f>
        <v>166806</v>
      </c>
      <c r="G86" s="38">
        <f>166805.43+0.57</f>
        <v>166806</v>
      </c>
      <c r="H86" s="38"/>
      <c r="I86" s="38"/>
    </row>
    <row r="87" spans="1:9" s="24" customFormat="1" ht="93.75">
      <c r="A87" s="20"/>
      <c r="B87" s="20"/>
      <c r="C87" s="33"/>
      <c r="D87" s="53"/>
      <c r="E87" s="58" t="s">
        <v>74</v>
      </c>
      <c r="F87" s="60">
        <v>182708</v>
      </c>
      <c r="G87" s="38">
        <v>182708</v>
      </c>
      <c r="H87" s="38"/>
      <c r="I87" s="38"/>
    </row>
    <row r="88" spans="1:9" s="24" customFormat="1" ht="75">
      <c r="A88" s="20"/>
      <c r="B88" s="20"/>
      <c r="C88" s="33"/>
      <c r="D88" s="53"/>
      <c r="E88" s="27" t="s">
        <v>75</v>
      </c>
      <c r="F88" s="60">
        <v>13964</v>
      </c>
      <c r="G88" s="38">
        <v>13964</v>
      </c>
      <c r="H88" s="38"/>
      <c r="I88" s="38"/>
    </row>
    <row r="89" spans="1:9" s="24" customFormat="1" ht="93.75">
      <c r="A89" s="20"/>
      <c r="B89" s="20"/>
      <c r="C89" s="33"/>
      <c r="D89" s="53"/>
      <c r="E89" s="58" t="s">
        <v>76</v>
      </c>
      <c r="F89" s="60">
        <v>151219</v>
      </c>
      <c r="G89" s="38">
        <v>151219</v>
      </c>
      <c r="H89" s="38"/>
      <c r="I89" s="38"/>
    </row>
    <row r="90" spans="1:9" s="24" customFormat="1" ht="93.75">
      <c r="A90" s="20"/>
      <c r="B90" s="20"/>
      <c r="C90" s="33"/>
      <c r="D90" s="53"/>
      <c r="E90" s="58" t="s">
        <v>77</v>
      </c>
      <c r="F90" s="60">
        <v>151219</v>
      </c>
      <c r="G90" s="38">
        <v>151219</v>
      </c>
      <c r="H90" s="38"/>
      <c r="I90" s="38"/>
    </row>
    <row r="91" spans="1:9" s="24" customFormat="1" ht="75">
      <c r="A91" s="20"/>
      <c r="B91" s="20"/>
      <c r="C91" s="33"/>
      <c r="D91" s="53"/>
      <c r="E91" s="27" t="s">
        <v>78</v>
      </c>
      <c r="F91" s="60">
        <v>13964</v>
      </c>
      <c r="G91" s="38">
        <v>13964</v>
      </c>
      <c r="H91" s="38"/>
      <c r="I91" s="38"/>
    </row>
    <row r="92" spans="1:9" s="24" customFormat="1" ht="93.75">
      <c r="A92" s="20"/>
      <c r="B92" s="20"/>
      <c r="C92" s="33"/>
      <c r="D92" s="53"/>
      <c r="E92" s="58" t="s">
        <v>79</v>
      </c>
      <c r="F92" s="60">
        <v>147053</v>
      </c>
      <c r="G92" s="38">
        <v>147053</v>
      </c>
      <c r="H92" s="38"/>
      <c r="I92" s="38"/>
    </row>
    <row r="93" spans="1:9" s="24" customFormat="1" ht="56.25">
      <c r="A93" s="20"/>
      <c r="B93" s="20"/>
      <c r="C93" s="33"/>
      <c r="D93" s="53"/>
      <c r="E93" s="58" t="s">
        <v>321</v>
      </c>
      <c r="F93" s="60">
        <v>94000</v>
      </c>
      <c r="G93" s="38">
        <v>94000</v>
      </c>
      <c r="H93" s="38"/>
      <c r="I93" s="38"/>
    </row>
    <row r="94" spans="1:9" s="24" customFormat="1" ht="56.25">
      <c r="A94" s="20"/>
      <c r="B94" s="20"/>
      <c r="C94" s="33"/>
      <c r="D94" s="53"/>
      <c r="E94" s="58" t="s">
        <v>322</v>
      </c>
      <c r="F94" s="60">
        <v>61000</v>
      </c>
      <c r="G94" s="38">
        <v>61000</v>
      </c>
      <c r="H94" s="38"/>
      <c r="I94" s="38"/>
    </row>
    <row r="95" spans="1:9" s="24" customFormat="1" ht="56.25">
      <c r="A95" s="20"/>
      <c r="B95" s="20"/>
      <c r="C95" s="33"/>
      <c r="D95" s="53"/>
      <c r="E95" s="27" t="s">
        <v>229</v>
      </c>
      <c r="F95" s="60">
        <f>300000-155000</f>
        <v>145000</v>
      </c>
      <c r="G95" s="38">
        <f>300000-155000</f>
        <v>145000</v>
      </c>
      <c r="H95" s="38"/>
      <c r="I95" s="38"/>
    </row>
    <row r="96" spans="1:9" s="24" customFormat="1" ht="56.25">
      <c r="A96" s="20"/>
      <c r="B96" s="20"/>
      <c r="C96" s="33"/>
      <c r="D96" s="53"/>
      <c r="E96" s="27" t="s">
        <v>230</v>
      </c>
      <c r="F96" s="60">
        <v>367000</v>
      </c>
      <c r="G96" s="38">
        <v>367000</v>
      </c>
      <c r="H96" s="38"/>
      <c r="I96" s="38"/>
    </row>
    <row r="97" spans="1:9" s="24" customFormat="1" ht="56.25">
      <c r="A97" s="20" t="s">
        <v>158</v>
      </c>
      <c r="B97" s="20" t="s">
        <v>96</v>
      </c>
      <c r="C97" s="33" t="s">
        <v>83</v>
      </c>
      <c r="D97" s="53" t="s">
        <v>97</v>
      </c>
      <c r="E97" s="58" t="s">
        <v>10</v>
      </c>
      <c r="F97" s="60">
        <f>F98+F99</f>
        <v>2074563</v>
      </c>
      <c r="G97" s="60">
        <f>G98+G99</f>
        <v>2074563</v>
      </c>
      <c r="H97" s="38"/>
      <c r="I97" s="38"/>
    </row>
    <row r="98" spans="1:9" s="24" customFormat="1">
      <c r="A98" s="20"/>
      <c r="B98" s="20"/>
      <c r="C98" s="33"/>
      <c r="D98" s="53"/>
      <c r="E98" s="58" t="s">
        <v>159</v>
      </c>
      <c r="F98" s="60">
        <v>1244281</v>
      </c>
      <c r="G98" s="38">
        <v>1244281</v>
      </c>
      <c r="H98" s="38"/>
      <c r="I98" s="38"/>
    </row>
    <row r="99" spans="1:9" s="24" customFormat="1" ht="56.25">
      <c r="A99" s="20"/>
      <c r="B99" s="20"/>
      <c r="C99" s="33"/>
      <c r="D99" s="53"/>
      <c r="E99" s="79" t="s">
        <v>280</v>
      </c>
      <c r="F99" s="60">
        <v>830282</v>
      </c>
      <c r="G99" s="38">
        <v>830282</v>
      </c>
      <c r="H99" s="38"/>
      <c r="I99" s="38"/>
    </row>
    <row r="100" spans="1:9" s="24" customFormat="1" ht="56.25">
      <c r="A100" s="20" t="s">
        <v>80</v>
      </c>
      <c r="B100" s="20" t="s">
        <v>81</v>
      </c>
      <c r="C100" s="33" t="s">
        <v>83</v>
      </c>
      <c r="D100" s="53" t="s">
        <v>82</v>
      </c>
      <c r="E100" s="17" t="s">
        <v>10</v>
      </c>
      <c r="F100" s="57">
        <f>F101</f>
        <v>1834392.76</v>
      </c>
      <c r="G100" s="77">
        <f>G101</f>
        <v>1834392.76</v>
      </c>
      <c r="H100" s="38"/>
      <c r="I100" s="38"/>
    </row>
    <row r="101" spans="1:9" s="24" customFormat="1" ht="93.75">
      <c r="A101" s="20"/>
      <c r="B101" s="20"/>
      <c r="C101" s="33"/>
      <c r="D101" s="53"/>
      <c r="E101" s="27" t="s">
        <v>208</v>
      </c>
      <c r="F101" s="57">
        <f>F102</f>
        <v>1834392.76</v>
      </c>
      <c r="G101" s="77">
        <f>G102</f>
        <v>1834392.76</v>
      </c>
      <c r="H101" s="38"/>
      <c r="I101" s="38"/>
    </row>
    <row r="102" spans="1:9" s="24" customFormat="1" ht="75">
      <c r="A102" s="26"/>
      <c r="B102" s="26"/>
      <c r="C102" s="61"/>
      <c r="D102" s="62"/>
      <c r="E102" s="30" t="s">
        <v>84</v>
      </c>
      <c r="F102" s="56">
        <f>495000+1485702-146309.24</f>
        <v>1834392.76</v>
      </c>
      <c r="G102" s="78">
        <f>495000+1485702-146309.24</f>
        <v>1834392.76</v>
      </c>
      <c r="H102" s="39"/>
      <c r="I102" s="39"/>
    </row>
    <row r="103" spans="1:9" s="24" customFormat="1" ht="150">
      <c r="A103" s="20" t="s">
        <v>205</v>
      </c>
      <c r="B103" s="20" t="s">
        <v>206</v>
      </c>
      <c r="C103" s="44" t="s">
        <v>83</v>
      </c>
      <c r="D103" s="27" t="s">
        <v>207</v>
      </c>
      <c r="E103" s="46" t="s">
        <v>209</v>
      </c>
      <c r="F103" s="57">
        <v>1200000</v>
      </c>
      <c r="G103" s="77">
        <v>1200000</v>
      </c>
      <c r="H103" s="39"/>
      <c r="I103" s="39"/>
    </row>
    <row r="104" spans="1:9" s="24" customFormat="1" ht="93.75">
      <c r="A104" s="20" t="s">
        <v>234</v>
      </c>
      <c r="B104" s="20" t="s">
        <v>235</v>
      </c>
      <c r="C104" s="33" t="s">
        <v>83</v>
      </c>
      <c r="D104" s="53" t="s">
        <v>236</v>
      </c>
      <c r="E104" s="46" t="s">
        <v>10</v>
      </c>
      <c r="F104" s="57">
        <f>F105+F106</f>
        <v>932973.4</v>
      </c>
      <c r="G104" s="57">
        <f>G105+G106</f>
        <v>932973.4</v>
      </c>
      <c r="H104" s="39"/>
      <c r="I104" s="39"/>
    </row>
    <row r="105" spans="1:9" s="24" customFormat="1" ht="93.75">
      <c r="A105" s="20"/>
      <c r="B105" s="20"/>
      <c r="C105" s="33"/>
      <c r="D105" s="53"/>
      <c r="E105" s="46" t="s">
        <v>237</v>
      </c>
      <c r="F105" s="57">
        <f>126980-24008.6</f>
        <v>102971.4</v>
      </c>
      <c r="G105" s="77">
        <f>126980-24008.6</f>
        <v>102971.4</v>
      </c>
      <c r="H105" s="39"/>
      <c r="I105" s="39"/>
    </row>
    <row r="106" spans="1:9" s="24" customFormat="1" ht="75">
      <c r="A106" s="20"/>
      <c r="B106" s="20"/>
      <c r="C106" s="33"/>
      <c r="D106" s="53"/>
      <c r="E106" s="46" t="s">
        <v>281</v>
      </c>
      <c r="F106" s="57">
        <f>866100-36098</f>
        <v>830002</v>
      </c>
      <c r="G106" s="77">
        <f>866100-36098</f>
        <v>830002</v>
      </c>
      <c r="H106" s="39"/>
      <c r="I106" s="39"/>
    </row>
    <row r="107" spans="1:9" s="24" customFormat="1" ht="37.5">
      <c r="A107" s="20" t="s">
        <v>85</v>
      </c>
      <c r="B107" s="20" t="s">
        <v>86</v>
      </c>
      <c r="C107" s="33" t="s">
        <v>83</v>
      </c>
      <c r="D107" s="53" t="s">
        <v>88</v>
      </c>
      <c r="E107" s="17" t="s">
        <v>10</v>
      </c>
      <c r="F107" s="57">
        <f>F108+F109</f>
        <v>879500</v>
      </c>
      <c r="G107" s="57">
        <f>G108+G109</f>
        <v>879500</v>
      </c>
      <c r="H107" s="38"/>
      <c r="I107" s="38"/>
    </row>
    <row r="108" spans="1:9" s="24" customFormat="1" ht="37.5">
      <c r="A108" s="20"/>
      <c r="B108" s="20"/>
      <c r="C108" s="33"/>
      <c r="D108" s="27"/>
      <c r="E108" s="46" t="s">
        <v>87</v>
      </c>
      <c r="F108" s="57">
        <v>839500</v>
      </c>
      <c r="G108" s="77">
        <v>839500</v>
      </c>
      <c r="H108" s="38"/>
      <c r="I108" s="38"/>
    </row>
    <row r="109" spans="1:9" s="24" customFormat="1">
      <c r="A109" s="20"/>
      <c r="B109" s="20"/>
      <c r="C109" s="33"/>
      <c r="D109" s="27"/>
      <c r="E109" s="46" t="s">
        <v>320</v>
      </c>
      <c r="F109" s="57">
        <v>40000</v>
      </c>
      <c r="G109" s="77">
        <v>40000</v>
      </c>
      <c r="H109" s="38"/>
      <c r="I109" s="38"/>
    </row>
    <row r="110" spans="1:9" s="24" customFormat="1" ht="37.5">
      <c r="A110" s="20" t="s">
        <v>238</v>
      </c>
      <c r="B110" s="20" t="s">
        <v>190</v>
      </c>
      <c r="C110" s="33" t="s">
        <v>192</v>
      </c>
      <c r="D110" s="27" t="s">
        <v>191</v>
      </c>
      <c r="E110" s="46" t="s">
        <v>89</v>
      </c>
      <c r="F110" s="57">
        <v>36000</v>
      </c>
      <c r="G110" s="77">
        <v>36000</v>
      </c>
      <c r="H110" s="38"/>
      <c r="I110" s="38"/>
    </row>
    <row r="111" spans="1:9" s="24" customFormat="1" ht="37.5">
      <c r="A111" s="20" t="s">
        <v>239</v>
      </c>
      <c r="B111" s="20" t="s">
        <v>240</v>
      </c>
      <c r="C111" s="33" t="s">
        <v>115</v>
      </c>
      <c r="D111" s="27" t="s">
        <v>241</v>
      </c>
      <c r="E111" s="17" t="s">
        <v>10</v>
      </c>
      <c r="F111" s="57">
        <f>SUM(F112:F124)</f>
        <v>16769497</v>
      </c>
      <c r="G111" s="57">
        <f t="shared" ref="G111:I111" si="8">SUM(G112:G124)</f>
        <v>14598797</v>
      </c>
      <c r="H111" s="57">
        <f t="shared" si="8"/>
        <v>0</v>
      </c>
      <c r="I111" s="57">
        <f t="shared" si="8"/>
        <v>2170700</v>
      </c>
    </row>
    <row r="112" spans="1:9" ht="37.5">
      <c r="A112" s="20"/>
      <c r="B112" s="20"/>
      <c r="C112" s="33"/>
      <c r="D112" s="27"/>
      <c r="E112" s="58" t="s">
        <v>256</v>
      </c>
      <c r="F112" s="57">
        <f>1950000-331200</f>
        <v>1618800</v>
      </c>
      <c r="G112" s="77"/>
      <c r="H112" s="38"/>
      <c r="I112" s="38">
        <f>1950000-331200</f>
        <v>1618800</v>
      </c>
    </row>
    <row r="113" spans="1:9" ht="37.5">
      <c r="A113" s="20"/>
      <c r="B113" s="20"/>
      <c r="C113" s="33"/>
      <c r="D113" s="27"/>
      <c r="E113" s="58" t="s">
        <v>310</v>
      </c>
      <c r="F113" s="57">
        <v>150000</v>
      </c>
      <c r="G113" s="77">
        <v>150000</v>
      </c>
      <c r="H113" s="38"/>
      <c r="I113" s="38"/>
    </row>
    <row r="114" spans="1:9" ht="37.5">
      <c r="A114" s="20"/>
      <c r="B114" s="20"/>
      <c r="C114" s="33"/>
      <c r="D114" s="27"/>
      <c r="E114" s="58" t="s">
        <v>311</v>
      </c>
      <c r="F114" s="57">
        <v>141200</v>
      </c>
      <c r="G114" s="77">
        <v>141200</v>
      </c>
      <c r="H114" s="38"/>
      <c r="I114" s="38"/>
    </row>
    <row r="115" spans="1:9">
      <c r="A115" s="20"/>
      <c r="B115" s="20"/>
      <c r="C115" s="33"/>
      <c r="D115" s="27"/>
      <c r="E115" s="58" t="s">
        <v>312</v>
      </c>
      <c r="F115" s="57">
        <v>1500000</v>
      </c>
      <c r="G115" s="77">
        <f>1500000-331200</f>
        <v>1168800</v>
      </c>
      <c r="H115" s="38"/>
      <c r="I115" s="38">
        <v>331200</v>
      </c>
    </row>
    <row r="116" spans="1:9" ht="37.5">
      <c r="A116" s="20"/>
      <c r="B116" s="20"/>
      <c r="C116" s="33"/>
      <c r="D116" s="27"/>
      <c r="E116" s="58" t="s">
        <v>255</v>
      </c>
      <c r="F116" s="57">
        <v>220700</v>
      </c>
      <c r="G116" s="77"/>
      <c r="H116" s="38"/>
      <c r="I116" s="38">
        <v>220700</v>
      </c>
    </row>
    <row r="117" spans="1:9" ht="56.25">
      <c r="A117" s="20"/>
      <c r="B117" s="20"/>
      <c r="C117" s="33"/>
      <c r="D117" s="27"/>
      <c r="E117" s="79" t="s">
        <v>297</v>
      </c>
      <c r="F117" s="57">
        <v>35997</v>
      </c>
      <c r="G117" s="77">
        <v>35997</v>
      </c>
      <c r="H117" s="38"/>
      <c r="I117" s="38"/>
    </row>
    <row r="118" spans="1:9" ht="56.25">
      <c r="A118" s="20"/>
      <c r="B118" s="20"/>
      <c r="C118" s="33"/>
      <c r="D118" s="27"/>
      <c r="E118" s="79" t="s">
        <v>298</v>
      </c>
      <c r="F118" s="57">
        <v>99000</v>
      </c>
      <c r="G118" s="77">
        <v>99000</v>
      </c>
      <c r="H118" s="38"/>
      <c r="I118" s="38"/>
    </row>
    <row r="119" spans="1:9" ht="37.5">
      <c r="A119" s="20"/>
      <c r="B119" s="20"/>
      <c r="C119" s="33"/>
      <c r="D119" s="27"/>
      <c r="E119" s="79" t="s">
        <v>313</v>
      </c>
      <c r="F119" s="57">
        <v>195500</v>
      </c>
      <c r="G119" s="77">
        <v>195500</v>
      </c>
      <c r="H119" s="38"/>
      <c r="I119" s="38"/>
    </row>
    <row r="120" spans="1:9" ht="37.5">
      <c r="A120" s="20"/>
      <c r="B120" s="20"/>
      <c r="C120" s="33"/>
      <c r="D120" s="27"/>
      <c r="E120" s="89" t="s">
        <v>282</v>
      </c>
      <c r="F120" s="57">
        <v>428800</v>
      </c>
      <c r="G120" s="77">
        <v>428800</v>
      </c>
      <c r="H120" s="38"/>
      <c r="I120" s="38"/>
    </row>
    <row r="121" spans="1:9" s="24" customFormat="1" ht="37.5">
      <c r="A121" s="20"/>
      <c r="B121" s="20"/>
      <c r="C121" s="33"/>
      <c r="D121" s="27"/>
      <c r="E121" s="89" t="s">
        <v>299</v>
      </c>
      <c r="F121" s="57">
        <v>4191500</v>
      </c>
      <c r="G121" s="77">
        <v>4191500</v>
      </c>
      <c r="H121" s="38"/>
      <c r="I121" s="38"/>
    </row>
    <row r="122" spans="1:9" s="24" customFormat="1" ht="37.5">
      <c r="A122" s="20"/>
      <c r="B122" s="20"/>
      <c r="C122" s="33"/>
      <c r="D122" s="27"/>
      <c r="E122" s="89" t="s">
        <v>300</v>
      </c>
      <c r="F122" s="57">
        <v>188000</v>
      </c>
      <c r="G122" s="77">
        <v>188000</v>
      </c>
      <c r="H122" s="38"/>
      <c r="I122" s="38"/>
    </row>
    <row r="123" spans="1:9" s="24" customFormat="1" ht="37.5">
      <c r="A123" s="20"/>
      <c r="B123" s="20"/>
      <c r="C123" s="33"/>
      <c r="D123" s="27"/>
      <c r="E123" s="89" t="s">
        <v>314</v>
      </c>
      <c r="F123" s="57">
        <v>7400000</v>
      </c>
      <c r="G123" s="77">
        <v>7400000</v>
      </c>
      <c r="H123" s="38"/>
      <c r="I123" s="38"/>
    </row>
    <row r="124" spans="1:9" s="24" customFormat="1" ht="37.5">
      <c r="A124" s="20"/>
      <c r="B124" s="20"/>
      <c r="C124" s="33"/>
      <c r="D124" s="27"/>
      <c r="E124" s="89" t="s">
        <v>315</v>
      </c>
      <c r="F124" s="57">
        <v>600000</v>
      </c>
      <c r="G124" s="77">
        <v>600000</v>
      </c>
      <c r="H124" s="38"/>
      <c r="I124" s="38"/>
    </row>
    <row r="125" spans="1:9" s="24" customFormat="1" ht="75">
      <c r="A125" s="20" t="s">
        <v>160</v>
      </c>
      <c r="B125" s="20" t="s">
        <v>62</v>
      </c>
      <c r="C125" s="33" t="s">
        <v>64</v>
      </c>
      <c r="D125" s="27" t="s">
        <v>63</v>
      </c>
      <c r="E125" s="17" t="s">
        <v>10</v>
      </c>
      <c r="F125" s="57">
        <f>SUM(F126:F130)</f>
        <v>1835500</v>
      </c>
      <c r="G125" s="77">
        <f>SUM(G126:G130)</f>
        <v>1835500</v>
      </c>
      <c r="H125" s="38"/>
      <c r="I125" s="38"/>
    </row>
    <row r="126" spans="1:9" s="24" customFormat="1" ht="75">
      <c r="A126" s="20"/>
      <c r="B126" s="20"/>
      <c r="C126" s="33"/>
      <c r="D126" s="27"/>
      <c r="E126" s="46" t="s">
        <v>161</v>
      </c>
      <c r="F126" s="57">
        <v>150000</v>
      </c>
      <c r="G126" s="77">
        <v>150000</v>
      </c>
      <c r="H126" s="38"/>
      <c r="I126" s="38"/>
    </row>
    <row r="127" spans="1:9" s="24" customFormat="1" ht="112.5">
      <c r="A127" s="20"/>
      <c r="B127" s="20"/>
      <c r="C127" s="33"/>
      <c r="D127" s="27"/>
      <c r="E127" s="46" t="s">
        <v>197</v>
      </c>
      <c r="F127" s="57">
        <v>419000</v>
      </c>
      <c r="G127" s="77">
        <v>419000</v>
      </c>
      <c r="H127" s="38"/>
      <c r="I127" s="38"/>
    </row>
    <row r="128" spans="1:9" s="24" customFormat="1" ht="37.5">
      <c r="A128" s="20"/>
      <c r="B128" s="20"/>
      <c r="C128" s="33"/>
      <c r="D128" s="27"/>
      <c r="E128" s="46" t="s">
        <v>202</v>
      </c>
      <c r="F128" s="57">
        <v>594000</v>
      </c>
      <c r="G128" s="77">
        <v>594000</v>
      </c>
      <c r="H128" s="38"/>
      <c r="I128" s="38"/>
    </row>
    <row r="129" spans="1:13" s="24" customFormat="1" ht="75">
      <c r="A129" s="20"/>
      <c r="B129" s="20"/>
      <c r="C129" s="33"/>
      <c r="D129" s="27"/>
      <c r="E129" s="46" t="s">
        <v>250</v>
      </c>
      <c r="F129" s="57">
        <f>270000-17500</f>
        <v>252500</v>
      </c>
      <c r="G129" s="77">
        <f>270000-17500</f>
        <v>252500</v>
      </c>
      <c r="H129" s="38"/>
      <c r="I129" s="38"/>
    </row>
    <row r="130" spans="1:13" s="24" customFormat="1" ht="37.5">
      <c r="A130" s="20"/>
      <c r="B130" s="20"/>
      <c r="C130" s="33"/>
      <c r="D130" s="27"/>
      <c r="E130" s="46" t="s">
        <v>242</v>
      </c>
      <c r="F130" s="57">
        <v>420000</v>
      </c>
      <c r="G130" s="77">
        <v>420000</v>
      </c>
      <c r="H130" s="38"/>
      <c r="I130" s="38"/>
    </row>
    <row r="131" spans="1:13" s="24" customFormat="1" ht="112.5">
      <c r="A131" s="20" t="s">
        <v>177</v>
      </c>
      <c r="B131" s="20" t="s">
        <v>178</v>
      </c>
      <c r="C131" s="33" t="s">
        <v>179</v>
      </c>
      <c r="D131" s="27" t="s">
        <v>180</v>
      </c>
      <c r="E131" s="27" t="s">
        <v>188</v>
      </c>
      <c r="F131" s="57">
        <v>674628</v>
      </c>
      <c r="G131" s="77">
        <v>674628</v>
      </c>
      <c r="H131" s="38"/>
      <c r="I131" s="38"/>
    </row>
    <row r="132" spans="1:13" s="24" customFormat="1" ht="131.25">
      <c r="A132" s="20" t="s">
        <v>258</v>
      </c>
      <c r="B132" s="20" t="s">
        <v>259</v>
      </c>
      <c r="C132" s="33" t="s">
        <v>146</v>
      </c>
      <c r="D132" s="27" t="s">
        <v>257</v>
      </c>
      <c r="E132" s="27" t="s">
        <v>261</v>
      </c>
      <c r="F132" s="57">
        <v>500000</v>
      </c>
      <c r="G132" s="77">
        <v>500000</v>
      </c>
      <c r="H132" s="38"/>
      <c r="I132" s="38"/>
      <c r="J132" s="1"/>
      <c r="K132" s="1"/>
      <c r="L132" s="5"/>
      <c r="M132" s="5"/>
    </row>
    <row r="133" spans="1:13" ht="36" customHeight="1">
      <c r="A133" s="19" t="s">
        <v>90</v>
      </c>
      <c r="B133" s="19"/>
      <c r="C133" s="19"/>
      <c r="D133" s="91" t="s">
        <v>92</v>
      </c>
      <c r="E133" s="92"/>
      <c r="F133" s="22">
        <f t="shared" ref="F133:I133" si="9">F134</f>
        <v>78893930.620000005</v>
      </c>
      <c r="G133" s="37">
        <f>G134</f>
        <v>75344176.620000005</v>
      </c>
      <c r="H133" s="37">
        <f t="shared" si="9"/>
        <v>362900</v>
      </c>
      <c r="I133" s="37">
        <f t="shared" si="9"/>
        <v>3186854</v>
      </c>
      <c r="J133" s="1"/>
    </row>
    <row r="134" spans="1:13" ht="36.6" customHeight="1">
      <c r="A134" s="19" t="s">
        <v>91</v>
      </c>
      <c r="B134" s="18"/>
      <c r="C134" s="18"/>
      <c r="D134" s="91" t="s">
        <v>92</v>
      </c>
      <c r="E134" s="92"/>
      <c r="F134" s="22">
        <f>F135+F136+F137+F150+F153+F155+F162+F165+F167+F174</f>
        <v>78893930.620000005</v>
      </c>
      <c r="G134" s="22">
        <f t="shared" ref="G134:I134" si="10">G135+G136+G137+G150+G153+G155+G162+G165+G167+G174</f>
        <v>75344176.620000005</v>
      </c>
      <c r="H134" s="22">
        <f t="shared" si="10"/>
        <v>362900</v>
      </c>
      <c r="I134" s="22">
        <f t="shared" si="10"/>
        <v>3186854</v>
      </c>
      <c r="J134" s="24"/>
      <c r="K134" s="24"/>
      <c r="L134" s="24"/>
      <c r="M134" s="24"/>
    </row>
    <row r="135" spans="1:13" s="24" customFormat="1" ht="131.25">
      <c r="A135" s="20" t="s">
        <v>93</v>
      </c>
      <c r="B135" s="20" t="s">
        <v>39</v>
      </c>
      <c r="C135" s="33" t="s">
        <v>41</v>
      </c>
      <c r="D135" s="27" t="s">
        <v>40</v>
      </c>
      <c r="E135" s="46" t="s">
        <v>94</v>
      </c>
      <c r="F135" s="28">
        <f>1205627-30000-25000-19900</f>
        <v>1130727</v>
      </c>
      <c r="G135" s="38">
        <f>1205627-30000-25000-19900</f>
        <v>1130727</v>
      </c>
      <c r="H135" s="38"/>
      <c r="I135" s="38"/>
    </row>
    <row r="136" spans="1:13" s="24" customFormat="1" ht="56.25">
      <c r="A136" s="20" t="s">
        <v>95</v>
      </c>
      <c r="B136" s="20" t="s">
        <v>96</v>
      </c>
      <c r="C136" s="33" t="s">
        <v>83</v>
      </c>
      <c r="D136" s="27" t="s">
        <v>97</v>
      </c>
      <c r="E136" s="42" t="s">
        <v>98</v>
      </c>
      <c r="F136" s="28">
        <v>382750</v>
      </c>
      <c r="G136" s="38">
        <v>382750</v>
      </c>
      <c r="H136" s="38"/>
      <c r="I136" s="38"/>
    </row>
    <row r="137" spans="1:13" s="24" customFormat="1" ht="56.25">
      <c r="A137" s="20" t="s">
        <v>99</v>
      </c>
      <c r="B137" s="20" t="s">
        <v>81</v>
      </c>
      <c r="C137" s="33" t="s">
        <v>83</v>
      </c>
      <c r="D137" s="27" t="s">
        <v>82</v>
      </c>
      <c r="E137" s="17" t="s">
        <v>10</v>
      </c>
      <c r="F137" s="28">
        <f>SUM(F138:F149)</f>
        <v>15718117</v>
      </c>
      <c r="G137" s="28">
        <f t="shared" ref="G137:I137" si="11">SUM(G138:G149)</f>
        <v>15318217</v>
      </c>
      <c r="H137" s="28">
        <f t="shared" si="11"/>
        <v>0</v>
      </c>
      <c r="I137" s="28">
        <f t="shared" si="11"/>
        <v>399900</v>
      </c>
    </row>
    <row r="138" spans="1:13" s="24" customFormat="1" ht="56.25">
      <c r="A138" s="20"/>
      <c r="B138" s="20"/>
      <c r="C138" s="33"/>
      <c r="D138" s="53"/>
      <c r="E138" s="63" t="s">
        <v>100</v>
      </c>
      <c r="F138" s="28">
        <f>2056596.21+7494.74+0.05</f>
        <v>2064091</v>
      </c>
      <c r="G138" s="38">
        <f>2056596.21+7494.74+0.05</f>
        <v>2064091</v>
      </c>
      <c r="H138" s="38"/>
      <c r="I138" s="38"/>
    </row>
    <row r="139" spans="1:13" s="24" customFormat="1" ht="56.25">
      <c r="A139" s="20"/>
      <c r="B139" s="20"/>
      <c r="C139" s="33"/>
      <c r="D139" s="53"/>
      <c r="E139" s="63" t="s">
        <v>101</v>
      </c>
      <c r="F139" s="28">
        <f>1499167.78+4111.79+0.43</f>
        <v>1503280</v>
      </c>
      <c r="G139" s="38">
        <f>1499167.78+4111.79+0.43</f>
        <v>1503280</v>
      </c>
      <c r="H139" s="38"/>
      <c r="I139" s="38"/>
    </row>
    <row r="140" spans="1:13" s="24" customFormat="1" ht="37.5">
      <c r="A140" s="20"/>
      <c r="B140" s="20"/>
      <c r="C140" s="33"/>
      <c r="D140" s="53"/>
      <c r="E140" s="63" t="s">
        <v>102</v>
      </c>
      <c r="F140" s="60">
        <f>1100020-1000000</f>
        <v>100020</v>
      </c>
      <c r="G140" s="38">
        <f>1100020-1000000</f>
        <v>100020</v>
      </c>
      <c r="H140" s="38"/>
      <c r="I140" s="38"/>
    </row>
    <row r="141" spans="1:13" s="24" customFormat="1" ht="56.25">
      <c r="A141" s="20"/>
      <c r="B141" s="20"/>
      <c r="C141" s="33"/>
      <c r="D141" s="53"/>
      <c r="E141" s="63" t="s">
        <v>103</v>
      </c>
      <c r="F141" s="60">
        <f>38956.27+2126763.13+0.6</f>
        <v>2165720</v>
      </c>
      <c r="G141" s="38">
        <f>38956.27+2126763.13+0.6</f>
        <v>2165720</v>
      </c>
      <c r="H141" s="38"/>
      <c r="I141" s="38"/>
    </row>
    <row r="142" spans="1:13" s="24" customFormat="1" ht="56.25">
      <c r="A142" s="20"/>
      <c r="B142" s="20"/>
      <c r="C142" s="33"/>
      <c r="D142" s="53"/>
      <c r="E142" s="63" t="s">
        <v>104</v>
      </c>
      <c r="F142" s="60">
        <f>1971768.08+7494.74+0.18</f>
        <v>1979263</v>
      </c>
      <c r="G142" s="38">
        <f>1971768.08+7494.74+0.18</f>
        <v>1979263</v>
      </c>
      <c r="H142" s="38"/>
      <c r="I142" s="38"/>
    </row>
    <row r="143" spans="1:13" s="24" customFormat="1" ht="56.25">
      <c r="A143" s="20"/>
      <c r="B143" s="20"/>
      <c r="C143" s="33"/>
      <c r="D143" s="53"/>
      <c r="E143" s="63" t="s">
        <v>105</v>
      </c>
      <c r="F143" s="60">
        <f>1496810.5+4111.98+0.52</f>
        <v>1500923</v>
      </c>
      <c r="G143" s="38">
        <f>1496810.5+4111.98+0.52</f>
        <v>1500923</v>
      </c>
      <c r="H143" s="38"/>
      <c r="I143" s="38"/>
    </row>
    <row r="144" spans="1:13" s="24" customFormat="1" ht="56.25">
      <c r="A144" s="20"/>
      <c r="B144" s="20"/>
      <c r="C144" s="33"/>
      <c r="D144" s="53"/>
      <c r="E144" s="63" t="s">
        <v>106</v>
      </c>
      <c r="F144" s="60">
        <f>1496069.17+4111.98+0.85</f>
        <v>1500182</v>
      </c>
      <c r="G144" s="38">
        <f>1496069.17+4111.98+0.85</f>
        <v>1500182</v>
      </c>
      <c r="H144" s="38"/>
      <c r="I144" s="38"/>
    </row>
    <row r="145" spans="1:10" s="24" customFormat="1" ht="56.25">
      <c r="A145" s="20"/>
      <c r="B145" s="20"/>
      <c r="C145" s="33"/>
      <c r="D145" s="53"/>
      <c r="E145" s="63" t="s">
        <v>107</v>
      </c>
      <c r="F145" s="60">
        <f>1499053.98+4111.79+0.23</f>
        <v>1503166</v>
      </c>
      <c r="G145" s="38">
        <f>1499053.98+4111.79+0.23</f>
        <v>1503166</v>
      </c>
      <c r="H145" s="38"/>
      <c r="I145" s="38"/>
    </row>
    <row r="146" spans="1:10" s="24" customFormat="1" ht="56.25">
      <c r="A146" s="20"/>
      <c r="B146" s="20"/>
      <c r="C146" s="33"/>
      <c r="D146" s="53"/>
      <c r="E146" s="63" t="s">
        <v>108</v>
      </c>
      <c r="F146" s="60">
        <f>1444898.12+3747.36+0.52</f>
        <v>1448646.0000000002</v>
      </c>
      <c r="G146" s="38">
        <f>1444898.12+3747.36+0.52</f>
        <v>1448646.0000000002</v>
      </c>
      <c r="H146" s="38"/>
      <c r="I146" s="38"/>
    </row>
    <row r="147" spans="1:10" s="24" customFormat="1" ht="37.5">
      <c r="A147" s="20"/>
      <c r="B147" s="20"/>
      <c r="C147" s="33"/>
      <c r="D147" s="53"/>
      <c r="E147" s="63" t="s">
        <v>109</v>
      </c>
      <c r="F147" s="60">
        <f>1100020-1000000</f>
        <v>100020</v>
      </c>
      <c r="G147" s="38">
        <f>1100020-1000000</f>
        <v>100020</v>
      </c>
      <c r="H147" s="38"/>
      <c r="I147" s="38"/>
    </row>
    <row r="148" spans="1:10" s="24" customFormat="1" ht="56.25">
      <c r="A148" s="20"/>
      <c r="B148" s="20"/>
      <c r="C148" s="33"/>
      <c r="D148" s="53"/>
      <c r="E148" s="63" t="s">
        <v>110</v>
      </c>
      <c r="F148" s="60">
        <f>1449158.58+3747.36+0.06</f>
        <v>1452906.0000000002</v>
      </c>
      <c r="G148" s="38">
        <f>1449158.58+3747.36+0.06</f>
        <v>1452906.0000000002</v>
      </c>
      <c r="H148" s="38"/>
      <c r="I148" s="38"/>
      <c r="J148" s="73"/>
    </row>
    <row r="149" spans="1:10" s="24" customFormat="1" ht="75">
      <c r="A149" s="20"/>
      <c r="B149" s="20"/>
      <c r="C149" s="33"/>
      <c r="D149" s="53"/>
      <c r="E149" s="63" t="s">
        <v>283</v>
      </c>
      <c r="F149" s="60">
        <v>399900</v>
      </c>
      <c r="G149" s="38"/>
      <c r="H149" s="38"/>
      <c r="I149" s="38">
        <v>399900</v>
      </c>
      <c r="J149" s="50" t="s">
        <v>284</v>
      </c>
    </row>
    <row r="150" spans="1:10" s="24" customFormat="1" ht="75">
      <c r="A150" s="20" t="s">
        <v>243</v>
      </c>
      <c r="B150" s="20" t="s">
        <v>206</v>
      </c>
      <c r="C150" s="33" t="s">
        <v>83</v>
      </c>
      <c r="D150" s="53" t="s">
        <v>244</v>
      </c>
      <c r="E150" s="17" t="s">
        <v>10</v>
      </c>
      <c r="F150" s="60">
        <f>SUM(F151:F152)</f>
        <v>330000</v>
      </c>
      <c r="G150" s="38">
        <f t="shared" ref="G150:I150" si="12">SUM(G151:G152)</f>
        <v>0</v>
      </c>
      <c r="H150" s="38">
        <f t="shared" si="12"/>
        <v>0</v>
      </c>
      <c r="I150" s="38">
        <f t="shared" si="12"/>
        <v>330000</v>
      </c>
      <c r="J150" s="73"/>
    </row>
    <row r="151" spans="1:10" s="24" customFormat="1" ht="75">
      <c r="A151" s="20"/>
      <c r="B151" s="20"/>
      <c r="C151" s="33"/>
      <c r="D151" s="53"/>
      <c r="E151" s="27" t="s">
        <v>318</v>
      </c>
      <c r="F151" s="60">
        <v>155000</v>
      </c>
      <c r="G151" s="38"/>
      <c r="H151" s="38"/>
      <c r="I151" s="38">
        <v>155000</v>
      </c>
      <c r="J151" s="73"/>
    </row>
    <row r="152" spans="1:10" s="24" customFormat="1" ht="75">
      <c r="A152" s="20"/>
      <c r="B152" s="20"/>
      <c r="C152" s="33"/>
      <c r="D152" s="53"/>
      <c r="E152" s="27" t="s">
        <v>248</v>
      </c>
      <c r="F152" s="60">
        <v>175000</v>
      </c>
      <c r="G152" s="38"/>
      <c r="H152" s="38"/>
      <c r="I152" s="38">
        <v>175000</v>
      </c>
      <c r="J152" s="73"/>
    </row>
    <row r="153" spans="1:10" s="24" customFormat="1" ht="112.5">
      <c r="A153" s="44">
        <v>1516050</v>
      </c>
      <c r="B153" s="33" t="s">
        <v>111</v>
      </c>
      <c r="C153" s="33" t="s">
        <v>83</v>
      </c>
      <c r="D153" s="27" t="s">
        <v>112</v>
      </c>
      <c r="E153" s="17" t="s">
        <v>10</v>
      </c>
      <c r="F153" s="60">
        <f>F154</f>
        <v>1194873</v>
      </c>
      <c r="G153" s="38">
        <f>G154</f>
        <v>1194873</v>
      </c>
      <c r="H153" s="38"/>
      <c r="I153" s="38"/>
    </row>
    <row r="154" spans="1:10" s="24" customFormat="1" ht="75">
      <c r="A154" s="20"/>
      <c r="B154" s="20"/>
      <c r="C154" s="33"/>
      <c r="D154" s="53"/>
      <c r="E154" s="58" t="s">
        <v>113</v>
      </c>
      <c r="F154" s="60">
        <v>1194873</v>
      </c>
      <c r="G154" s="38">
        <v>1194873</v>
      </c>
      <c r="H154" s="38"/>
      <c r="I154" s="38"/>
    </row>
    <row r="155" spans="1:10" s="24" customFormat="1" ht="37.5">
      <c r="A155" s="20" t="s">
        <v>198</v>
      </c>
      <c r="B155" s="20" t="s">
        <v>199</v>
      </c>
      <c r="C155" s="33" t="s">
        <v>137</v>
      </c>
      <c r="D155" s="46" t="s">
        <v>200</v>
      </c>
      <c r="E155" s="17" t="s">
        <v>10</v>
      </c>
      <c r="F155" s="60">
        <f>SUM(F156:F161)</f>
        <v>13512003.620000001</v>
      </c>
      <c r="G155" s="38">
        <f>SUM(G156:G161)</f>
        <v>13055049.620000001</v>
      </c>
      <c r="H155" s="38">
        <f>SUM(H156:H161)</f>
        <v>0</v>
      </c>
      <c r="I155" s="38">
        <f>SUM(I156:I161)</f>
        <v>456954</v>
      </c>
    </row>
    <row r="156" spans="1:10" s="24" customFormat="1" ht="93.75">
      <c r="A156" s="20"/>
      <c r="B156" s="20"/>
      <c r="C156" s="33"/>
      <c r="D156" s="53"/>
      <c r="E156" s="27" t="s">
        <v>260</v>
      </c>
      <c r="F156" s="28">
        <v>4634170</v>
      </c>
      <c r="G156" s="38">
        <f>4634170-456954</f>
        <v>4177216</v>
      </c>
      <c r="H156" s="38"/>
      <c r="I156" s="38">
        <v>456954</v>
      </c>
    </row>
    <row r="157" spans="1:10" s="24" customFormat="1" ht="56.25">
      <c r="A157" s="20"/>
      <c r="B157" s="20"/>
      <c r="C157" s="33"/>
      <c r="D157" s="53"/>
      <c r="E157" s="74" t="s">
        <v>203</v>
      </c>
      <c r="F157" s="28">
        <f>1392820-13929</f>
        <v>1378891</v>
      </c>
      <c r="G157" s="38">
        <f>1392820-13929</f>
        <v>1378891</v>
      </c>
      <c r="H157" s="38"/>
      <c r="I157" s="38"/>
    </row>
    <row r="158" spans="1:10" s="24" customFormat="1" ht="56.25">
      <c r="A158" s="20"/>
      <c r="B158" s="20"/>
      <c r="C158" s="33"/>
      <c r="D158" s="53"/>
      <c r="E158" s="74" t="s">
        <v>204</v>
      </c>
      <c r="F158" s="28">
        <f>3374260+1027000-276446</f>
        <v>4124814</v>
      </c>
      <c r="G158" s="38">
        <f>3374260+1027000-276446</f>
        <v>4124814</v>
      </c>
      <c r="H158" s="38"/>
      <c r="I158" s="38"/>
    </row>
    <row r="159" spans="1:10" s="24" customFormat="1" ht="75">
      <c r="A159" s="20"/>
      <c r="B159" s="20"/>
      <c r="C159" s="33"/>
      <c r="D159" s="53"/>
      <c r="E159" s="79" t="s">
        <v>319</v>
      </c>
      <c r="F159" s="28">
        <f>1492000-400</f>
        <v>1491600</v>
      </c>
      <c r="G159" s="38">
        <f>1492000-400</f>
        <v>1491600</v>
      </c>
      <c r="H159" s="38"/>
      <c r="I159" s="38"/>
    </row>
    <row r="160" spans="1:10" s="24" customFormat="1" ht="56.25">
      <c r="A160" s="20"/>
      <c r="B160" s="20"/>
      <c r="C160" s="33"/>
      <c r="D160" s="53"/>
      <c r="E160" s="79" t="s">
        <v>251</v>
      </c>
      <c r="F160" s="28">
        <f>622000-14880</f>
        <v>607120</v>
      </c>
      <c r="G160" s="38">
        <f>622000-14880</f>
        <v>607120</v>
      </c>
      <c r="H160" s="38"/>
      <c r="I160" s="38"/>
    </row>
    <row r="161" spans="1:10" s="24" customFormat="1" ht="56.25">
      <c r="A161" s="20"/>
      <c r="B161" s="20"/>
      <c r="C161" s="33"/>
      <c r="D161" s="53"/>
      <c r="E161" s="79" t="s">
        <v>252</v>
      </c>
      <c r="F161" s="28">
        <f>1290000-14591.38</f>
        <v>1275408.6200000001</v>
      </c>
      <c r="G161" s="38">
        <f>1290000-14591.38</f>
        <v>1275408.6200000001</v>
      </c>
      <c r="H161" s="38"/>
      <c r="I161" s="38"/>
    </row>
    <row r="162" spans="1:10" s="24" customFormat="1" ht="56.25">
      <c r="A162" s="44">
        <v>1517370</v>
      </c>
      <c r="B162" s="33" t="s">
        <v>114</v>
      </c>
      <c r="C162" s="33" t="s">
        <v>115</v>
      </c>
      <c r="D162" s="27" t="s">
        <v>116</v>
      </c>
      <c r="E162" s="17" t="s">
        <v>10</v>
      </c>
      <c r="F162" s="60">
        <f>SUM(F163:F164)</f>
        <v>27703591</v>
      </c>
      <c r="G162" s="38">
        <f>SUM(G163:G164)</f>
        <v>25703591</v>
      </c>
      <c r="H162" s="38">
        <f>SUM(H163:H164)</f>
        <v>0</v>
      </c>
      <c r="I162" s="38">
        <f>SUM(I163:I164)</f>
        <v>2000000</v>
      </c>
      <c r="J162" s="69"/>
    </row>
    <row r="163" spans="1:10" s="24" customFormat="1" ht="37.5">
      <c r="A163" s="20"/>
      <c r="B163" s="20"/>
      <c r="C163" s="33"/>
      <c r="D163" s="53"/>
      <c r="E163" s="63" t="s">
        <v>189</v>
      </c>
      <c r="F163" s="60">
        <f>7664771+2000000+17920251</f>
        <v>27585022</v>
      </c>
      <c r="G163" s="38">
        <f>7664771+17920251</f>
        <v>25585022</v>
      </c>
      <c r="H163" s="38"/>
      <c r="I163" s="38">
        <v>2000000</v>
      </c>
      <c r="J163" s="69"/>
    </row>
    <row r="164" spans="1:10" s="24" customFormat="1" ht="75">
      <c r="A164" s="20"/>
      <c r="B164" s="20"/>
      <c r="C164" s="33"/>
      <c r="D164" s="53"/>
      <c r="E164" s="46" t="s">
        <v>117</v>
      </c>
      <c r="F164" s="60">
        <v>118569</v>
      </c>
      <c r="G164" s="38">
        <v>118569</v>
      </c>
      <c r="H164" s="38"/>
      <c r="I164" s="38"/>
    </row>
    <row r="165" spans="1:10" s="24" customFormat="1" ht="131.25">
      <c r="A165" s="20" t="s">
        <v>302</v>
      </c>
      <c r="B165" s="20" t="s">
        <v>267</v>
      </c>
      <c r="C165" s="33" t="s">
        <v>115</v>
      </c>
      <c r="D165" s="27" t="s">
        <v>266</v>
      </c>
      <c r="E165" s="65" t="s">
        <v>10</v>
      </c>
      <c r="F165" s="60">
        <f>F166</f>
        <v>550000</v>
      </c>
      <c r="G165" s="38">
        <f>G166</f>
        <v>550000</v>
      </c>
      <c r="H165" s="38"/>
      <c r="I165" s="38"/>
    </row>
    <row r="166" spans="1:10" s="24" customFormat="1" ht="168.75">
      <c r="A166" s="20"/>
      <c r="B166" s="20"/>
      <c r="C166" s="33"/>
      <c r="D166" s="53"/>
      <c r="E166" s="79" t="s">
        <v>303</v>
      </c>
      <c r="F166" s="60">
        <v>550000</v>
      </c>
      <c r="G166" s="38">
        <v>550000</v>
      </c>
      <c r="H166" s="38"/>
      <c r="I166" s="38"/>
    </row>
    <row r="167" spans="1:10" s="24" customFormat="1">
      <c r="A167" s="20" t="s">
        <v>118</v>
      </c>
      <c r="B167" s="20" t="s">
        <v>119</v>
      </c>
      <c r="C167" s="33" t="s">
        <v>120</v>
      </c>
      <c r="D167" s="27" t="s">
        <v>121</v>
      </c>
      <c r="E167" s="17" t="s">
        <v>10</v>
      </c>
      <c r="F167" s="60">
        <f>SUM(F168:F173)</f>
        <v>6451791</v>
      </c>
      <c r="G167" s="38">
        <f>SUM(G168:G173)</f>
        <v>6451791</v>
      </c>
      <c r="H167" s="38"/>
      <c r="I167" s="38"/>
    </row>
    <row r="168" spans="1:10" s="24" customFormat="1" ht="56.25">
      <c r="A168" s="20"/>
      <c r="B168" s="20"/>
      <c r="C168" s="33"/>
      <c r="D168" s="53"/>
      <c r="E168" s="27" t="s">
        <v>124</v>
      </c>
      <c r="F168" s="60">
        <v>15339</v>
      </c>
      <c r="G168" s="38">
        <v>15339</v>
      </c>
      <c r="H168" s="38"/>
      <c r="I168" s="38"/>
    </row>
    <row r="169" spans="1:10" s="24" customFormat="1" ht="56.25">
      <c r="A169" s="20"/>
      <c r="B169" s="20"/>
      <c r="C169" s="33"/>
      <c r="D169" s="53"/>
      <c r="E169" s="27" t="s">
        <v>125</v>
      </c>
      <c r="F169" s="60">
        <v>73574</v>
      </c>
      <c r="G169" s="38">
        <v>73574</v>
      </c>
      <c r="H169" s="38"/>
      <c r="I169" s="38"/>
    </row>
    <row r="170" spans="1:10" s="24" customFormat="1" ht="56.25">
      <c r="A170" s="20"/>
      <c r="B170" s="20"/>
      <c r="C170" s="33"/>
      <c r="D170" s="53"/>
      <c r="E170" s="27" t="s">
        <v>126</v>
      </c>
      <c r="F170" s="60">
        <v>14952</v>
      </c>
      <c r="G170" s="38">
        <v>14952</v>
      </c>
      <c r="H170" s="38"/>
      <c r="I170" s="38"/>
    </row>
    <row r="171" spans="1:10" s="24" customFormat="1" ht="56.25">
      <c r="A171" s="20"/>
      <c r="B171" s="20"/>
      <c r="C171" s="33"/>
      <c r="D171" s="53"/>
      <c r="E171" s="27" t="s">
        <v>127</v>
      </c>
      <c r="F171" s="60">
        <v>17357</v>
      </c>
      <c r="G171" s="38">
        <v>17357</v>
      </c>
      <c r="H171" s="38"/>
      <c r="I171" s="38"/>
    </row>
    <row r="172" spans="1:10" s="24" customFormat="1" ht="93.75">
      <c r="A172" s="20"/>
      <c r="B172" s="20"/>
      <c r="C172" s="33"/>
      <c r="D172" s="53"/>
      <c r="E172" s="63" t="s">
        <v>122</v>
      </c>
      <c r="F172" s="60">
        <f>4787741-966200</f>
        <v>3821541</v>
      </c>
      <c r="G172" s="38">
        <f>4787741-966200</f>
        <v>3821541</v>
      </c>
      <c r="H172" s="38"/>
      <c r="I172" s="38"/>
    </row>
    <row r="173" spans="1:10" s="24" customFormat="1" ht="75">
      <c r="A173" s="20"/>
      <c r="B173" s="20"/>
      <c r="C173" s="33"/>
      <c r="D173" s="53"/>
      <c r="E173" s="63" t="s">
        <v>123</v>
      </c>
      <c r="F173" s="60">
        <f>2811128-302100</f>
        <v>2509028</v>
      </c>
      <c r="G173" s="38">
        <f>2811128-302100</f>
        <v>2509028</v>
      </c>
      <c r="H173" s="38"/>
      <c r="I173" s="38"/>
    </row>
    <row r="174" spans="1:10" s="24" customFormat="1" ht="75">
      <c r="A174" s="20" t="s">
        <v>128</v>
      </c>
      <c r="B174" s="20" t="s">
        <v>62</v>
      </c>
      <c r="C174" s="33" t="s">
        <v>64</v>
      </c>
      <c r="D174" s="27" t="s">
        <v>63</v>
      </c>
      <c r="E174" s="17" t="s">
        <v>10</v>
      </c>
      <c r="F174" s="60">
        <f>SUM(F175:F177)</f>
        <v>11920078</v>
      </c>
      <c r="G174" s="38">
        <f t="shared" ref="G174:I174" si="13">SUM(G175:G177)</f>
        <v>11557178</v>
      </c>
      <c r="H174" s="38">
        <f t="shared" si="13"/>
        <v>362900</v>
      </c>
      <c r="I174" s="38">
        <f t="shared" si="13"/>
        <v>0</v>
      </c>
    </row>
    <row r="175" spans="1:10" s="24" customFormat="1" ht="112.5">
      <c r="A175" s="20"/>
      <c r="B175" s="20"/>
      <c r="C175" s="33"/>
      <c r="D175" s="53"/>
      <c r="E175" s="63" t="s">
        <v>129</v>
      </c>
      <c r="F175" s="28">
        <f>3707457-49000-40000-42500</f>
        <v>3575957</v>
      </c>
      <c r="G175" s="38">
        <f>3707457-49000-40000-42500</f>
        <v>3575957</v>
      </c>
      <c r="H175" s="38"/>
      <c r="I175" s="38"/>
    </row>
    <row r="176" spans="1:10" s="24" customFormat="1" ht="112.5">
      <c r="A176" s="20"/>
      <c r="B176" s="20"/>
      <c r="C176" s="33"/>
      <c r="D176" s="27"/>
      <c r="E176" s="63" t="s">
        <v>130</v>
      </c>
      <c r="F176" s="60">
        <f>1520477-282200</f>
        <v>1238277</v>
      </c>
      <c r="G176" s="38">
        <f>1520477-282200</f>
        <v>1238277</v>
      </c>
      <c r="H176" s="38"/>
      <c r="I176" s="38"/>
    </row>
    <row r="177" spans="1:13" s="24" customFormat="1" ht="112.5">
      <c r="A177" s="20"/>
      <c r="B177" s="20"/>
      <c r="C177" s="33"/>
      <c r="D177" s="27"/>
      <c r="E177" s="27" t="s">
        <v>131</v>
      </c>
      <c r="F177" s="60">
        <v>7105844</v>
      </c>
      <c r="G177" s="38">
        <f>2384785+4358159</f>
        <v>6742944</v>
      </c>
      <c r="H177" s="38">
        <v>362900</v>
      </c>
      <c r="I177" s="38"/>
    </row>
    <row r="178" spans="1:13" s="24" customFormat="1">
      <c r="A178" s="43" t="s">
        <v>285</v>
      </c>
      <c r="B178" s="20" t="s">
        <v>28</v>
      </c>
      <c r="C178" s="20" t="s">
        <v>28</v>
      </c>
      <c r="D178" s="93" t="s">
        <v>287</v>
      </c>
      <c r="E178" s="94"/>
      <c r="F178" s="22">
        <f>F179</f>
        <v>28500</v>
      </c>
      <c r="G178" s="37">
        <f>G179</f>
        <v>28500</v>
      </c>
      <c r="H178" s="39"/>
      <c r="I178" s="39"/>
    </row>
    <row r="179" spans="1:13" s="24" customFormat="1" ht="18" customHeight="1">
      <c r="A179" s="43" t="s">
        <v>286</v>
      </c>
      <c r="B179" s="20" t="s">
        <v>28</v>
      </c>
      <c r="C179" s="20" t="s">
        <v>28</v>
      </c>
      <c r="D179" s="93" t="s">
        <v>287</v>
      </c>
      <c r="E179" s="94"/>
      <c r="F179" s="22">
        <f>F180</f>
        <v>28500</v>
      </c>
      <c r="G179" s="22">
        <f>G180</f>
        <v>28500</v>
      </c>
      <c r="H179" s="39"/>
      <c r="I179" s="39"/>
      <c r="J179" s="5"/>
      <c r="K179" s="5"/>
      <c r="L179" s="5"/>
      <c r="M179" s="5"/>
    </row>
    <row r="180" spans="1:13" s="24" customFormat="1" ht="31.5">
      <c r="A180" s="20" t="s">
        <v>288</v>
      </c>
      <c r="B180" s="20" t="s">
        <v>289</v>
      </c>
      <c r="C180" s="83" t="s">
        <v>115</v>
      </c>
      <c r="D180" s="84" t="s">
        <v>290</v>
      </c>
      <c r="E180" s="90" t="s">
        <v>89</v>
      </c>
      <c r="F180" s="60">
        <v>28500</v>
      </c>
      <c r="G180" s="38">
        <v>28500</v>
      </c>
      <c r="H180" s="38"/>
      <c r="I180" s="38"/>
    </row>
    <row r="181" spans="1:13" s="24" customFormat="1">
      <c r="A181" s="43" t="s">
        <v>27</v>
      </c>
      <c r="B181" s="20" t="s">
        <v>28</v>
      </c>
      <c r="C181" s="20" t="s">
        <v>28</v>
      </c>
      <c r="D181" s="93" t="s">
        <v>29</v>
      </c>
      <c r="E181" s="94"/>
      <c r="F181" s="22">
        <f>F182</f>
        <v>78145443</v>
      </c>
      <c r="G181" s="37">
        <f>G182</f>
        <v>78145443</v>
      </c>
      <c r="H181" s="39"/>
      <c r="I181" s="39"/>
    </row>
    <row r="182" spans="1:13" s="24" customFormat="1">
      <c r="A182" s="43" t="s">
        <v>30</v>
      </c>
      <c r="B182" s="20" t="s">
        <v>28</v>
      </c>
      <c r="C182" s="20" t="s">
        <v>28</v>
      </c>
      <c r="D182" s="93" t="s">
        <v>29</v>
      </c>
      <c r="E182" s="94"/>
      <c r="F182" s="22">
        <f>F183+F186</f>
        <v>78145443</v>
      </c>
      <c r="G182" s="37">
        <f>G183+G186</f>
        <v>78145443</v>
      </c>
      <c r="H182" s="39"/>
      <c r="I182" s="39"/>
      <c r="J182" s="5"/>
      <c r="K182" s="5"/>
      <c r="L182" s="5"/>
      <c r="M182" s="5"/>
    </row>
    <row r="183" spans="1:13" ht="37.5">
      <c r="A183" s="20" t="s">
        <v>152</v>
      </c>
      <c r="B183" s="44" t="s">
        <v>153</v>
      </c>
      <c r="C183" s="66" t="s">
        <v>33</v>
      </c>
      <c r="D183" s="46" t="s">
        <v>154</v>
      </c>
      <c r="E183" s="46" t="s">
        <v>35</v>
      </c>
      <c r="F183" s="28">
        <f>F184+F185</f>
        <v>2083500</v>
      </c>
      <c r="G183" s="28">
        <f>G184+G185</f>
        <v>2083500</v>
      </c>
      <c r="H183" s="38"/>
      <c r="I183" s="38"/>
      <c r="J183" s="24"/>
      <c r="K183" s="24"/>
      <c r="L183" s="24"/>
      <c r="M183" s="24"/>
    </row>
    <row r="184" spans="1:13" s="24" customFormat="1" ht="75">
      <c r="A184" s="26"/>
      <c r="B184" s="31"/>
      <c r="C184" s="70"/>
      <c r="D184" s="71"/>
      <c r="E184" s="47" t="s">
        <v>132</v>
      </c>
      <c r="F184" s="29">
        <v>1800000</v>
      </c>
      <c r="G184" s="39">
        <v>1800000</v>
      </c>
      <c r="H184" s="39"/>
      <c r="I184" s="39"/>
    </row>
    <row r="185" spans="1:13" s="24" customFormat="1" ht="112.5">
      <c r="A185" s="26"/>
      <c r="B185" s="31"/>
      <c r="C185" s="70"/>
      <c r="D185" s="71"/>
      <c r="E185" s="47" t="s">
        <v>316</v>
      </c>
      <c r="F185" s="29">
        <v>283500</v>
      </c>
      <c r="G185" s="39">
        <v>283500</v>
      </c>
      <c r="H185" s="39"/>
      <c r="I185" s="39"/>
    </row>
    <row r="186" spans="1:13" s="24" customFormat="1" ht="112.5">
      <c r="A186" s="20" t="s">
        <v>31</v>
      </c>
      <c r="B186" s="44" t="s">
        <v>32</v>
      </c>
      <c r="C186" s="45" t="s">
        <v>33</v>
      </c>
      <c r="D186" s="46" t="s">
        <v>34</v>
      </c>
      <c r="E186" s="46" t="s">
        <v>35</v>
      </c>
      <c r="F186" s="28">
        <f>F188+F189+F190+F191+F192+F193+F194</f>
        <v>76061943</v>
      </c>
      <c r="G186" s="28">
        <f>G188+G189+G190+G191+G192+G193+G194</f>
        <v>76061943</v>
      </c>
      <c r="H186" s="39"/>
      <c r="I186" s="39"/>
    </row>
    <row r="187" spans="1:13" s="24" customFormat="1">
      <c r="A187" s="20"/>
      <c r="B187" s="44"/>
      <c r="C187" s="45"/>
      <c r="D187" s="46"/>
      <c r="E187" s="46" t="s">
        <v>36</v>
      </c>
      <c r="F187" s="29"/>
      <c r="G187" s="39"/>
      <c r="H187" s="39"/>
      <c r="I187" s="39"/>
    </row>
    <row r="188" spans="1:13" s="24" customFormat="1" ht="112.5">
      <c r="A188" s="26"/>
      <c r="B188" s="26"/>
      <c r="C188" s="31"/>
      <c r="D188" s="30"/>
      <c r="E188" s="47" t="s">
        <v>37</v>
      </c>
      <c r="F188" s="29">
        <f>1300000+6800000+1902000+4750000+1943963+2204400+5202404+4100000+6000000+10044456+5757500-172780+3000000</f>
        <v>52831943</v>
      </c>
      <c r="G188" s="39">
        <f>1300000+6800000+1902000+4750000+1943963+2204400+5202404+4100000+6000000+10044456+5757500-172780+3000000</f>
        <v>52831943</v>
      </c>
      <c r="H188" s="39"/>
      <c r="I188" s="39"/>
    </row>
    <row r="189" spans="1:13" s="24" customFormat="1" ht="75">
      <c r="A189" s="26"/>
      <c r="B189" s="26"/>
      <c r="C189" s="31"/>
      <c r="D189" s="30"/>
      <c r="E189" s="47" t="s">
        <v>132</v>
      </c>
      <c r="F189" s="29">
        <f>5000000+3200000+8000000</f>
        <v>16200000</v>
      </c>
      <c r="G189" s="39">
        <f>5000000+3200000+8000000</f>
        <v>16200000</v>
      </c>
      <c r="H189" s="39"/>
      <c r="I189" s="39"/>
    </row>
    <row r="190" spans="1:13" s="24" customFormat="1" ht="56.25">
      <c r="A190" s="26"/>
      <c r="B190" s="26"/>
      <c r="C190" s="31"/>
      <c r="D190" s="30"/>
      <c r="E190" s="47" t="s">
        <v>133</v>
      </c>
      <c r="F190" s="29">
        <v>1550000</v>
      </c>
      <c r="G190" s="39">
        <v>1550000</v>
      </c>
      <c r="H190" s="39"/>
      <c r="I190" s="39"/>
    </row>
    <row r="191" spans="1:13" s="24" customFormat="1" ht="56.25">
      <c r="A191" s="26"/>
      <c r="B191" s="26"/>
      <c r="C191" s="31"/>
      <c r="D191" s="30"/>
      <c r="E191" s="47" t="s">
        <v>145</v>
      </c>
      <c r="F191" s="29">
        <v>950000</v>
      </c>
      <c r="G191" s="39">
        <v>950000</v>
      </c>
      <c r="H191" s="39"/>
      <c r="I191" s="39"/>
      <c r="J191" s="5"/>
      <c r="K191" s="5"/>
      <c r="L191" s="5"/>
      <c r="M191" s="5"/>
    </row>
    <row r="192" spans="1:13" s="24" customFormat="1" ht="56.25">
      <c r="A192" s="26"/>
      <c r="B192" s="26"/>
      <c r="C192" s="31"/>
      <c r="D192" s="30"/>
      <c r="E192" s="47" t="s">
        <v>296</v>
      </c>
      <c r="F192" s="29">
        <v>1000000</v>
      </c>
      <c r="G192" s="39">
        <v>1000000</v>
      </c>
      <c r="H192" s="39"/>
      <c r="I192" s="39"/>
      <c r="J192" s="5"/>
      <c r="K192" s="5"/>
      <c r="L192" s="5"/>
      <c r="M192" s="5"/>
    </row>
    <row r="193" spans="1:13" s="24" customFormat="1" ht="56.25">
      <c r="A193" s="26"/>
      <c r="B193" s="26"/>
      <c r="C193" s="31"/>
      <c r="D193" s="30"/>
      <c r="E193" s="47" t="s">
        <v>317</v>
      </c>
      <c r="F193" s="29">
        <v>2700000</v>
      </c>
      <c r="G193" s="39">
        <v>2700000</v>
      </c>
      <c r="H193" s="39"/>
      <c r="I193" s="39"/>
      <c r="J193" s="5"/>
      <c r="K193" s="5"/>
      <c r="L193" s="5"/>
      <c r="M193" s="5"/>
    </row>
    <row r="194" spans="1:13" s="24" customFormat="1" ht="75">
      <c r="A194" s="26"/>
      <c r="B194" s="26"/>
      <c r="C194" s="31"/>
      <c r="D194" s="30"/>
      <c r="E194" s="47" t="s">
        <v>327</v>
      </c>
      <c r="F194" s="29">
        <v>830000</v>
      </c>
      <c r="G194" s="39">
        <v>830000</v>
      </c>
      <c r="H194" s="39"/>
      <c r="I194" s="39"/>
      <c r="J194" s="5"/>
      <c r="K194" s="5"/>
      <c r="L194" s="5"/>
      <c r="M194" s="5"/>
    </row>
    <row r="195" spans="1:13" ht="21.6" customHeight="1">
      <c r="A195" s="25"/>
      <c r="B195" s="18"/>
      <c r="C195" s="18"/>
      <c r="D195" s="2"/>
      <c r="E195" s="13" t="s">
        <v>0</v>
      </c>
      <c r="F195" s="32">
        <f>F15+F38+F63+F69+F72+F75+F133+F178+F181</f>
        <v>251673111.13999999</v>
      </c>
      <c r="G195" s="32">
        <f>G15+G38+G63+G69+G72+G75+G133+G178+G181</f>
        <v>245704357.13999999</v>
      </c>
      <c r="H195" s="32">
        <f>H15+H38+H63+H69+H72+H75+H133+H178+H181</f>
        <v>362900</v>
      </c>
      <c r="I195" s="32">
        <f>I15+I38+I63+I69+I72+I75+I133+I178+I181</f>
        <v>5605854</v>
      </c>
      <c r="J195" s="21"/>
      <c r="K195" s="21"/>
      <c r="L195" s="21"/>
      <c r="M195" s="21"/>
    </row>
    <row r="196" spans="1:13" s="21" customFormat="1">
      <c r="A196" s="5"/>
      <c r="B196" s="4"/>
      <c r="C196" s="4"/>
      <c r="D196" s="5"/>
      <c r="E196" s="14"/>
      <c r="F196" s="15"/>
      <c r="G196" s="40"/>
      <c r="H196" s="40"/>
      <c r="I196" s="40"/>
      <c r="J196" s="5"/>
      <c r="K196" s="5"/>
      <c r="L196" s="5"/>
      <c r="M196" s="5"/>
    </row>
    <row r="197" spans="1:13">
      <c r="A197" s="23"/>
      <c r="B197" s="21" t="s">
        <v>20</v>
      </c>
      <c r="C197" s="21"/>
      <c r="D197" s="21"/>
      <c r="E197" s="21"/>
      <c r="F197" s="21"/>
    </row>
    <row r="198" spans="1:13">
      <c r="E198" s="72" t="s">
        <v>304</v>
      </c>
      <c r="F198" s="1">
        <v>238010394.12</v>
      </c>
      <c r="G198" s="41">
        <v>232041640.12</v>
      </c>
      <c r="H198" s="41">
        <v>362900</v>
      </c>
      <c r="I198" s="41">
        <v>5605854</v>
      </c>
    </row>
    <row r="199" spans="1:13">
      <c r="E199" s="72" t="s">
        <v>305</v>
      </c>
      <c r="F199" s="64">
        <f>F195-F198</f>
        <v>13662717.019999981</v>
      </c>
      <c r="G199" s="64">
        <f t="shared" ref="G199" si="14">G195-G198</f>
        <v>13662717.019999981</v>
      </c>
      <c r="H199" s="64">
        <f t="shared" ref="H199" si="15">H195-H198</f>
        <v>0</v>
      </c>
      <c r="I199" s="64">
        <f t="shared" ref="I199" si="16">I195-I198</f>
        <v>0</v>
      </c>
    </row>
    <row r="200" spans="1:13">
      <c r="E200" s="72"/>
      <c r="F200" s="1"/>
      <c r="G200" s="41"/>
      <c r="H200" s="41"/>
      <c r="I200" s="41"/>
    </row>
    <row r="201" spans="1:13">
      <c r="F201" s="1">
        <v>154997902</v>
      </c>
      <c r="G201" s="41">
        <v>128506460</v>
      </c>
      <c r="H201" s="41">
        <v>0</v>
      </c>
      <c r="I201" s="41">
        <v>26491442</v>
      </c>
    </row>
    <row r="202" spans="1:13">
      <c r="F202" s="1"/>
      <c r="G202" s="41"/>
      <c r="I202" s="41"/>
    </row>
    <row r="203" spans="1:13">
      <c r="F203" s="1">
        <f>F195+F201</f>
        <v>406671013.13999999</v>
      </c>
      <c r="G203" s="1">
        <f t="shared" ref="G203:I203" si="17">G195+G201</f>
        <v>374210817.13999999</v>
      </c>
      <c r="H203" s="1">
        <f t="shared" si="17"/>
        <v>362900</v>
      </c>
      <c r="I203" s="1">
        <f t="shared" si="17"/>
        <v>32097296</v>
      </c>
    </row>
    <row r="204" spans="1:13">
      <c r="F204" s="1">
        <f>[1]Аркуш1!$K$223</f>
        <v>406671013.13999999</v>
      </c>
      <c r="G204" s="41">
        <f>'[2]2024'!$E$22</f>
        <v>374210817.13999999</v>
      </c>
      <c r="H204" s="41"/>
      <c r="I204" s="41"/>
    </row>
    <row r="205" spans="1:13">
      <c r="F205" s="1">
        <f>F203-F204</f>
        <v>0</v>
      </c>
      <c r="G205" s="41">
        <f>G203-G204</f>
        <v>0</v>
      </c>
    </row>
  </sheetData>
  <mergeCells count="31">
    <mergeCell ref="D38:E38"/>
    <mergeCell ref="D39:E39"/>
    <mergeCell ref="D75:E75"/>
    <mergeCell ref="D15:E15"/>
    <mergeCell ref="D16:E16"/>
    <mergeCell ref="D63:E63"/>
    <mergeCell ref="D64:E64"/>
    <mergeCell ref="D66:E66"/>
    <mergeCell ref="D68:E68"/>
    <mergeCell ref="D72:E72"/>
    <mergeCell ref="D73:E73"/>
    <mergeCell ref="D69:E69"/>
    <mergeCell ref="D70:E70"/>
    <mergeCell ref="D67:E67"/>
    <mergeCell ref="A8:B8"/>
    <mergeCell ref="A9:B9"/>
    <mergeCell ref="A10:I10"/>
    <mergeCell ref="A12:A13"/>
    <mergeCell ref="B12:B13"/>
    <mergeCell ref="C12:C13"/>
    <mergeCell ref="D12:D13"/>
    <mergeCell ref="E12:E13"/>
    <mergeCell ref="F12:F13"/>
    <mergeCell ref="G12:I12"/>
    <mergeCell ref="D76:E76"/>
    <mergeCell ref="D133:E133"/>
    <mergeCell ref="D134:E134"/>
    <mergeCell ref="D181:E181"/>
    <mergeCell ref="D182:E182"/>
    <mergeCell ref="D178:E178"/>
    <mergeCell ref="D179:E179"/>
  </mergeCells>
  <printOptions horizontalCentered="1"/>
  <pageMargins left="0.19685039370078741" right="0.19685039370078741" top="0.59055118110236227" bottom="0.59055118110236227" header="0" footer="0"/>
  <pageSetup paperSize="9" scale="46" fitToHeight="9"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220FU1</cp:lastModifiedBy>
  <cp:lastPrinted>2024-12-14T12:07:43Z</cp:lastPrinted>
  <dcterms:created xsi:type="dcterms:W3CDTF">2005-08-15T04:40:30Z</dcterms:created>
  <dcterms:modified xsi:type="dcterms:W3CDTF">2024-12-14T12:07:55Z</dcterms:modified>
</cp:coreProperties>
</file>