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3_НАСТУПНЕ\На сайт рада 2вар\"/>
    </mc:Choice>
  </mc:AlternateContent>
  <bookViews>
    <workbookView xWindow="-108" yWindow="-108" windowWidth="23256" windowHeight="12576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7" i="1" l="1"/>
  <c r="G217" i="1"/>
  <c r="H217" i="1"/>
  <c r="I217" i="1"/>
  <c r="J217" i="1"/>
  <c r="K217" i="1"/>
  <c r="L217" i="1"/>
  <c r="M217" i="1"/>
  <c r="N217" i="1"/>
  <c r="O217" i="1"/>
  <c r="E217" i="1"/>
  <c r="L91" i="1" l="1"/>
  <c r="M91" i="1"/>
  <c r="N91" i="1"/>
  <c r="O91" i="1"/>
  <c r="K91" i="1"/>
  <c r="G91" i="1"/>
  <c r="H91" i="1"/>
  <c r="I91" i="1"/>
  <c r="F91" i="1"/>
  <c r="P105" i="1"/>
  <c r="E105" i="1"/>
  <c r="G166" i="1" l="1"/>
  <c r="F166" i="1"/>
  <c r="F192" i="1"/>
  <c r="G192" i="1"/>
  <c r="L202" i="1" l="1"/>
  <c r="M202" i="1"/>
  <c r="N202" i="1"/>
  <c r="G202" i="1"/>
  <c r="H202" i="1"/>
  <c r="I202" i="1"/>
  <c r="E210" i="1"/>
  <c r="E211" i="1"/>
  <c r="J211" i="1"/>
  <c r="P211" i="1" l="1"/>
  <c r="K157" i="1"/>
  <c r="O204" i="1" l="1"/>
  <c r="K204" i="1"/>
  <c r="F204" i="1"/>
  <c r="F185" i="1"/>
  <c r="F184" i="1"/>
  <c r="O173" i="1"/>
  <c r="K173" i="1"/>
  <c r="O157" i="1"/>
  <c r="I155" i="1"/>
  <c r="O148" i="1"/>
  <c r="K148" i="1"/>
  <c r="O145" i="1"/>
  <c r="K145" i="1"/>
  <c r="J107" i="1"/>
  <c r="E107" i="1"/>
  <c r="E108" i="1"/>
  <c r="O106" i="1"/>
  <c r="K106" i="1"/>
  <c r="F84" i="1"/>
  <c r="F77" i="1"/>
  <c r="F76" i="1"/>
  <c r="G39" i="1"/>
  <c r="H39" i="1"/>
  <c r="F39" i="1"/>
  <c r="I43" i="1"/>
  <c r="I42" i="1"/>
  <c r="I39" i="1" s="1"/>
  <c r="F45" i="1"/>
  <c r="O30" i="1"/>
  <c r="K30" i="1"/>
  <c r="F30" i="1"/>
  <c r="F28" i="1"/>
  <c r="P107" i="1" l="1"/>
  <c r="O149" i="1"/>
  <c r="K149" i="1"/>
  <c r="I149" i="1"/>
  <c r="F61" i="1" l="1"/>
  <c r="F149" i="1"/>
  <c r="G61" i="1" l="1"/>
  <c r="G60" i="1"/>
  <c r="J210" i="1" l="1"/>
  <c r="P210" i="1" s="1"/>
  <c r="F197" i="1"/>
  <c r="F195" i="1" s="1"/>
  <c r="E194" i="1"/>
  <c r="I188" i="1"/>
  <c r="G183" i="1"/>
  <c r="F183" i="1"/>
  <c r="O179" i="1"/>
  <c r="K179" i="1"/>
  <c r="O178" i="1"/>
  <c r="K178" i="1"/>
  <c r="O176" i="1"/>
  <c r="K176" i="1"/>
  <c r="O170" i="1"/>
  <c r="K170" i="1"/>
  <c r="O168" i="1"/>
  <c r="K168" i="1"/>
  <c r="I162" i="1"/>
  <c r="F157" i="1"/>
  <c r="O153" i="1"/>
  <c r="K153" i="1"/>
  <c r="F152" i="1"/>
  <c r="I146" i="1"/>
  <c r="F141" i="1"/>
  <c r="G131" i="1"/>
  <c r="F131" i="1"/>
  <c r="F127" i="1"/>
  <c r="G124" i="1"/>
  <c r="G119" i="1"/>
  <c r="F119" i="1"/>
  <c r="G114" i="1"/>
  <c r="F114" i="1"/>
  <c r="F103" i="1"/>
  <c r="F101" i="1"/>
  <c r="F100" i="1"/>
  <c r="H99" i="1"/>
  <c r="G99" i="1"/>
  <c r="G98" i="1"/>
  <c r="F98" i="1"/>
  <c r="F95" i="1"/>
  <c r="F94" i="1"/>
  <c r="F93" i="1"/>
  <c r="H92" i="1"/>
  <c r="G92" i="1"/>
  <c r="F92" i="1"/>
  <c r="O89" i="1"/>
  <c r="K89" i="1"/>
  <c r="F89" i="1"/>
  <c r="H87" i="1"/>
  <c r="F87" i="1"/>
  <c r="F81" i="1"/>
  <c r="F80" i="1"/>
  <c r="H71" i="1"/>
  <c r="F71" i="1"/>
  <c r="H68" i="1"/>
  <c r="G68" i="1"/>
  <c r="F68" i="1"/>
  <c r="H67" i="1"/>
  <c r="G67" i="1"/>
  <c r="O67" i="1"/>
  <c r="K67" i="1"/>
  <c r="F67" i="1"/>
  <c r="H65" i="1"/>
  <c r="F65" i="1"/>
  <c r="H62" i="1"/>
  <c r="F62" i="1"/>
  <c r="H61" i="1"/>
  <c r="O60" i="1"/>
  <c r="K60" i="1"/>
  <c r="H60" i="1"/>
  <c r="F60" i="1"/>
  <c r="H58" i="1"/>
  <c r="G58" i="1"/>
  <c r="F58" i="1"/>
  <c r="F52" i="1"/>
  <c r="F50" i="1"/>
  <c r="O49" i="1"/>
  <c r="K49" i="1"/>
  <c r="H49" i="1"/>
  <c r="G49" i="1"/>
  <c r="F49" i="1"/>
  <c r="F48" i="1"/>
  <c r="F36" i="1"/>
  <c r="F34" i="1"/>
  <c r="F32" i="1"/>
  <c r="F31" i="1"/>
  <c r="H22" i="1"/>
  <c r="F29" i="1"/>
  <c r="G25" i="1"/>
  <c r="F25" i="1"/>
  <c r="G23" i="1"/>
  <c r="F23" i="1"/>
  <c r="G22" i="1"/>
  <c r="F22" i="1"/>
  <c r="L221" i="1" l="1"/>
  <c r="M221" i="1"/>
  <c r="N221" i="1"/>
  <c r="H221" i="1"/>
  <c r="G221" i="1"/>
  <c r="J177" i="1"/>
  <c r="P177" i="1" s="1"/>
  <c r="F27" i="1"/>
  <c r="J145" i="1" l="1"/>
  <c r="O83" i="1" l="1"/>
  <c r="K82" i="1"/>
  <c r="O28" i="1" l="1"/>
  <c r="K28" i="1"/>
  <c r="L182" i="1"/>
  <c r="M182" i="1"/>
  <c r="M181" i="1" s="1"/>
  <c r="N182" i="1"/>
  <c r="N181" i="1" s="1"/>
  <c r="O182" i="1"/>
  <c r="O181" i="1" s="1"/>
  <c r="K182" i="1"/>
  <c r="K181" i="1" s="1"/>
  <c r="E209" i="1"/>
  <c r="J209" i="1"/>
  <c r="O174" i="1"/>
  <c r="K174" i="1"/>
  <c r="I222" i="1"/>
  <c r="M222" i="1"/>
  <c r="N222" i="1"/>
  <c r="J161" i="1"/>
  <c r="E161" i="1"/>
  <c r="O154" i="1"/>
  <c r="O146" i="1"/>
  <c r="K146" i="1"/>
  <c r="P161" i="1" l="1"/>
  <c r="P209" i="1"/>
  <c r="J182" i="1"/>
  <c r="L181" i="1"/>
  <c r="G133" i="1"/>
  <c r="G121" i="1"/>
  <c r="F121" i="1"/>
  <c r="L113" i="1"/>
  <c r="M113" i="1"/>
  <c r="N113" i="1"/>
  <c r="O113" i="1"/>
  <c r="K113" i="1"/>
  <c r="H113" i="1"/>
  <c r="I113" i="1"/>
  <c r="J116" i="1"/>
  <c r="E116" i="1"/>
  <c r="F110" i="1"/>
  <c r="F109" i="1"/>
  <c r="F99" i="1"/>
  <c r="F97" i="1"/>
  <c r="F96" i="1"/>
  <c r="N215" i="1"/>
  <c r="G87" i="1"/>
  <c r="F85" i="1"/>
  <c r="J84" i="1"/>
  <c r="E84" i="1"/>
  <c r="O82" i="1"/>
  <c r="G71" i="1"/>
  <c r="G65" i="1"/>
  <c r="G62" i="1"/>
  <c r="O61" i="1"/>
  <c r="K61" i="1"/>
  <c r="K215" i="1" s="1"/>
  <c r="J54" i="1"/>
  <c r="E54" i="1"/>
  <c r="F51" i="1"/>
  <c r="P116" i="1" l="1"/>
  <c r="P84" i="1"/>
  <c r="O215" i="1"/>
  <c r="P54" i="1"/>
  <c r="F120" i="1" l="1"/>
  <c r="H222" i="1" l="1"/>
  <c r="J148" i="1" l="1"/>
  <c r="G140" i="1"/>
  <c r="F140" i="1"/>
  <c r="L195" i="1"/>
  <c r="M195" i="1"/>
  <c r="N195" i="1"/>
  <c r="O195" i="1"/>
  <c r="K195" i="1"/>
  <c r="G195" i="1"/>
  <c r="H195" i="1"/>
  <c r="I195" i="1"/>
  <c r="L165" i="1"/>
  <c r="M165" i="1"/>
  <c r="N165" i="1"/>
  <c r="H165" i="1"/>
  <c r="I165" i="1"/>
  <c r="J180" i="1"/>
  <c r="E180" i="1"/>
  <c r="J171" i="1"/>
  <c r="E171" i="1"/>
  <c r="F167" i="1"/>
  <c r="F165" i="1" s="1"/>
  <c r="G165" i="1"/>
  <c r="J162" i="1"/>
  <c r="E162" i="1"/>
  <c r="E160" i="1"/>
  <c r="O160" i="1"/>
  <c r="K160" i="1"/>
  <c r="P171" i="1" l="1"/>
  <c r="P162" i="1"/>
  <c r="P180" i="1"/>
  <c r="O222" i="1"/>
  <c r="K222" i="1"/>
  <c r="J153" i="1"/>
  <c r="E153" i="1"/>
  <c r="J152" i="1"/>
  <c r="E152" i="1"/>
  <c r="E148" i="1"/>
  <c r="P148" i="1" s="1"/>
  <c r="O144" i="1"/>
  <c r="K144" i="1"/>
  <c r="F142" i="1"/>
  <c r="F139" i="1" s="1"/>
  <c r="O140" i="1"/>
  <c r="K140" i="1"/>
  <c r="P153" i="1" l="1"/>
  <c r="P152" i="1"/>
  <c r="F133" i="1"/>
  <c r="F132" i="1"/>
  <c r="N118" i="1"/>
  <c r="O118" i="1"/>
  <c r="K118" i="1"/>
  <c r="H118" i="1"/>
  <c r="I118" i="1"/>
  <c r="J128" i="1"/>
  <c r="E128" i="1"/>
  <c r="F126" i="1"/>
  <c r="G125" i="1"/>
  <c r="F125" i="1"/>
  <c r="F124" i="1"/>
  <c r="G113" i="1"/>
  <c r="F113" i="1"/>
  <c r="J111" i="1"/>
  <c r="E111" i="1"/>
  <c r="J72" i="1"/>
  <c r="J73" i="1"/>
  <c r="E72" i="1"/>
  <c r="E73" i="1"/>
  <c r="P111" i="1" l="1"/>
  <c r="P128" i="1"/>
  <c r="P73" i="1"/>
  <c r="P72" i="1"/>
  <c r="F59" i="1" l="1"/>
  <c r="L53" i="1"/>
  <c r="L222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G24" i="1"/>
  <c r="F24" i="1"/>
  <c r="G139" i="1"/>
  <c r="H139" i="1"/>
  <c r="J160" i="1"/>
  <c r="P160" i="1" s="1"/>
  <c r="P40" i="1" l="1"/>
  <c r="E39" i="1"/>
  <c r="P42" i="1"/>
  <c r="P43" i="1"/>
  <c r="P41" i="1"/>
  <c r="P45" i="1"/>
  <c r="P44" i="1"/>
  <c r="F137" i="1" l="1"/>
  <c r="F134" i="1"/>
  <c r="F222" i="1" l="1"/>
  <c r="G216" i="1" l="1"/>
  <c r="G219" i="1"/>
  <c r="O205" i="1" l="1"/>
  <c r="O202" i="1" s="1"/>
  <c r="K205" i="1"/>
  <c r="K202" i="1" s="1"/>
  <c r="F186" i="1" l="1"/>
  <c r="J88" i="1"/>
  <c r="E88" i="1"/>
  <c r="F47" i="1"/>
  <c r="F221" i="1" s="1"/>
  <c r="J39" i="1"/>
  <c r="O38" i="1"/>
  <c r="K38" i="1"/>
  <c r="P88" i="1" l="1"/>
  <c r="I139" i="1"/>
  <c r="P39" i="1"/>
  <c r="O221" i="1"/>
  <c r="K221" i="1"/>
  <c r="L139" i="1" l="1"/>
  <c r="M139" i="1"/>
  <c r="N139" i="1"/>
  <c r="J163" i="1" l="1"/>
  <c r="E163" i="1"/>
  <c r="O139" i="1"/>
  <c r="K139" i="1"/>
  <c r="J106" i="1"/>
  <c r="J108" i="1"/>
  <c r="P108" i="1" s="1"/>
  <c r="E106" i="1"/>
  <c r="L57" i="1"/>
  <c r="M57" i="1"/>
  <c r="N57" i="1"/>
  <c r="G74" i="1"/>
  <c r="F74" i="1"/>
  <c r="E77" i="1"/>
  <c r="P77" i="1" s="1"/>
  <c r="E76" i="1"/>
  <c r="P76" i="1" s="1"/>
  <c r="E74" i="1" l="1"/>
  <c r="P74" i="1" s="1"/>
  <c r="P163" i="1"/>
  <c r="P106" i="1"/>
  <c r="I67" i="1" l="1"/>
  <c r="I215" i="1" s="1"/>
  <c r="I57" i="1" l="1"/>
  <c r="O172" i="1"/>
  <c r="O165" i="1" s="1"/>
  <c r="K172" i="1"/>
  <c r="K165" i="1" s="1"/>
  <c r="J150" i="1"/>
  <c r="E150" i="1"/>
  <c r="E145" i="1"/>
  <c r="G123" i="1"/>
  <c r="F123" i="1"/>
  <c r="F118" i="1" s="1"/>
  <c r="G218" i="1" l="1"/>
  <c r="G118" i="1"/>
  <c r="P145" i="1"/>
  <c r="P150" i="1"/>
  <c r="G222" i="1"/>
  <c r="I219" i="1" l="1"/>
  <c r="K219" i="1"/>
  <c r="L219" i="1"/>
  <c r="M219" i="1"/>
  <c r="N219" i="1"/>
  <c r="O219" i="1"/>
  <c r="J201" i="1"/>
  <c r="E201" i="1"/>
  <c r="E136" i="1"/>
  <c r="P136" i="1" s="1"/>
  <c r="E81" i="1"/>
  <c r="P81" i="1" s="1"/>
  <c r="E80" i="1"/>
  <c r="P80" i="1" s="1"/>
  <c r="F78" i="1"/>
  <c r="E78" i="1" l="1"/>
  <c r="P78" i="1" s="1"/>
  <c r="F57" i="1"/>
  <c r="F215" i="1"/>
  <c r="P201" i="1"/>
  <c r="J55" i="1"/>
  <c r="E55" i="1"/>
  <c r="P55" i="1" l="1"/>
  <c r="G223" i="1"/>
  <c r="G215" i="1" l="1"/>
  <c r="F206" i="1" l="1"/>
  <c r="F202" i="1" s="1"/>
  <c r="E208" i="1"/>
  <c r="J208" i="1"/>
  <c r="E200" i="1"/>
  <c r="P200" i="1" s="1"/>
  <c r="J156" i="1"/>
  <c r="E156" i="1"/>
  <c r="H219" i="1"/>
  <c r="F219" i="1"/>
  <c r="J82" i="1"/>
  <c r="E82" i="1"/>
  <c r="J70" i="1"/>
  <c r="E70" i="1"/>
  <c r="J48" i="1"/>
  <c r="E48" i="1"/>
  <c r="I38" i="1"/>
  <c r="I221" i="1" s="1"/>
  <c r="E37" i="1"/>
  <c r="F33" i="1"/>
  <c r="F220" i="1" s="1"/>
  <c r="H215" i="1" l="1"/>
  <c r="E38" i="1"/>
  <c r="O57" i="1"/>
  <c r="K57" i="1"/>
  <c r="H57" i="1"/>
  <c r="P208" i="1"/>
  <c r="P156" i="1"/>
  <c r="P70" i="1"/>
  <c r="P82" i="1"/>
  <c r="P48" i="1"/>
  <c r="J175" i="1" l="1"/>
  <c r="E175" i="1"/>
  <c r="J83" i="1"/>
  <c r="E83" i="1"/>
  <c r="P83" i="1" l="1"/>
  <c r="P175" i="1"/>
  <c r="E149" i="1" l="1"/>
  <c r="J199" i="1"/>
  <c r="E199" i="1"/>
  <c r="J198" i="1"/>
  <c r="E198" i="1"/>
  <c r="J197" i="1"/>
  <c r="E197" i="1"/>
  <c r="P199" i="1" l="1"/>
  <c r="P197" i="1"/>
  <c r="P198" i="1"/>
  <c r="F130" i="1" l="1"/>
  <c r="L191" i="1" l="1"/>
  <c r="M191" i="1"/>
  <c r="N191" i="1"/>
  <c r="G191" i="1"/>
  <c r="H191" i="1"/>
  <c r="I191" i="1"/>
  <c r="J207" i="1"/>
  <c r="E207" i="1"/>
  <c r="P207" i="1" l="1"/>
  <c r="J206" i="1"/>
  <c r="E206" i="1"/>
  <c r="E205" i="1"/>
  <c r="J205" i="1"/>
  <c r="O191" i="1"/>
  <c r="K191" i="1"/>
  <c r="F191" i="1"/>
  <c r="J144" i="1"/>
  <c r="F216" i="1"/>
  <c r="H216" i="1"/>
  <c r="I216" i="1"/>
  <c r="K216" i="1"/>
  <c r="L216" i="1"/>
  <c r="M216" i="1"/>
  <c r="N216" i="1"/>
  <c r="O216" i="1"/>
  <c r="L164" i="1"/>
  <c r="M164" i="1"/>
  <c r="N164" i="1"/>
  <c r="O164" i="1"/>
  <c r="K164" i="1"/>
  <c r="E179" i="1"/>
  <c r="J179" i="1"/>
  <c r="E168" i="1"/>
  <c r="E169" i="1"/>
  <c r="E170" i="1"/>
  <c r="E172" i="1"/>
  <c r="E173" i="1"/>
  <c r="E174" i="1"/>
  <c r="E176" i="1"/>
  <c r="E178" i="1"/>
  <c r="J168" i="1"/>
  <c r="J169" i="1"/>
  <c r="J170" i="1"/>
  <c r="J172" i="1"/>
  <c r="J173" i="1"/>
  <c r="J174" i="1"/>
  <c r="J176" i="1"/>
  <c r="J178" i="1"/>
  <c r="J154" i="1"/>
  <c r="E154" i="1"/>
  <c r="E144" i="1"/>
  <c r="E89" i="1"/>
  <c r="J89" i="1"/>
  <c r="P173" i="1" l="1"/>
  <c r="P205" i="1"/>
  <c r="P174" i="1"/>
  <c r="P178" i="1"/>
  <c r="P170" i="1"/>
  <c r="P206" i="1"/>
  <c r="P179" i="1"/>
  <c r="P154" i="1"/>
  <c r="P176" i="1"/>
  <c r="P169" i="1"/>
  <c r="P168" i="1"/>
  <c r="P144" i="1"/>
  <c r="P172" i="1"/>
  <c r="P89" i="1"/>
  <c r="E46" i="1"/>
  <c r="J38" i="1"/>
  <c r="J46" i="1"/>
  <c r="G57" i="1" l="1"/>
  <c r="P46" i="1"/>
  <c r="P38" i="1"/>
  <c r="J204" i="1"/>
  <c r="E204" i="1"/>
  <c r="P204" i="1" l="1"/>
  <c r="E158" i="1"/>
  <c r="P158" i="1" s="1"/>
  <c r="F223" i="1" l="1"/>
  <c r="H223" i="1"/>
  <c r="I223" i="1"/>
  <c r="K223" i="1"/>
  <c r="L223" i="1"/>
  <c r="M223" i="1"/>
  <c r="N223" i="1"/>
  <c r="O223" i="1"/>
  <c r="E202" i="1"/>
  <c r="E195" i="1"/>
  <c r="E193" i="1"/>
  <c r="E192" i="1"/>
  <c r="J202" i="1"/>
  <c r="O190" i="1"/>
  <c r="K190" i="1"/>
  <c r="F182" i="1"/>
  <c r="F138" i="1"/>
  <c r="L130" i="1"/>
  <c r="M130" i="1"/>
  <c r="N130" i="1"/>
  <c r="O130" i="1"/>
  <c r="K130" i="1"/>
  <c r="G130" i="1"/>
  <c r="H130" i="1"/>
  <c r="I130" i="1"/>
  <c r="F129" i="1"/>
  <c r="F117" i="1"/>
  <c r="F112" i="1"/>
  <c r="G112" i="1"/>
  <c r="E57" i="1"/>
  <c r="J52" i="1"/>
  <c r="E52" i="1"/>
  <c r="H218" i="1"/>
  <c r="I218" i="1"/>
  <c r="K218" i="1"/>
  <c r="N218" i="1"/>
  <c r="O218" i="1"/>
  <c r="E191" i="1" l="1"/>
  <c r="E190" i="1" s="1"/>
  <c r="P202" i="1"/>
  <c r="E223" i="1"/>
  <c r="P52" i="1"/>
  <c r="F218" i="1" l="1"/>
  <c r="M121" i="1" l="1"/>
  <c r="M215" i="1" s="1"/>
  <c r="L121" i="1"/>
  <c r="L215" i="1" s="1"/>
  <c r="L33" i="1" l="1"/>
  <c r="L220" i="1" s="1"/>
  <c r="M33" i="1"/>
  <c r="M220" i="1" s="1"/>
  <c r="N33" i="1"/>
  <c r="N220" i="1" s="1"/>
  <c r="O33" i="1"/>
  <c r="O220" i="1" s="1"/>
  <c r="K33" i="1"/>
  <c r="K220" i="1" s="1"/>
  <c r="G33" i="1"/>
  <c r="G220" i="1" s="1"/>
  <c r="H33" i="1"/>
  <c r="H220" i="1" s="1"/>
  <c r="I33" i="1"/>
  <c r="I220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4" i="1" l="1"/>
  <c r="O214" i="1"/>
  <c r="O224" i="1" s="1"/>
  <c r="L214" i="1"/>
  <c r="I214" i="1"/>
  <c r="I224" i="1" s="1"/>
  <c r="N214" i="1"/>
  <c r="N224" i="1" s="1"/>
  <c r="G214" i="1"/>
  <c r="G224" i="1" s="1"/>
  <c r="H214" i="1"/>
  <c r="H224" i="1" s="1"/>
  <c r="F214" i="1"/>
  <c r="M214" i="1"/>
  <c r="K224" i="1"/>
  <c r="P22" i="1"/>
  <c r="P25" i="1"/>
  <c r="P24" i="1"/>
  <c r="P23" i="1"/>
  <c r="O112" i="1"/>
  <c r="K112" i="1"/>
  <c r="L112" i="1"/>
  <c r="M112" i="1"/>
  <c r="N112" i="1"/>
  <c r="M90" i="1"/>
  <c r="N90" i="1"/>
  <c r="O90" i="1"/>
  <c r="K90" i="1"/>
  <c r="L90" i="1"/>
  <c r="M56" i="1"/>
  <c r="N56" i="1"/>
  <c r="L56" i="1"/>
  <c r="O56" i="1"/>
  <c r="K56" i="1"/>
  <c r="G190" i="1"/>
  <c r="H190" i="1"/>
  <c r="I190" i="1"/>
  <c r="F190" i="1"/>
  <c r="G182" i="1"/>
  <c r="G181" i="1" s="1"/>
  <c r="H182" i="1"/>
  <c r="H181" i="1" s="1"/>
  <c r="I182" i="1"/>
  <c r="I181" i="1" s="1"/>
  <c r="F181" i="1"/>
  <c r="G164" i="1"/>
  <c r="H164" i="1"/>
  <c r="I164" i="1"/>
  <c r="F164" i="1"/>
  <c r="G138" i="1"/>
  <c r="H138" i="1"/>
  <c r="I138" i="1"/>
  <c r="G129" i="1"/>
  <c r="H129" i="1"/>
  <c r="I129" i="1"/>
  <c r="G117" i="1"/>
  <c r="H117" i="1"/>
  <c r="I117" i="1"/>
  <c r="F224" i="1" l="1"/>
  <c r="M125" i="1" l="1"/>
  <c r="M118" i="1" s="1"/>
  <c r="L123" i="1"/>
  <c r="L118" i="1" s="1"/>
  <c r="K117" i="1"/>
  <c r="N117" i="1"/>
  <c r="O117" i="1"/>
  <c r="L138" i="1"/>
  <c r="M138" i="1"/>
  <c r="N138" i="1"/>
  <c r="O138" i="1"/>
  <c r="K138" i="1"/>
  <c r="J159" i="1"/>
  <c r="E159" i="1"/>
  <c r="J53" i="1"/>
  <c r="E53" i="1"/>
  <c r="L218" i="1" l="1"/>
  <c r="L224" i="1" s="1"/>
  <c r="L117" i="1"/>
  <c r="M218" i="1"/>
  <c r="M224" i="1" s="1"/>
  <c r="M117" i="1"/>
  <c r="P159" i="1"/>
  <c r="P53" i="1"/>
  <c r="J113" i="1" l="1"/>
  <c r="J114" i="1"/>
  <c r="J115" i="1"/>
  <c r="J117" i="1"/>
  <c r="J118" i="1"/>
  <c r="J119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7" i="1"/>
  <c r="J138" i="1"/>
  <c r="J140" i="1"/>
  <c r="J141" i="1"/>
  <c r="J142" i="1"/>
  <c r="J143" i="1"/>
  <c r="J146" i="1"/>
  <c r="J147" i="1"/>
  <c r="J149" i="1"/>
  <c r="J151" i="1"/>
  <c r="J155" i="1"/>
  <c r="J157" i="1"/>
  <c r="J164" i="1"/>
  <c r="J165" i="1"/>
  <c r="J166" i="1"/>
  <c r="J167" i="1"/>
  <c r="J18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93" i="1"/>
  <c r="J94" i="1"/>
  <c r="J95" i="1"/>
  <c r="J96" i="1"/>
  <c r="J97" i="1"/>
  <c r="J98" i="1"/>
  <c r="J99" i="1"/>
  <c r="J100" i="1"/>
  <c r="J101" i="1"/>
  <c r="J102" i="1"/>
  <c r="J103" i="1"/>
  <c r="J104" i="1"/>
  <c r="J109" i="1"/>
  <c r="J110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12" i="1" s="1"/>
  <c r="N19" i="1"/>
  <c r="N212" i="1" s="1"/>
  <c r="O19" i="1"/>
  <c r="K19" i="1"/>
  <c r="K212" i="1" s="1"/>
  <c r="G19" i="1"/>
  <c r="H19" i="1"/>
  <c r="I19" i="1"/>
  <c r="F19" i="1"/>
  <c r="E184" i="1"/>
  <c r="E185" i="1"/>
  <c r="E186" i="1"/>
  <c r="E187" i="1"/>
  <c r="E188" i="1"/>
  <c r="E189" i="1"/>
  <c r="E167" i="1"/>
  <c r="E141" i="1"/>
  <c r="E142" i="1"/>
  <c r="E143" i="1"/>
  <c r="E146" i="1"/>
  <c r="E147" i="1"/>
  <c r="E151" i="1"/>
  <c r="E155" i="1"/>
  <c r="E157" i="1"/>
  <c r="E132" i="1"/>
  <c r="E133" i="1"/>
  <c r="E134" i="1"/>
  <c r="E135" i="1"/>
  <c r="E137" i="1"/>
  <c r="E120" i="1"/>
  <c r="E121" i="1"/>
  <c r="E122" i="1"/>
  <c r="E123" i="1"/>
  <c r="E124" i="1"/>
  <c r="E125" i="1"/>
  <c r="E126" i="1"/>
  <c r="E127" i="1"/>
  <c r="E115" i="1"/>
  <c r="E93" i="1"/>
  <c r="E94" i="1"/>
  <c r="E95" i="1"/>
  <c r="E96" i="1"/>
  <c r="E97" i="1"/>
  <c r="E98" i="1"/>
  <c r="E99" i="1"/>
  <c r="E100" i="1"/>
  <c r="E101" i="1"/>
  <c r="E102" i="1"/>
  <c r="E103" i="1"/>
  <c r="E104" i="1"/>
  <c r="E109" i="1"/>
  <c r="E110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3" i="1"/>
  <c r="E182" i="1"/>
  <c r="E181" i="1"/>
  <c r="E166" i="1"/>
  <c r="E165" i="1"/>
  <c r="E164" i="1"/>
  <c r="E140" i="1"/>
  <c r="E139" i="1"/>
  <c r="E138" i="1"/>
  <c r="E131" i="1"/>
  <c r="E130" i="1"/>
  <c r="E129" i="1"/>
  <c r="E119" i="1"/>
  <c r="E118" i="1"/>
  <c r="E117" i="1"/>
  <c r="E114" i="1"/>
  <c r="E113" i="1"/>
  <c r="E112" i="1"/>
  <c r="E92" i="1"/>
  <c r="E91" i="1"/>
  <c r="E58" i="1"/>
  <c r="E26" i="1"/>
  <c r="E27" i="1"/>
  <c r="E28" i="1"/>
  <c r="E29" i="1"/>
  <c r="E30" i="1"/>
  <c r="E31" i="1"/>
  <c r="E32" i="1"/>
  <c r="E47" i="1"/>
  <c r="E49" i="1"/>
  <c r="E50" i="1"/>
  <c r="E51" i="1"/>
  <c r="E21" i="1"/>
  <c r="E20" i="1"/>
  <c r="E222" i="1" l="1"/>
  <c r="E221" i="1"/>
  <c r="J221" i="1"/>
  <c r="J222" i="1"/>
  <c r="J215" i="1"/>
  <c r="E220" i="1"/>
  <c r="J220" i="1"/>
  <c r="P146" i="1"/>
  <c r="E215" i="1"/>
  <c r="E214" i="1"/>
  <c r="J214" i="1"/>
  <c r="J139" i="1"/>
  <c r="P139" i="1" s="1"/>
  <c r="P33" i="1"/>
  <c r="J219" i="1"/>
  <c r="E90" i="1"/>
  <c r="E219" i="1"/>
  <c r="E216" i="1"/>
  <c r="J216" i="1"/>
  <c r="J223" i="1"/>
  <c r="P223" i="1" s="1"/>
  <c r="G212" i="1"/>
  <c r="E218" i="1"/>
  <c r="J218" i="1"/>
  <c r="I212" i="1"/>
  <c r="F56" i="1"/>
  <c r="E56" i="1" s="1"/>
  <c r="H212" i="1"/>
  <c r="J112" i="1"/>
  <c r="P112" i="1" s="1"/>
  <c r="J56" i="1"/>
  <c r="O212" i="1"/>
  <c r="P20" i="1"/>
  <c r="J90" i="1"/>
  <c r="J91" i="1"/>
  <c r="P91" i="1" s="1"/>
  <c r="J57" i="1"/>
  <c r="P57" i="1" s="1"/>
  <c r="J19" i="1"/>
  <c r="L212" i="1"/>
  <c r="E19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67" i="1"/>
  <c r="P166" i="1"/>
  <c r="P165" i="1"/>
  <c r="P164" i="1"/>
  <c r="P157" i="1"/>
  <c r="P155" i="1"/>
  <c r="P151" i="1"/>
  <c r="P149" i="1"/>
  <c r="P147" i="1"/>
  <c r="P143" i="1"/>
  <c r="P142" i="1"/>
  <c r="P141" i="1"/>
  <c r="P140" i="1"/>
  <c r="P138" i="1"/>
  <c r="P137" i="1"/>
  <c r="P135" i="1"/>
  <c r="P134" i="1"/>
  <c r="P133" i="1"/>
  <c r="P132" i="1"/>
  <c r="P131" i="1"/>
  <c r="P130" i="1"/>
  <c r="P129" i="1"/>
  <c r="P127" i="1"/>
  <c r="P126" i="1"/>
  <c r="P125" i="1"/>
  <c r="P124" i="1"/>
  <c r="P123" i="1"/>
  <c r="P122" i="1"/>
  <c r="P121" i="1"/>
  <c r="P120" i="1"/>
  <c r="P119" i="1"/>
  <c r="P118" i="1"/>
  <c r="P117" i="1"/>
  <c r="P115" i="1"/>
  <c r="P114" i="1"/>
  <c r="P113" i="1"/>
  <c r="P110" i="1"/>
  <c r="P109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9" i="1"/>
  <c r="P56" i="1"/>
  <c r="P220" i="1"/>
  <c r="P215" i="1"/>
  <c r="P222" i="1"/>
  <c r="P214" i="1"/>
  <c r="P221" i="1"/>
  <c r="J224" i="1"/>
  <c r="P218" i="1"/>
  <c r="P217" i="1"/>
  <c r="E224" i="1"/>
  <c r="P216" i="1"/>
  <c r="F212" i="1"/>
  <c r="P19" i="1"/>
  <c r="J212" i="1"/>
  <c r="E212" i="1" l="1"/>
  <c r="P224" i="1"/>
  <c r="P212" i="1" l="1"/>
</calcChain>
</file>

<file path=xl/sharedStrings.xml><?xml version="1.0" encoding="utf-8"?>
<sst xmlns="http://schemas.openxmlformats.org/spreadsheetml/2006/main" count="666" uniqueCount="428">
  <si>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</si>
  <si>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</si>
  <si>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</si>
  <si>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</si>
  <si>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</si>
  <si>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</si>
  <si>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</si>
  <si>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</si>
  <si>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</si>
  <si>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</si>
  <si>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</si>
  <si>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</si>
  <si>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</si>
  <si>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</si>
  <si>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</si>
  <si>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</si>
  <si>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</si>
  <si>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</si>
  <si>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</si>
  <si>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</si>
  <si>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</si>
  <si>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</si>
  <si>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</si>
  <si>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</si>
  <si>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</si>
  <si>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</si>
  <si>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</si>
  <si>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</si>
  <si>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</si>
  <si>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</si>
  <si>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</si>
  <si>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</si>
  <si>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</si>
  <si>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</si>
  <si>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</si>
  <si>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</si>
  <si>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</si>
  <si>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</si>
  <si>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</si>
  <si>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</si>
  <si>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</si>
  <si>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</si>
  <si>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</si>
  <si>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</si>
  <si>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</si>
  <si>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</si>
  <si>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</si>
  <si>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</si>
  <si>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</si>
  <si>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</si>
  <si>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</si>
  <si>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</si>
  <si>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</si>
  <si>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</si>
  <si>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</si>
  <si>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</si>
  <si>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</si>
  <si>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</si>
  <si>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</si>
  <si>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</si>
  <si>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</si>
  <si>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</si>
  <si>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</si>
  <si>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</si>
  <si>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</si>
  <si>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</si>
  <si>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</si>
  <si>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</si>
  <si>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</si>
  <si>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</si>
  <si>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</si>
  <si>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</si>
  <si>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</si>
  <si>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</si>
  <si>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</si>
  <si>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</si>
  <si>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</si>
  <si>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</si>
  <si>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</si>
  <si>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</si>
  <si>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</si>
  <si>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</si>
  <si>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</si>
  <si>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</si>
  <si>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</si>
  <si>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</si>
  <si>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</si>
  <si>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</si>
  <si>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</si>
  <si>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</si>
  <si>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</si>
  <si>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</si>
  <si>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</si>
  <si>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</si>
  <si>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</si>
  <si>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</si>
  <si>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</si>
  <si>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</si>
  <si>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</si>
  <si>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</si>
  <si>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</si>
  <si>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</si>
  <si>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</si>
  <si>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</si>
  <si>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</si>
  <si>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</si>
  <si>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</si>
  <si>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</si>
  <si>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</si>
  <si>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</si>
  <si>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</si>
  <si>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</si>
  <si>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</si>
  <si>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</si>
  <si>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</si>
  <si>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</si>
  <si>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</si>
  <si>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</si>
  <si>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</si>
  <si>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</si>
  <si>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</si>
  <si>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</si>
  <si>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</si>
  <si>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</si>
  <si>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</si>
  <si>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</si>
  <si>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</si>
  <si>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</si>
  <si>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</si>
  <si>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</si>
  <si>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</si>
  <si>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</si>
  <si>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</si>
  <si>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</si>
  <si>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</si>
  <si>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</si>
  <si>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</si>
  <si>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</si>
  <si>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</si>
  <si>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</si>
  <si>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</si>
  <si>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</si>
  <si>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</si>
  <si>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</si>
  <si>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</si>
  <si>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</si>
  <si>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</si>
  <si>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</si>
  <si>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</si>
  <si>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</si>
  <si>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</si>
  <si>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</si>
  <si>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</si>
  <si>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</si>
  <si>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</si>
  <si>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</si>
  <si>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</si>
  <si>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</si>
  <si>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</si>
  <si>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</si>
  <si>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</si>
  <si>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</si>
  <si>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</si>
  <si>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</si>
  <si>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</si>
  <si>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</si>
  <si>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</si>
  <si>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</si>
  <si>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</si>
  <si>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</si>
  <si>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</si>
  <si>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</si>
  <si>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</si>
  <si>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</si>
  <si>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</si>
  <si>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</si>
  <si>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</si>
  <si>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</si>
  <si>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</si>
  <si>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</si>
  <si>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</si>
  <si>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</si>
  <si>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</si>
  <si>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</si>
  <si>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</si>
  <si>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</si>
  <si>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</si>
  <si>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</si>
  <si>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</si>
  <si>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</si>
  <si>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</si>
  <si>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</si>
  <si>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</si>
  <si>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</si>
  <si>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</si>
  <si>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</si>
  <si>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</si>
  <si>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</si>
  <si>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</si>
  <si>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</si>
  <si>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</si>
  <si>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</si>
  <si>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</si>
  <si>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</si>
  <si>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</si>
  <si>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</si>
  <si>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</si>
  <si>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</si>
  <si>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</si>
  <si>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</si>
  <si>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</si>
  <si>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</si>
  <si>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</si>
  <si>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</si>
  <si>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</si>
  <si>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</si>
  <si>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</si>
  <si>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</si>
  <si>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</si>
  <si>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</si>
  <si>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</si>
  <si>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</si>
  <si>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</si>
  <si>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</si>
  <si>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</si>
  <si>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</si>
  <si>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</si>
  <si>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</si>
  <si>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</si>
  <si>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</si>
  <si>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</si>
  <si>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</si>
  <si>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</si>
  <si>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</si>
  <si>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</si>
  <si>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</si>
  <si>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</si>
  <si>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</si>
  <si>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</si>
  <si>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</si>
  <si>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</si>
  <si>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</si>
  <si>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</si>
  <si>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</si>
  <si>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</si>
  <si>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</si>
  <si>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</si>
  <si>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</si>
  <si>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</si>
  <si>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</si>
  <si>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</si>
  <si>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</si>
  <si>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</si>
  <si>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</si>
  <si>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</si>
  <si>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</si>
  <si>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</si>
  <si>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</si>
  <si>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</si>
  <si>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</si>
  <si>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</si>
  <si>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</si>
  <si>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</si>
  <si>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</si>
  <si>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</si>
  <si>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</si>
  <si>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</si>
  <si>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</si>
  <si>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</si>
  <si>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</si>
  <si>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</si>
  <si>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</si>
  <si>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</si>
  <si>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</si>
  <si>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</si>
  <si>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</si>
  <si>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</si>
  <si>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</si>
  <si>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</si>
  <si>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</si>
  <si>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</si>
  <si>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</si>
  <si>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</si>
  <si>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</si>
  <si>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</si>
  <si>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</si>
  <si>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</si>
  <si>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</si>
  <si>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</si>
  <si>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</si>
  <si>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</si>
  <si>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</si>
  <si>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</si>
  <si>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</si>
  <si>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</si>
  <si>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</si>
  <si>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</si>
  <si>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</si>
  <si>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</si>
  <si>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</si>
  <si>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</si>
  <si>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</si>
  <si>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</si>
  <si>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</si>
  <si>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</si>
  <si>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</si>
  <si>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</si>
  <si>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</si>
  <si>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</si>
  <si>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</si>
  <si>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</si>
  <si>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</si>
  <si>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</si>
  <si>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</si>
  <si>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</si>
  <si>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</si>
  <si>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</si>
  <si>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</si>
  <si>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</si>
  <si>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</si>
  <si>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</si>
  <si>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</si>
  <si>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</si>
  <si>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</si>
  <si>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</si>
  <si>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</si>
  <si>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</si>
  <si>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</si>
  <si>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</si>
  <si>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</si>
  <si>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</si>
  <si>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</si>
  <si>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</si>
  <si>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</si>
  <si>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</si>
  <si>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</si>
  <si>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</si>
  <si>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</si>
  <si>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</si>
  <si>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</si>
  <si>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</si>
  <si>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</si>
  <si>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</si>
  <si>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</si>
  <si>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</si>
  <si>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</si>
  <si>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</si>
  <si>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</si>
  <si>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</si>
  <si>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</si>
  <si>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</si>
  <si>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</si>
  <si>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</si>
  <si>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</si>
  <si>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</si>
  <si>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</si>
  <si>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</si>
  <si>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</si>
  <si>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</si>
  <si>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</si>
  <si>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</si>
  <si>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</si>
  <si>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</si>
  <si>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</si>
  <si>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</si>
  <si>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</si>
  <si>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</si>
  <si>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</si>
  <si>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</si>
  <si>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</si>
  <si>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</si>
  <si>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</si>
  <si>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</si>
  <si>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</si>
  <si>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</si>
  <si>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</si>
  <si>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</si>
  <si>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</si>
  <si>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</si>
  <si>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</si>
  <si>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</si>
  <si>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</si>
  <si>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</si>
  <si>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</si>
  <si>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</si>
  <si>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</si>
  <si>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</si>
  <si>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</si>
  <si>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</si>
  <si>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</si>
  <si>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</si>
  <si>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</si>
  <si>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</si>
  <si>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</si>
  <si>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</si>
  <si>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</si>
  <si>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</si>
  <si>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</si>
  <si>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</si>
  <si>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</si>
  <si>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</si>
  <si>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</si>
  <si>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</si>
  <si>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</si>
  <si>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</si>
  <si>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</si>
  <si>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</si>
  <si>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</si>
  <si>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</si>
  <si>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</si>
  <si>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</si>
  <si>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</si>
  <si>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</si>
  <si>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</si>
  <si>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</si>
  <si>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</si>
  <si>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</si>
  <si>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</si>
  <si>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</si>
  <si>
    <t>Міська цільова програма підтримки Департаменту кіберполіції  Національної  поліції  України на 2024 рік</t>
  </si>
  <si>
    <t>0813222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</si>
  <si>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</si>
  <si>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Міська цільова програма підтримки Регіонального сервісного центру ГСЦ МВС в Одеській, Миколаївській та Херсонській  областях у сфері надання адміністративних послуг на 2024-2025 роки</t>
  </si>
  <si>
    <t>від     12.2024 №         -  VIII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</si>
  <si>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</si>
  <si>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</si>
  <si>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Світлана ПЄРКОВА</t>
  </si>
  <si>
    <t xml:space="preserve">Заступник начальника фінансового управління - начальник бюджетного відділу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</si>
</sst>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6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tabSelected="1" view="pageBreakPreview" topLeftCell="A218" zoomScale="70" zoomScaleNormal="70" zoomScaleSheetLayoutView="70" workbookViewId="0">
      <selection activeCell="D106" sqref="D106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374</v>
      </c>
    </row>
    <row r="2" spans="1:16">
      <c r="M2" s="17" t="s">
        <v>296</v>
      </c>
    </row>
    <row r="3" spans="1:16">
      <c r="M3" s="17" t="s">
        <v>295</v>
      </c>
    </row>
    <row r="4" spans="1:16">
      <c r="M4" s="17" t="s">
        <v>423</v>
      </c>
    </row>
    <row r="6" spans="1:16" ht="20.399999999999999" customHeight="1">
      <c r="M6" s="17" t="s">
        <v>320</v>
      </c>
    </row>
    <row r="7" spans="1:16" ht="20.399999999999999" customHeight="1">
      <c r="M7" s="17" t="s">
        <v>296</v>
      </c>
    </row>
    <row r="8" spans="1:16" ht="20.399999999999999" customHeight="1">
      <c r="M8" s="17" t="s">
        <v>295</v>
      </c>
    </row>
    <row r="9" spans="1:16" ht="20.399999999999999" customHeight="1">
      <c r="M9" s="17" t="s">
        <v>298</v>
      </c>
    </row>
    <row r="10" spans="1:16">
      <c r="A10" s="42" t="s">
        <v>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>
      <c r="A11" s="42" t="s">
        <v>297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4" t="s">
        <v>4</v>
      </c>
      <c r="B14" s="44" t="s">
        <v>5</v>
      </c>
      <c r="C14" s="44" t="s">
        <v>6</v>
      </c>
      <c r="D14" s="45" t="s">
        <v>7</v>
      </c>
      <c r="E14" s="45" t="s">
        <v>8</v>
      </c>
      <c r="F14" s="45"/>
      <c r="G14" s="45"/>
      <c r="H14" s="45"/>
      <c r="I14" s="45"/>
      <c r="J14" s="45" t="s">
        <v>14</v>
      </c>
      <c r="K14" s="45"/>
      <c r="L14" s="45"/>
      <c r="M14" s="45"/>
      <c r="N14" s="45"/>
      <c r="O14" s="45"/>
      <c r="P14" s="45" t="s">
        <v>16</v>
      </c>
    </row>
    <row r="15" spans="1:16" ht="26.4" customHeight="1">
      <c r="A15" s="44"/>
      <c r="B15" s="44"/>
      <c r="C15" s="44"/>
      <c r="D15" s="45"/>
      <c r="E15" s="45" t="s">
        <v>9</v>
      </c>
      <c r="F15" s="45" t="s">
        <v>10</v>
      </c>
      <c r="G15" s="45" t="s">
        <v>11</v>
      </c>
      <c r="H15" s="45"/>
      <c r="I15" s="45" t="s">
        <v>13</v>
      </c>
      <c r="J15" s="45" t="s">
        <v>9</v>
      </c>
      <c r="K15" s="45" t="s">
        <v>15</v>
      </c>
      <c r="L15" s="45" t="s">
        <v>10</v>
      </c>
      <c r="M15" s="45" t="s">
        <v>11</v>
      </c>
      <c r="N15" s="45"/>
      <c r="O15" s="45" t="s">
        <v>13</v>
      </c>
      <c r="P15" s="45"/>
    </row>
    <row r="16" spans="1:16" ht="30.6" customHeight="1">
      <c r="A16" s="44"/>
      <c r="B16" s="44"/>
      <c r="C16" s="44"/>
      <c r="D16" s="45"/>
      <c r="E16" s="45"/>
      <c r="F16" s="45"/>
      <c r="G16" s="45" t="s">
        <v>318</v>
      </c>
      <c r="H16" s="45" t="s">
        <v>12</v>
      </c>
      <c r="I16" s="45"/>
      <c r="J16" s="45"/>
      <c r="K16" s="45"/>
      <c r="L16" s="45"/>
      <c r="M16" s="45" t="s">
        <v>318</v>
      </c>
      <c r="N16" s="45" t="s">
        <v>12</v>
      </c>
      <c r="O16" s="45"/>
      <c r="P16" s="45"/>
    </row>
    <row r="17" spans="1:16" ht="31.2" customHeight="1">
      <c r="A17" s="44"/>
      <c r="B17" s="44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177192988</v>
      </c>
      <c r="F19" s="4">
        <f>F20</f>
        <v>176100534</v>
      </c>
      <c r="G19" s="4">
        <f>G20</f>
        <v>86761300</v>
      </c>
      <c r="H19" s="4">
        <f>H20</f>
        <v>5003452</v>
      </c>
      <c r="I19" s="4">
        <f>I20</f>
        <v>1092454</v>
      </c>
      <c r="J19" s="4">
        <f>L19+O19</f>
        <v>14249796</v>
      </c>
      <c r="K19" s="4">
        <f>K20</f>
        <v>14001296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14001296</v>
      </c>
      <c r="P19" s="4">
        <f t="shared" ref="P19:P86" si="0">E19 + J19</f>
        <v>191442784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177192988</v>
      </c>
      <c r="F20" s="4">
        <f>F21++F26+F27+F28+F29+F30+F31+F32+F33+F37+F38+F39+F46+F47+F48+F49+F50+F51+F52+F53+F54+F55</f>
        <v>176100534</v>
      </c>
      <c r="G20" s="4">
        <f>G21++G26+G27+G28+G29+G30+G31+G32+G33+G37+G38+G39+G46+G47+G48+G49+G50+G51+G52+G53+G54+G55</f>
        <v>86761300</v>
      </c>
      <c r="H20" s="4">
        <f>H21++H26+H27+H28+H29+H30+H31+H32+H33+H37+H38+H39+H46+H47+H48+H49+H50+H51+H52+H53+H54+H55</f>
        <v>5003452</v>
      </c>
      <c r="I20" s="4">
        <f>I21++I26+I27+I28+I29+I30+I31+I32+I33+I37+I38+I39+I46+I47+I48+I49+I50+I51+I52+I53+I54+I55</f>
        <v>1092454</v>
      </c>
      <c r="J20" s="4">
        <f>L20+O20</f>
        <v>14249796</v>
      </c>
      <c r="K20" s="4">
        <f>K21++K26+K27+K28+K29+K30+K31+K32+K33+K37+K38+K39+K46+K47+K48+K49+K50+K51+K52+K53+K54+K55</f>
        <v>14001296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14001296</v>
      </c>
      <c r="P20" s="4">
        <f>E20 + J20</f>
        <v>191442784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77668183</v>
      </c>
      <c r="F21" s="6">
        <f>F22+F23+F24+F25</f>
        <v>77668183</v>
      </c>
      <c r="G21" s="6">
        <f>G22+G23+G24+G25</f>
        <v>67788200</v>
      </c>
      <c r="H21" s="6">
        <f t="shared" ref="H21:I21" si="1">H22+H23+H24+H25</f>
        <v>4846600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78906783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69334773</v>
      </c>
      <c r="F22" s="8">
        <f>66352700-109000-99200-100000+490000-12000+34773+3370000+45000-637500</f>
        <v>69334773</v>
      </c>
      <c r="G22" s="8">
        <f>57122400+490000+3370000-342000</f>
        <v>60640400</v>
      </c>
      <c r="H22" s="8">
        <f>4610900-100000-11500-28200</f>
        <v>4471200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69473371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3428500</v>
      </c>
      <c r="F23" s="8">
        <f>3206600+44000+20000+142900+15000</f>
        <v>3428500</v>
      </c>
      <c r="G23" s="8">
        <f>2744700+100000+15000</f>
        <v>2859700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4528501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2721700</v>
      </c>
      <c r="F25" s="8">
        <f>2515800+65000+100900+40000</f>
        <v>2721700</v>
      </c>
      <c r="G25" s="8">
        <f>2134100+65000+150000+40000</f>
        <v>2389100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2721701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25438670</v>
      </c>
      <c r="F28" s="6">
        <f>18586800+794600-1000000+868684-66000+582720+2168480+600000-49100+753217-47000+2230723+15546</f>
        <v>25438670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30302419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9315245</v>
      </c>
      <c r="F29" s="6">
        <f>8941500+198635-54090+79200+150000</f>
        <v>9315245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10185245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11599110</v>
      </c>
      <c r="F30" s="6">
        <f>8225200+99000+603000+36000+2802000-2099490+1000000+284500+325600+284000+39300</f>
        <v>11599110</v>
      </c>
      <c r="G30" s="6">
        <v>0</v>
      </c>
      <c r="H30" s="6">
        <v>0</v>
      </c>
      <c r="I30" s="6">
        <v>0</v>
      </c>
      <c r="J30" s="6">
        <f t="shared" si="6"/>
        <v>2320500</v>
      </c>
      <c r="K30" s="6">
        <f>1000000-36000+1468400+130000-246600+4700</f>
        <v>2320500</v>
      </c>
      <c r="L30" s="6">
        <v>0</v>
      </c>
      <c r="M30" s="6">
        <v>0</v>
      </c>
      <c r="N30" s="6">
        <v>0</v>
      </c>
      <c r="O30" s="6">
        <f>1000000-36000+1468400+130000-246600+4700</f>
        <v>2320500</v>
      </c>
      <c r="P30" s="6">
        <f t="shared" si="0"/>
        <v>13919610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1479600</v>
      </c>
      <c r="F31" s="6">
        <f>1629600-150000</f>
        <v>1479600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1479600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4099900</v>
      </c>
      <c r="F32" s="6">
        <f>4000000+900000+99900-900000</f>
        <v>4099900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4099900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11024800</v>
      </c>
      <c r="F33" s="6">
        <f>F34+F35+F36</f>
        <v>11024800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11024800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7562300</v>
      </c>
      <c r="F34" s="8">
        <f>4176500-44000-78200+3000000+308000+200000</f>
        <v>7562300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7562300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2644800</v>
      </c>
      <c r="F36" s="8">
        <f>3025000-344800-35400</f>
        <v>2644800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2644800</v>
      </c>
    </row>
    <row r="37" spans="1:16">
      <c r="A37" s="9" t="s">
        <v>353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324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383</v>
      </c>
      <c r="B39" s="33">
        <v>7520</v>
      </c>
      <c r="C39" s="9" t="s">
        <v>385</v>
      </c>
      <c r="D39" s="5" t="s">
        <v>384</v>
      </c>
      <c r="E39" s="6">
        <f t="shared" si="9"/>
        <v>1132754</v>
      </c>
      <c r="F39" s="6">
        <f>SUM(F40:F45)</f>
        <v>40300</v>
      </c>
      <c r="G39" s="6">
        <f t="shared" ref="G39:I39" si="10">SUM(G40:G45)</f>
        <v>0</v>
      </c>
      <c r="H39" s="6">
        <f t="shared" si="10"/>
        <v>0</v>
      </c>
      <c r="I39" s="6">
        <f t="shared" si="10"/>
        <v>1092454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2016551</v>
      </c>
    </row>
    <row r="40" spans="1:16" s="21" customFormat="1" ht="62.4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>
      <c r="A42" s="36"/>
      <c r="B42" s="7"/>
      <c r="C42" s="36"/>
      <c r="D42" s="1" t="s">
        <v>389</v>
      </c>
      <c r="E42" s="8">
        <f t="shared" si="9"/>
        <v>237000</v>
      </c>
      <c r="F42" s="8"/>
      <c r="G42" s="8"/>
      <c r="H42" s="8"/>
      <c r="I42" s="8">
        <f>190000+47000</f>
        <v>237000</v>
      </c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927000</v>
      </c>
    </row>
    <row r="43" spans="1:16" s="21" customFormat="1" ht="62.4">
      <c r="A43" s="36"/>
      <c r="B43" s="7"/>
      <c r="C43" s="36"/>
      <c r="D43" s="1" t="s">
        <v>390</v>
      </c>
      <c r="E43" s="8">
        <f t="shared" si="9"/>
        <v>747454</v>
      </c>
      <c r="F43" s="8"/>
      <c r="G43" s="8"/>
      <c r="H43" s="8"/>
      <c r="I43" s="8">
        <f>577000+186000-15546</f>
        <v>747454</v>
      </c>
      <c r="J43" s="8">
        <f t="shared" si="6"/>
        <v>0</v>
      </c>
      <c r="K43" s="8"/>
      <c r="L43" s="8"/>
      <c r="M43" s="8"/>
      <c r="N43" s="8"/>
      <c r="O43" s="8"/>
      <c r="P43" s="8">
        <f t="shared" si="0"/>
        <v>747454</v>
      </c>
    </row>
    <row r="44" spans="1:16" s="21" customFormat="1" ht="62.4">
      <c r="A44" s="36"/>
      <c r="B44" s="7"/>
      <c r="C44" s="36"/>
      <c r="D44" s="1" t="s">
        <v>391</v>
      </c>
      <c r="E44" s="8">
        <f t="shared" si="9"/>
        <v>108000</v>
      </c>
      <c r="F44" s="8"/>
      <c r="G44" s="8"/>
      <c r="H44" s="8"/>
      <c r="I44" s="8">
        <v>108000</v>
      </c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>
      <c r="A45" s="36"/>
      <c r="B45" s="7"/>
      <c r="C45" s="36"/>
      <c r="D45" s="1" t="s">
        <v>392</v>
      </c>
      <c r="E45" s="8">
        <f t="shared" si="9"/>
        <v>40300</v>
      </c>
      <c r="F45" s="8">
        <f>21400+18900</f>
        <v>40300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115897</v>
      </c>
    </row>
    <row r="46" spans="1:16">
      <c r="A46" s="9" t="s">
        <v>325</v>
      </c>
      <c r="B46" s="33">
        <v>7640</v>
      </c>
      <c r="C46" s="9" t="s">
        <v>327</v>
      </c>
      <c r="D46" s="5" t="s">
        <v>326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354</v>
      </c>
      <c r="B48" s="33">
        <v>8110</v>
      </c>
      <c r="C48" s="9" t="s">
        <v>248</v>
      </c>
      <c r="D48" s="5" t="s">
        <v>249</v>
      </c>
      <c r="E48" s="6">
        <f t="shared" si="5"/>
        <v>78500</v>
      </c>
      <c r="F48" s="6">
        <f>42000+49000-32500+20000</f>
        <v>78500</v>
      </c>
      <c r="G48" s="6"/>
      <c r="H48" s="6"/>
      <c r="I48" s="6"/>
      <c r="J48" s="6">
        <f t="shared" si="6"/>
        <v>120000</v>
      </c>
      <c r="K48" s="6">
        <v>120000</v>
      </c>
      <c r="L48" s="6"/>
      <c r="M48" s="6"/>
      <c r="N48" s="6"/>
      <c r="O48" s="6">
        <v>120000</v>
      </c>
      <c r="P48" s="6">
        <f t="shared" si="0"/>
        <v>198500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21063923</v>
      </c>
      <c r="F49" s="6">
        <f>19446000+1542000-444800+1481200-700000-37299-180627-18900-23651</f>
        <v>21063923</v>
      </c>
      <c r="G49" s="6">
        <f>16649900+1542000+1481200-700000</f>
        <v>18973100</v>
      </c>
      <c r="H49" s="6">
        <f>327000-146497-23651</f>
        <v>156852</v>
      </c>
      <c r="I49" s="6">
        <v>0</v>
      </c>
      <c r="J49" s="6">
        <f t="shared" si="6"/>
        <v>35950</v>
      </c>
      <c r="K49" s="6">
        <f>37299-1349</f>
        <v>35950</v>
      </c>
      <c r="L49" s="6">
        <v>0</v>
      </c>
      <c r="M49" s="6">
        <v>0</v>
      </c>
      <c r="N49" s="6">
        <v>0</v>
      </c>
      <c r="O49" s="6">
        <f>37299-1349</f>
        <v>35950</v>
      </c>
      <c r="P49" s="6">
        <f t="shared" si="0"/>
        <v>21099873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556030</v>
      </c>
      <c r="F50" s="6">
        <f>637000+33000+116030-230000</f>
        <v>556030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556030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2">
      <c r="A52" s="9" t="s">
        <v>319</v>
      </c>
      <c r="B52" s="33">
        <v>8240</v>
      </c>
      <c r="C52" s="9" t="s">
        <v>63</v>
      </c>
      <c r="D52" s="5" t="s">
        <v>272</v>
      </c>
      <c r="E52" s="6">
        <f t="shared" si="5"/>
        <v>1006366</v>
      </c>
      <c r="F52" s="6">
        <f>640000+1000000-1000000+314028+52338</f>
        <v>1006366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2282866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">
      <c r="A54" s="9" t="s">
        <v>408</v>
      </c>
      <c r="B54" s="33">
        <v>8721</v>
      </c>
      <c r="C54" s="9" t="s">
        <v>47</v>
      </c>
      <c r="D54" s="5" t="s">
        <v>409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2">
      <c r="A55" s="9" t="s">
        <v>363</v>
      </c>
      <c r="B55" s="33">
        <v>8775</v>
      </c>
      <c r="C55" s="9" t="s">
        <v>31</v>
      </c>
      <c r="D55" s="5" t="s">
        <v>364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6.8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426129919.63</v>
      </c>
      <c r="F56" s="4">
        <f>F57</f>
        <v>426036919.63</v>
      </c>
      <c r="G56" s="4">
        <f>G57</f>
        <v>338414679.99000001</v>
      </c>
      <c r="H56" s="4">
        <f>H57</f>
        <v>30771001</v>
      </c>
      <c r="I56" s="4">
        <f>I57</f>
        <v>93000</v>
      </c>
      <c r="J56" s="4">
        <f>L56+O56</f>
        <v>46420048.359999999</v>
      </c>
      <c r="K56" s="4">
        <f>K57</f>
        <v>26555829.359999999</v>
      </c>
      <c r="L56" s="4">
        <f t="shared" ref="L56:O56" si="11">L57</f>
        <v>16500000</v>
      </c>
      <c r="M56" s="4">
        <f t="shared" si="11"/>
        <v>0</v>
      </c>
      <c r="N56" s="4">
        <f t="shared" si="11"/>
        <v>0</v>
      </c>
      <c r="O56" s="4">
        <f t="shared" si="11"/>
        <v>29920048.359999999</v>
      </c>
      <c r="P56" s="4">
        <f t="shared" si="0"/>
        <v>472549967.99000001</v>
      </c>
    </row>
    <row r="57" spans="1:16" ht="46.8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426129919.63</v>
      </c>
      <c r="F57" s="4">
        <f>SUM(F58:F89)-F80-F81-F76-F77</f>
        <v>426036919.63</v>
      </c>
      <c r="G57" s="4">
        <f t="shared" ref="G57:K57" si="12">SUM(G58:G89)-G80-G81-G76-G77</f>
        <v>338414679.99000001</v>
      </c>
      <c r="H57" s="4">
        <f t="shared" si="12"/>
        <v>30771001</v>
      </c>
      <c r="I57" s="4">
        <f t="shared" si="12"/>
        <v>93000</v>
      </c>
      <c r="J57" s="4">
        <f>L57+O57</f>
        <v>46420048.359999999</v>
      </c>
      <c r="K57" s="4">
        <f t="shared" si="12"/>
        <v>26555829.359999999</v>
      </c>
      <c r="L57" s="4">
        <f t="shared" ref="L57" si="13">SUM(L58:L89)-L80-L81-L76-L77</f>
        <v>16500000</v>
      </c>
      <c r="M57" s="4">
        <f t="shared" ref="M57" si="14">SUM(M58:M89)-M80-M81-M76-M77</f>
        <v>0</v>
      </c>
      <c r="N57" s="4">
        <f t="shared" ref="N57" si="15">SUM(N58:N89)-N80-N81-N76-N77</f>
        <v>0</v>
      </c>
      <c r="O57" s="4">
        <f t="shared" ref="O57" si="16">SUM(O58:O89)-O80-O81-O76-O77</f>
        <v>29920048.359999999</v>
      </c>
      <c r="P57" s="4">
        <f t="shared" si="0"/>
        <v>472549967.99000001</v>
      </c>
    </row>
    <row r="58" spans="1:16" ht="46.8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4960433</v>
      </c>
      <c r="F58" s="6">
        <f>5123700-7867-220000+64600</f>
        <v>4960433</v>
      </c>
      <c r="G58" s="6">
        <f>4656300-220000+122000</f>
        <v>4558300</v>
      </c>
      <c r="H58" s="6">
        <f>400800-640-57400</f>
        <v>342760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4960433</v>
      </c>
    </row>
    <row r="59" spans="1:16" ht="31.2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7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8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7"/>
        <v>88748508</v>
      </c>
      <c r="F60" s="6">
        <f>108737600-5482940-1541905-371581-1938765-5061596+497415-4000000-3124720+1833000-798000</f>
        <v>88748508</v>
      </c>
      <c r="G60" s="6">
        <f>85693100-5482940-656964-5061596-4000000-1200000+1380000-415000+147000</f>
        <v>70403600</v>
      </c>
      <c r="H60" s="6">
        <f>12904300-668900-371581-450700-480000</f>
        <v>10933119</v>
      </c>
      <c r="I60" s="6">
        <v>0</v>
      </c>
      <c r="J60" s="6">
        <f t="shared" si="18"/>
        <v>21645713</v>
      </c>
      <c r="K60" s="6">
        <f>3621430+287283+2100000-166000-297000</f>
        <v>5545713</v>
      </c>
      <c r="L60" s="6">
        <v>16100000</v>
      </c>
      <c r="M60" s="6">
        <v>0</v>
      </c>
      <c r="N60" s="6">
        <v>0</v>
      </c>
      <c r="O60" s="6">
        <f>3621430+287283+2100000-166000-297000</f>
        <v>5545713</v>
      </c>
      <c r="P60" s="6">
        <f t="shared" si="0"/>
        <v>110394221</v>
      </c>
    </row>
    <row r="61" spans="1:16" ht="46.8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7"/>
        <v>83010508</v>
      </c>
      <c r="F61" s="6">
        <f>78349600+15100000-1214067+658273+168737-800000+239800-6273931+431000-3573904+715000-790000-27000</f>
        <v>82983508</v>
      </c>
      <c r="G61" s="6">
        <f>40380000+15100000-6273931-5512084-400000+272000+143000</f>
        <v>43708985</v>
      </c>
      <c r="H61" s="6">
        <f>16403600-644047-540000-1230000</f>
        <v>13989553</v>
      </c>
      <c r="I61" s="6">
        <v>27000</v>
      </c>
      <c r="J61" s="6">
        <f t="shared" si="18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86814278</v>
      </c>
    </row>
    <row r="62" spans="1:16" ht="93.6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7"/>
        <v>13076050</v>
      </c>
      <c r="F62" s="6">
        <f>14164200+900000-138150+45000+13000-1785000-123000</f>
        <v>13076050</v>
      </c>
      <c r="G62" s="6">
        <f>10028000+900000-1850000</f>
        <v>9078000</v>
      </c>
      <c r="H62" s="6">
        <f>1929700-9700-123000</f>
        <v>1797000</v>
      </c>
      <c r="I62" s="6">
        <v>0</v>
      </c>
      <c r="J62" s="6">
        <f t="shared" si="18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13076050</v>
      </c>
    </row>
    <row r="63" spans="1:16" ht="46.8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7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8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3.6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7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8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6.8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7"/>
        <v>21921302</v>
      </c>
      <c r="F65" s="6">
        <f>22900800-193260-251988-820250+605000-319000</f>
        <v>21921302</v>
      </c>
      <c r="G65" s="6">
        <f>19000000-1000000+605000</f>
        <v>18605000</v>
      </c>
      <c r="H65" s="6">
        <f>1388800-26570+150700-319000</f>
        <v>1193930</v>
      </c>
      <c r="I65" s="6">
        <v>0</v>
      </c>
      <c r="J65" s="6">
        <f t="shared" si="18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22121302</v>
      </c>
    </row>
    <row r="66" spans="1:18" ht="46.8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7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8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2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7"/>
        <v>20341253</v>
      </c>
      <c r="F67" s="6">
        <f>20474900-20000+1103382-658273+202844-46000+60000+1140000-610000-1371600</f>
        <v>20275253</v>
      </c>
      <c r="G67" s="6">
        <f>17600000-610000-500000</f>
        <v>16490000</v>
      </c>
      <c r="H67" s="6">
        <f>2136900+259789-160000-671600</f>
        <v>1565089</v>
      </c>
      <c r="I67" s="6">
        <f>20000+46000</f>
        <v>66000</v>
      </c>
      <c r="J67" s="6">
        <f t="shared" si="18"/>
        <v>4633000</v>
      </c>
      <c r="K67" s="6">
        <f>1200000-70000+3500000</f>
        <v>4630000</v>
      </c>
      <c r="L67" s="6">
        <v>3000</v>
      </c>
      <c r="M67" s="6">
        <v>0</v>
      </c>
      <c r="N67" s="6">
        <v>0</v>
      </c>
      <c r="O67" s="6">
        <f>1200000-70000+3500000</f>
        <v>4630000</v>
      </c>
      <c r="P67" s="6">
        <f t="shared" si="0"/>
        <v>24974253</v>
      </c>
    </row>
    <row r="68" spans="1:18" ht="46.8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7"/>
        <v>620120</v>
      </c>
      <c r="F68" s="6">
        <f>726800-200000-10280+6000+100000-2400</f>
        <v>620120</v>
      </c>
      <c r="G68" s="6">
        <f>393800-200000+18300+4600</f>
        <v>216700</v>
      </c>
      <c r="H68" s="6">
        <f>179000-18630-7000</f>
        <v>153370</v>
      </c>
      <c r="I68" s="6">
        <v>0</v>
      </c>
      <c r="J68" s="6">
        <f t="shared" si="18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620120</v>
      </c>
    </row>
    <row r="69" spans="1:18" ht="46.8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7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8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4.8">
      <c r="A70" s="9" t="s">
        <v>355</v>
      </c>
      <c r="B70" s="33">
        <v>1154</v>
      </c>
      <c r="C70" s="9" t="s">
        <v>106</v>
      </c>
      <c r="D70" s="5" t="s">
        <v>356</v>
      </c>
      <c r="E70" s="6">
        <f t="shared" si="17"/>
        <v>245454.99</v>
      </c>
      <c r="F70" s="6">
        <v>245454.99</v>
      </c>
      <c r="G70" s="6">
        <v>245454.99</v>
      </c>
      <c r="H70" s="6"/>
      <c r="I70" s="6"/>
      <c r="J70" s="6">
        <f t="shared" si="18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6.8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7"/>
        <v>4312618</v>
      </c>
      <c r="F71" s="6">
        <f>4471900-4482-152000-2800</f>
        <v>4312618</v>
      </c>
      <c r="G71" s="6">
        <f>4150000-350000</f>
        <v>3800000</v>
      </c>
      <c r="H71" s="6">
        <f>56900-300-2800</f>
        <v>53800</v>
      </c>
      <c r="I71" s="6">
        <v>0</v>
      </c>
      <c r="J71" s="6">
        <f t="shared" si="18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4312618</v>
      </c>
    </row>
    <row r="72" spans="1:18" ht="109.2">
      <c r="A72" s="9" t="s">
        <v>393</v>
      </c>
      <c r="B72" s="9" t="s">
        <v>395</v>
      </c>
      <c r="C72" s="9" t="s">
        <v>106</v>
      </c>
      <c r="D72" s="5" t="s">
        <v>397</v>
      </c>
      <c r="E72" s="6">
        <f t="shared" si="17"/>
        <v>0</v>
      </c>
      <c r="F72" s="6"/>
      <c r="G72" s="6"/>
      <c r="H72" s="6"/>
      <c r="I72" s="6"/>
      <c r="J72" s="6">
        <f t="shared" si="18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3.6">
      <c r="A73" s="9" t="s">
        <v>394</v>
      </c>
      <c r="B73" s="9" t="s">
        <v>396</v>
      </c>
      <c r="C73" s="9" t="s">
        <v>106</v>
      </c>
      <c r="D73" s="5" t="s">
        <v>398</v>
      </c>
      <c r="E73" s="6">
        <f t="shared" si="17"/>
        <v>0</v>
      </c>
      <c r="F73" s="6"/>
      <c r="G73" s="6"/>
      <c r="H73" s="6"/>
      <c r="I73" s="6"/>
      <c r="J73" s="6">
        <f t="shared" si="18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">
      <c r="A74" s="9" t="s">
        <v>375</v>
      </c>
      <c r="B74" s="33">
        <v>1200</v>
      </c>
      <c r="C74" s="33" t="s">
        <v>106</v>
      </c>
      <c r="D74" s="5" t="s">
        <v>376</v>
      </c>
      <c r="E74" s="6">
        <f t="shared" si="17"/>
        <v>430630</v>
      </c>
      <c r="F74" s="6">
        <f>F76+F77</f>
        <v>430630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430630</v>
      </c>
    </row>
    <row r="75" spans="1:18" s="25" customFormat="1">
      <c r="A75" s="22"/>
      <c r="B75" s="22"/>
      <c r="C75" s="22"/>
      <c r="D75" s="23" t="s">
        <v>368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">
      <c r="A76" s="26"/>
      <c r="B76" s="26"/>
      <c r="C76" s="26"/>
      <c r="D76" s="27" t="s">
        <v>369</v>
      </c>
      <c r="E76" s="31">
        <f t="shared" ref="E76:E77" si="19">F76+I76</f>
        <v>244709</v>
      </c>
      <c r="F76" s="31">
        <f>179439+65270</f>
        <v>244709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20">E76+J76</f>
        <v>244709</v>
      </c>
      <c r="Q76" s="28"/>
      <c r="R76" s="28"/>
    </row>
    <row r="77" spans="1:18" s="29" customFormat="1" ht="78">
      <c r="A77" s="26"/>
      <c r="B77" s="26"/>
      <c r="C77" s="26"/>
      <c r="D77" s="27" t="s">
        <v>370</v>
      </c>
      <c r="E77" s="31">
        <f t="shared" si="19"/>
        <v>185921</v>
      </c>
      <c r="F77" s="31">
        <f>112671+73250</f>
        <v>185921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20"/>
        <v>185921</v>
      </c>
      <c r="Q77" s="28"/>
      <c r="R77" s="28"/>
    </row>
    <row r="78" spans="1:18" s="25" customFormat="1" ht="93.6">
      <c r="A78" s="22" t="s">
        <v>365</v>
      </c>
      <c r="B78" s="22" t="s">
        <v>366</v>
      </c>
      <c r="C78" s="22" t="s">
        <v>106</v>
      </c>
      <c r="D78" s="23" t="s">
        <v>367</v>
      </c>
      <c r="E78" s="30">
        <f>F78+I78</f>
        <v>367454</v>
      </c>
      <c r="F78" s="30">
        <f>F80+F81</f>
        <v>367454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1">E78+J78</f>
        <v>367454</v>
      </c>
      <c r="Q78" s="24"/>
      <c r="R78" s="24"/>
    </row>
    <row r="79" spans="1:18" s="25" customFormat="1">
      <c r="A79" s="22"/>
      <c r="B79" s="22"/>
      <c r="C79" s="22"/>
      <c r="D79" s="23" t="s">
        <v>368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">
      <c r="A80" s="26"/>
      <c r="B80" s="26"/>
      <c r="C80" s="26"/>
      <c r="D80" s="27" t="s">
        <v>369</v>
      </c>
      <c r="E80" s="31">
        <f t="shared" ref="E80:E81" si="22">F80+I80</f>
        <v>187734</v>
      </c>
      <c r="F80" s="31">
        <f>60434+127300</f>
        <v>187734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1"/>
        <v>187734</v>
      </c>
      <c r="Q80" s="28"/>
      <c r="R80" s="28"/>
    </row>
    <row r="81" spans="1:18" s="29" customFormat="1" ht="78">
      <c r="A81" s="26"/>
      <c r="B81" s="26"/>
      <c r="C81" s="26"/>
      <c r="D81" s="27" t="s">
        <v>370</v>
      </c>
      <c r="E81" s="31">
        <f t="shared" si="22"/>
        <v>179720</v>
      </c>
      <c r="F81" s="31">
        <f>36850+142870</f>
        <v>179720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1"/>
        <v>179720</v>
      </c>
      <c r="Q81" s="28"/>
      <c r="R81" s="28"/>
    </row>
    <row r="82" spans="1:18" ht="140.4">
      <c r="A82" s="9" t="s">
        <v>357</v>
      </c>
      <c r="B82" s="33">
        <v>1291</v>
      </c>
      <c r="C82" s="22" t="s">
        <v>106</v>
      </c>
      <c r="D82" s="5" t="s">
        <v>358</v>
      </c>
      <c r="E82" s="32">
        <f t="shared" si="17"/>
        <v>0</v>
      </c>
      <c r="F82" s="32"/>
      <c r="G82" s="32"/>
      <c r="H82" s="32"/>
      <c r="I82" s="32"/>
      <c r="J82" s="32">
        <f t="shared" si="18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4.8">
      <c r="A83" s="22" t="s">
        <v>348</v>
      </c>
      <c r="B83" s="22" t="s">
        <v>349</v>
      </c>
      <c r="C83" s="22" t="s">
        <v>106</v>
      </c>
      <c r="D83" s="23" t="s">
        <v>350</v>
      </c>
      <c r="E83" s="32">
        <f t="shared" si="17"/>
        <v>0</v>
      </c>
      <c r="F83" s="32"/>
      <c r="G83" s="32"/>
      <c r="H83" s="32"/>
      <c r="I83" s="32"/>
      <c r="J83" s="32">
        <f t="shared" si="18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">
      <c r="A84" s="22" t="s">
        <v>410</v>
      </c>
      <c r="B84" s="22" t="s">
        <v>411</v>
      </c>
      <c r="C84" s="22" t="s">
        <v>106</v>
      </c>
      <c r="D84" s="23" t="s">
        <v>412</v>
      </c>
      <c r="E84" s="32">
        <f t="shared" si="17"/>
        <v>5961200</v>
      </c>
      <c r="F84" s="32">
        <f>6815300-854100</f>
        <v>5961200</v>
      </c>
      <c r="G84" s="32"/>
      <c r="H84" s="32"/>
      <c r="I84" s="32"/>
      <c r="J84" s="32">
        <f t="shared" si="18"/>
        <v>0</v>
      </c>
      <c r="K84" s="32"/>
      <c r="L84" s="32"/>
      <c r="M84" s="32"/>
      <c r="N84" s="32"/>
      <c r="O84" s="30"/>
      <c r="P84" s="32">
        <f t="shared" si="0"/>
        <v>5961200</v>
      </c>
    </row>
    <row r="85" spans="1:18" ht="93.6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7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8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2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7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8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6.8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7"/>
        <v>11357647</v>
      </c>
      <c r="F87" s="6">
        <f>11976800-53053+10000-148000-400000-28100</f>
        <v>11357647</v>
      </c>
      <c r="G87" s="6">
        <f>10100000-360000-400000</f>
        <v>9340000</v>
      </c>
      <c r="H87" s="6">
        <f>771800-1320-28100</f>
        <v>742380</v>
      </c>
      <c r="I87" s="6">
        <v>0</v>
      </c>
      <c r="J87" s="6">
        <f t="shared" si="18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5" si="23">E87 + J87</f>
        <v>11357647</v>
      </c>
    </row>
    <row r="88" spans="1:18" ht="31.2">
      <c r="A88" s="9" t="s">
        <v>386</v>
      </c>
      <c r="B88" s="33">
        <v>7520</v>
      </c>
      <c r="C88" s="9" t="s">
        <v>385</v>
      </c>
      <c r="D88" s="5" t="s">
        <v>384</v>
      </c>
      <c r="E88" s="6">
        <f t="shared" si="17"/>
        <v>295000</v>
      </c>
      <c r="F88" s="6">
        <v>295000</v>
      </c>
      <c r="G88" s="6"/>
      <c r="H88" s="6"/>
      <c r="I88" s="6"/>
      <c r="J88" s="6">
        <f t="shared" si="18"/>
        <v>205000</v>
      </c>
      <c r="K88" s="6">
        <v>205000</v>
      </c>
      <c r="L88" s="6"/>
      <c r="M88" s="6"/>
      <c r="N88" s="6"/>
      <c r="O88" s="6">
        <v>205000</v>
      </c>
      <c r="P88" s="6">
        <f t="shared" si="23"/>
        <v>500000</v>
      </c>
    </row>
    <row r="89" spans="1:18" ht="46.8">
      <c r="A89" s="9" t="s">
        <v>328</v>
      </c>
      <c r="B89" s="33">
        <v>8110</v>
      </c>
      <c r="C89" s="9" t="s">
        <v>248</v>
      </c>
      <c r="D89" s="5" t="s">
        <v>249</v>
      </c>
      <c r="E89" s="6">
        <f t="shared" si="17"/>
        <v>1198531.6400000001</v>
      </c>
      <c r="F89" s="6">
        <f>100000+531231.64+650000-82700</f>
        <v>1198531.6400000001</v>
      </c>
      <c r="G89" s="6"/>
      <c r="H89" s="6"/>
      <c r="I89" s="6"/>
      <c r="J89" s="6">
        <f t="shared" si="18"/>
        <v>7752925.3599999994</v>
      </c>
      <c r="K89" s="6">
        <f>3000000+689876+1958149.36+7000000-1545100-100000-3250000</f>
        <v>7752925.3599999994</v>
      </c>
      <c r="L89" s="6"/>
      <c r="M89" s="6"/>
      <c r="N89" s="6"/>
      <c r="O89" s="6">
        <f>3000000+689876+1958149.36+7000000-1545100-100000-3250000</f>
        <v>7752925.3599999994</v>
      </c>
      <c r="P89" s="6">
        <f t="shared" si="23"/>
        <v>8951457</v>
      </c>
    </row>
    <row r="90" spans="1:18" ht="46.8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99515484.060000002</v>
      </c>
      <c r="F90" s="4">
        <f>F91</f>
        <v>99515484.060000002</v>
      </c>
      <c r="G90" s="4">
        <f>G91</f>
        <v>40995119.060000002</v>
      </c>
      <c r="H90" s="4">
        <f>H91</f>
        <v>1109500</v>
      </c>
      <c r="I90" s="4">
        <f>I91</f>
        <v>0</v>
      </c>
      <c r="J90" s="4">
        <f>L90+O90</f>
        <v>19231897</v>
      </c>
      <c r="K90" s="4">
        <f>K91</f>
        <v>19175497</v>
      </c>
      <c r="L90" s="4">
        <f t="shared" ref="L90:O90" si="24">L91</f>
        <v>0</v>
      </c>
      <c r="M90" s="4">
        <f t="shared" si="24"/>
        <v>0</v>
      </c>
      <c r="N90" s="4">
        <f t="shared" si="24"/>
        <v>0</v>
      </c>
      <c r="O90" s="4">
        <f t="shared" si="24"/>
        <v>19231897</v>
      </c>
      <c r="P90" s="4">
        <f t="shared" si="23"/>
        <v>118747381.06</v>
      </c>
    </row>
    <row r="91" spans="1:18" ht="46.8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99515484.060000002</v>
      </c>
      <c r="F91" s="4">
        <f>SUM(F92:F111)</f>
        <v>99515484.060000002</v>
      </c>
      <c r="G91" s="4">
        <f t="shared" ref="G91:K91" si="25">SUM(G92:G111)</f>
        <v>40995119.060000002</v>
      </c>
      <c r="H91" s="4">
        <f t="shared" si="25"/>
        <v>1109500</v>
      </c>
      <c r="I91" s="4">
        <f t="shared" si="25"/>
        <v>0</v>
      </c>
      <c r="J91" s="4">
        <f>L91+O91</f>
        <v>19231897</v>
      </c>
      <c r="K91" s="4">
        <f t="shared" si="25"/>
        <v>19175497</v>
      </c>
      <c r="L91" s="4">
        <f t="shared" ref="L91" si="26">SUM(L92:L111)</f>
        <v>0</v>
      </c>
      <c r="M91" s="4">
        <f t="shared" ref="M91" si="27">SUM(M92:M111)</f>
        <v>0</v>
      </c>
      <c r="N91" s="4">
        <f t="shared" ref="N91" si="28">SUM(N92:N111)</f>
        <v>0</v>
      </c>
      <c r="O91" s="4">
        <f t="shared" ref="O91" si="29">SUM(O92:O111)</f>
        <v>19231897</v>
      </c>
      <c r="P91" s="4">
        <f t="shared" si="23"/>
        <v>118747381.06</v>
      </c>
    </row>
    <row r="92" spans="1:18" ht="46.8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17811500</v>
      </c>
      <c r="F92" s="6">
        <f>15522300+600000+1500000+189200</f>
        <v>17811500</v>
      </c>
      <c r="G92" s="6">
        <f>14208400+600000+1500000+420000</f>
        <v>16728400</v>
      </c>
      <c r="H92" s="6">
        <f>770900-207000</f>
        <v>563900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3"/>
        <v>17811500</v>
      </c>
    </row>
    <row r="93" spans="1:18" ht="31.2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11" si="30">F93+I93</f>
        <v>110110</v>
      </c>
      <c r="F93" s="6">
        <f>149000+99200-54090-84000</f>
        <v>110110</v>
      </c>
      <c r="G93" s="6">
        <v>0</v>
      </c>
      <c r="H93" s="6">
        <v>0</v>
      </c>
      <c r="I93" s="6">
        <v>0</v>
      </c>
      <c r="J93" s="6">
        <f t="shared" ref="J93:J190" si="31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3"/>
        <v>110110</v>
      </c>
    </row>
    <row r="94" spans="1:18" ht="46.8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30"/>
        <v>1805900</v>
      </c>
      <c r="F94" s="6">
        <f>2311000-505100</f>
        <v>1805900</v>
      </c>
      <c r="G94" s="6">
        <v>0</v>
      </c>
      <c r="H94" s="6">
        <v>0</v>
      </c>
      <c r="I94" s="6">
        <v>0</v>
      </c>
      <c r="J94" s="6">
        <f t="shared" si="31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3"/>
        <v>1805900</v>
      </c>
    </row>
    <row r="95" spans="1:18" ht="31.2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30"/>
        <v>4700</v>
      </c>
      <c r="F95" s="6">
        <f>11500-6800</f>
        <v>4700</v>
      </c>
      <c r="G95" s="6">
        <v>0</v>
      </c>
      <c r="H95" s="6">
        <v>0</v>
      </c>
      <c r="I95" s="6">
        <v>0</v>
      </c>
      <c r="J95" s="6">
        <f t="shared" si="31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3"/>
        <v>4700</v>
      </c>
    </row>
    <row r="96" spans="1:18" ht="46.8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30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31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3"/>
        <v>444119</v>
      </c>
    </row>
    <row r="97" spans="1:16" ht="46.8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30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31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3"/>
        <v>83516</v>
      </c>
    </row>
    <row r="98" spans="1:16" ht="78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30"/>
        <v>18196353.059999999</v>
      </c>
      <c r="F98" s="6">
        <f>19637500-1007040+65893.06-500000</f>
        <v>18196353.059999999</v>
      </c>
      <c r="G98" s="6">
        <f>18509200-1000000+65893.06-500000</f>
        <v>17075093.059999999</v>
      </c>
      <c r="H98" s="6">
        <v>345300</v>
      </c>
      <c r="I98" s="6">
        <v>0</v>
      </c>
      <c r="J98" s="6">
        <f t="shared" si="31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3"/>
        <v>18252753.059999999</v>
      </c>
    </row>
    <row r="99" spans="1:16" ht="31.2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30"/>
        <v>8473800</v>
      </c>
      <c r="F99" s="6">
        <f>8328600+45200+100000</f>
        <v>8473800</v>
      </c>
      <c r="G99" s="6">
        <f>7128500+47000</f>
        <v>7175500</v>
      </c>
      <c r="H99" s="6">
        <f>247300-47000</f>
        <v>200300</v>
      </c>
      <c r="I99" s="6">
        <v>0</v>
      </c>
      <c r="J99" s="6">
        <f t="shared" si="31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3"/>
        <v>10473800</v>
      </c>
    </row>
    <row r="100" spans="1:16" ht="31.2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30"/>
        <v>361500</v>
      </c>
      <c r="F100" s="6">
        <f>700000-275000-63500</f>
        <v>361500</v>
      </c>
      <c r="G100" s="6">
        <v>0</v>
      </c>
      <c r="H100" s="6">
        <v>0</v>
      </c>
      <c r="I100" s="6">
        <v>0</v>
      </c>
      <c r="J100" s="6">
        <f t="shared" si="31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3"/>
        <v>361500</v>
      </c>
    </row>
    <row r="101" spans="1:16" ht="109.2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30"/>
        <v>2779000</v>
      </c>
      <c r="F101" s="6">
        <f>3300000-521000</f>
        <v>2779000</v>
      </c>
      <c r="G101" s="6">
        <v>0</v>
      </c>
      <c r="H101" s="6">
        <v>0</v>
      </c>
      <c r="I101" s="6">
        <v>0</v>
      </c>
      <c r="J101" s="6">
        <f t="shared" si="31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3"/>
        <v>2779000</v>
      </c>
    </row>
    <row r="102" spans="1:16" ht="78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30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31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3"/>
        <v>28720</v>
      </c>
    </row>
    <row r="103" spans="1:16" ht="93.6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30"/>
        <v>1061300</v>
      </c>
      <c r="F103" s="6">
        <f>1500000-40000-398700</f>
        <v>1061300</v>
      </c>
      <c r="G103" s="6">
        <v>0</v>
      </c>
      <c r="H103" s="6">
        <v>0</v>
      </c>
      <c r="I103" s="6">
        <v>0</v>
      </c>
      <c r="J103" s="6">
        <f t="shared" si="31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3"/>
        <v>1061300</v>
      </c>
    </row>
    <row r="104" spans="1:16" ht="62.4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30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31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3"/>
        <v>71000</v>
      </c>
    </row>
    <row r="105" spans="1:16" ht="93.6">
      <c r="A105" s="9" t="s">
        <v>425</v>
      </c>
      <c r="B105" s="41">
        <v>3193</v>
      </c>
      <c r="C105" s="41">
        <v>1030</v>
      </c>
      <c r="D105" s="5" t="s">
        <v>424</v>
      </c>
      <c r="E105" s="6">
        <f t="shared" si="30"/>
        <v>16126</v>
      </c>
      <c r="F105" s="6">
        <v>16126</v>
      </c>
      <c r="G105" s="6">
        <v>16126</v>
      </c>
      <c r="H105" s="6"/>
      <c r="I105" s="6"/>
      <c r="J105" s="6"/>
      <c r="K105" s="6"/>
      <c r="L105" s="6"/>
      <c r="M105" s="6"/>
      <c r="N105" s="6"/>
      <c r="O105" s="6"/>
      <c r="P105" s="6">
        <f t="shared" si="23"/>
        <v>16126</v>
      </c>
    </row>
    <row r="106" spans="1:16" ht="409.6">
      <c r="A106" s="9" t="s">
        <v>377</v>
      </c>
      <c r="B106" s="33">
        <v>3221</v>
      </c>
      <c r="C106" s="33">
        <v>1060</v>
      </c>
      <c r="D106" s="37" t="s">
        <v>379</v>
      </c>
      <c r="E106" s="6">
        <f t="shared" si="30"/>
        <v>0</v>
      </c>
      <c r="F106" s="6"/>
      <c r="G106" s="6"/>
      <c r="H106" s="6"/>
      <c r="I106" s="6"/>
      <c r="J106" s="6">
        <f t="shared" si="31"/>
        <v>6191718</v>
      </c>
      <c r="K106" s="6">
        <f>1859158+4332560</f>
        <v>6191718</v>
      </c>
      <c r="L106" s="6"/>
      <c r="M106" s="6"/>
      <c r="N106" s="6"/>
      <c r="O106" s="6">
        <f>1859158+4332560</f>
        <v>6191718</v>
      </c>
      <c r="P106" s="6">
        <f t="shared" si="23"/>
        <v>6191718</v>
      </c>
    </row>
    <row r="107" spans="1:16" ht="409.6">
      <c r="A107" s="9" t="s">
        <v>420</v>
      </c>
      <c r="B107" s="33">
        <v>3222</v>
      </c>
      <c r="C107" s="33">
        <v>1060</v>
      </c>
      <c r="D107" s="37" t="s">
        <v>421</v>
      </c>
      <c r="E107" s="6">
        <f t="shared" si="30"/>
        <v>0</v>
      </c>
      <c r="F107" s="6"/>
      <c r="G107" s="6"/>
      <c r="H107" s="6"/>
      <c r="I107" s="6"/>
      <c r="J107" s="6">
        <f t="shared" si="31"/>
        <v>6239090</v>
      </c>
      <c r="K107" s="6">
        <v>6239090</v>
      </c>
      <c r="L107" s="6"/>
      <c r="M107" s="6"/>
      <c r="N107" s="6"/>
      <c r="O107" s="6">
        <v>6239090</v>
      </c>
      <c r="P107" s="6">
        <f t="shared" si="23"/>
        <v>6239090</v>
      </c>
    </row>
    <row r="108" spans="1:16" ht="280.8">
      <c r="A108" s="9" t="s">
        <v>378</v>
      </c>
      <c r="B108" s="33">
        <v>3223</v>
      </c>
      <c r="C108" s="33">
        <v>1060</v>
      </c>
      <c r="D108" s="37" t="s">
        <v>380</v>
      </c>
      <c r="E108" s="6">
        <f t="shared" si="30"/>
        <v>0</v>
      </c>
      <c r="F108" s="6"/>
      <c r="G108" s="6"/>
      <c r="H108" s="6"/>
      <c r="I108" s="6"/>
      <c r="J108" s="6">
        <f t="shared" si="31"/>
        <v>4744689</v>
      </c>
      <c r="K108" s="6">
        <v>4744689</v>
      </c>
      <c r="L108" s="6"/>
      <c r="M108" s="6"/>
      <c r="N108" s="6"/>
      <c r="O108" s="6">
        <v>4744689</v>
      </c>
      <c r="P108" s="6">
        <f t="shared" si="23"/>
        <v>4744689</v>
      </c>
    </row>
    <row r="109" spans="1:16" ht="62.4">
      <c r="A109" s="33" t="s">
        <v>167</v>
      </c>
      <c r="B109" s="33" t="s">
        <v>168</v>
      </c>
      <c r="C109" s="33" t="s">
        <v>97</v>
      </c>
      <c r="D109" s="5" t="s">
        <v>169</v>
      </c>
      <c r="E109" s="6">
        <f t="shared" si="30"/>
        <v>497600</v>
      </c>
      <c r="F109" s="6">
        <f>688600-191000</f>
        <v>497600</v>
      </c>
      <c r="G109" s="6">
        <v>0</v>
      </c>
      <c r="H109" s="6">
        <v>0</v>
      </c>
      <c r="I109" s="6">
        <v>0</v>
      </c>
      <c r="J109" s="6">
        <f t="shared" si="31"/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f t="shared" si="23"/>
        <v>497600</v>
      </c>
    </row>
    <row r="110" spans="1:16" ht="31.2">
      <c r="A110" s="33" t="s">
        <v>170</v>
      </c>
      <c r="B110" s="33" t="s">
        <v>50</v>
      </c>
      <c r="C110" s="33" t="s">
        <v>51</v>
      </c>
      <c r="D110" s="5" t="s">
        <v>52</v>
      </c>
      <c r="E110" s="6">
        <f t="shared" si="30"/>
        <v>47690800</v>
      </c>
      <c r="F110" s="6">
        <f>12346800+338100+1000000+33000000+99900+300000+100000+506000</f>
        <v>47690800</v>
      </c>
      <c r="G110" s="6">
        <v>0</v>
      </c>
      <c r="H110" s="6">
        <v>0</v>
      </c>
      <c r="I110" s="6">
        <v>0</v>
      </c>
      <c r="J110" s="6">
        <f t="shared" si="31"/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f t="shared" si="23"/>
        <v>47690800</v>
      </c>
    </row>
    <row r="111" spans="1:16" ht="31.2">
      <c r="A111" s="9" t="s">
        <v>399</v>
      </c>
      <c r="B111" s="9">
        <v>7520</v>
      </c>
      <c r="C111" s="9" t="s">
        <v>385</v>
      </c>
      <c r="D111" s="5" t="s">
        <v>384</v>
      </c>
      <c r="E111" s="6">
        <f t="shared" si="30"/>
        <v>79440</v>
      </c>
      <c r="F111" s="6">
        <v>79440</v>
      </c>
      <c r="G111" s="6"/>
      <c r="H111" s="6"/>
      <c r="I111" s="6"/>
      <c r="J111" s="6">
        <f t="shared" si="31"/>
        <v>0</v>
      </c>
      <c r="K111" s="6"/>
      <c r="L111" s="6"/>
      <c r="M111" s="6"/>
      <c r="N111" s="6"/>
      <c r="O111" s="6"/>
      <c r="P111" s="6">
        <f t="shared" si="23"/>
        <v>79440</v>
      </c>
    </row>
    <row r="112" spans="1:16" ht="46.8">
      <c r="A112" s="2" t="s">
        <v>171</v>
      </c>
      <c r="B112" s="2" t="s">
        <v>18</v>
      </c>
      <c r="C112" s="2" t="s">
        <v>18</v>
      </c>
      <c r="D112" s="3" t="s">
        <v>172</v>
      </c>
      <c r="E112" s="4">
        <f t="shared" ref="E112:E119" si="32">F112+I112</f>
        <v>2921500</v>
      </c>
      <c r="F112" s="4">
        <f>F113</f>
        <v>2921500</v>
      </c>
      <c r="G112" s="4">
        <f>G113</f>
        <v>2555000</v>
      </c>
      <c r="H112" s="4">
        <v>0</v>
      </c>
      <c r="I112" s="4">
        <v>0</v>
      </c>
      <c r="J112" s="4">
        <f t="shared" si="31"/>
        <v>4231735</v>
      </c>
      <c r="K112" s="4">
        <f>K113</f>
        <v>4231735</v>
      </c>
      <c r="L112" s="4">
        <f t="shared" ref="L112:O112" si="33">L113</f>
        <v>0</v>
      </c>
      <c r="M112" s="4">
        <f t="shared" si="33"/>
        <v>0</v>
      </c>
      <c r="N112" s="4">
        <f t="shared" si="33"/>
        <v>0</v>
      </c>
      <c r="O112" s="4">
        <f t="shared" si="33"/>
        <v>4231735</v>
      </c>
      <c r="P112" s="4">
        <f t="shared" si="23"/>
        <v>7153235</v>
      </c>
    </row>
    <row r="113" spans="1:16" ht="46.8">
      <c r="A113" s="2" t="s">
        <v>173</v>
      </c>
      <c r="B113" s="2" t="s">
        <v>18</v>
      </c>
      <c r="C113" s="2" t="s">
        <v>18</v>
      </c>
      <c r="D113" s="3" t="s">
        <v>172</v>
      </c>
      <c r="E113" s="4">
        <f t="shared" si="32"/>
        <v>2921500</v>
      </c>
      <c r="F113" s="4">
        <f>SUM(F114:F116)</f>
        <v>2921500</v>
      </c>
      <c r="G113" s="4">
        <f t="shared" ref="G113:K113" si="34">SUM(G114:G116)</f>
        <v>2555000</v>
      </c>
      <c r="H113" s="4">
        <f t="shared" si="34"/>
        <v>0</v>
      </c>
      <c r="I113" s="4">
        <f t="shared" si="34"/>
        <v>0</v>
      </c>
      <c r="J113" s="4">
        <f t="shared" si="31"/>
        <v>4231735</v>
      </c>
      <c r="K113" s="4">
        <f t="shared" si="34"/>
        <v>4231735</v>
      </c>
      <c r="L113" s="4">
        <f t="shared" ref="L113" si="35">SUM(L114:L116)</f>
        <v>0</v>
      </c>
      <c r="M113" s="4">
        <f t="shared" ref="M113" si="36">SUM(M114:M116)</f>
        <v>0</v>
      </c>
      <c r="N113" s="4">
        <f t="shared" ref="N113" si="37">SUM(N114:N116)</f>
        <v>0</v>
      </c>
      <c r="O113" s="4">
        <f t="shared" ref="O113" si="38">SUM(O114:O116)</f>
        <v>4231735</v>
      </c>
      <c r="P113" s="4">
        <f t="shared" si="23"/>
        <v>7153235</v>
      </c>
    </row>
    <row r="114" spans="1:16" ht="46.8">
      <c r="A114" s="33" t="s">
        <v>174</v>
      </c>
      <c r="B114" s="33" t="s">
        <v>75</v>
      </c>
      <c r="C114" s="33" t="s">
        <v>23</v>
      </c>
      <c r="D114" s="5" t="s">
        <v>76</v>
      </c>
      <c r="E114" s="6">
        <f t="shared" si="32"/>
        <v>2666500</v>
      </c>
      <c r="F114" s="6">
        <f>2226500+150000+240000+50000</f>
        <v>2666500</v>
      </c>
      <c r="G114" s="6">
        <f>2115000+150000+240000+50000</f>
        <v>2555000</v>
      </c>
      <c r="H114" s="6">
        <v>0</v>
      </c>
      <c r="I114" s="6">
        <v>0</v>
      </c>
      <c r="J114" s="6">
        <f t="shared" si="31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3"/>
        <v>2666500</v>
      </c>
    </row>
    <row r="115" spans="1:16" ht="31.2">
      <c r="A115" s="33" t="s">
        <v>175</v>
      </c>
      <c r="B115" s="33" t="s">
        <v>176</v>
      </c>
      <c r="C115" s="33" t="s">
        <v>119</v>
      </c>
      <c r="D115" s="5" t="s">
        <v>177</v>
      </c>
      <c r="E115" s="6">
        <f t="shared" si="32"/>
        <v>205000</v>
      </c>
      <c r="F115" s="6">
        <v>205000</v>
      </c>
      <c r="G115" s="6">
        <v>0</v>
      </c>
      <c r="H115" s="6">
        <v>0</v>
      </c>
      <c r="I115" s="6">
        <v>0</v>
      </c>
      <c r="J115" s="6">
        <f t="shared" si="31"/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f t="shared" si="23"/>
        <v>205000</v>
      </c>
    </row>
    <row r="116" spans="1:16" ht="109.2">
      <c r="A116" s="9" t="s">
        <v>414</v>
      </c>
      <c r="B116" s="33">
        <v>6083</v>
      </c>
      <c r="C116" s="9" t="s">
        <v>290</v>
      </c>
      <c r="D116" s="5" t="s">
        <v>413</v>
      </c>
      <c r="E116" s="6">
        <f t="shared" si="32"/>
        <v>50000</v>
      </c>
      <c r="F116" s="6">
        <v>50000</v>
      </c>
      <c r="G116" s="6"/>
      <c r="H116" s="6"/>
      <c r="I116" s="6"/>
      <c r="J116" s="6">
        <f t="shared" si="31"/>
        <v>4231735</v>
      </c>
      <c r="K116" s="6">
        <v>4231735</v>
      </c>
      <c r="L116" s="6"/>
      <c r="M116" s="6"/>
      <c r="N116" s="6"/>
      <c r="O116" s="6">
        <v>4231735</v>
      </c>
      <c r="P116" s="6">
        <f t="shared" si="23"/>
        <v>4281735</v>
      </c>
    </row>
    <row r="117" spans="1:16" ht="46.8">
      <c r="A117" s="2" t="s">
        <v>178</v>
      </c>
      <c r="B117" s="2" t="s">
        <v>18</v>
      </c>
      <c r="C117" s="2" t="s">
        <v>18</v>
      </c>
      <c r="D117" s="3" t="s">
        <v>179</v>
      </c>
      <c r="E117" s="4">
        <f t="shared" si="32"/>
        <v>56212110</v>
      </c>
      <c r="F117" s="4">
        <f>F118</f>
        <v>56212110</v>
      </c>
      <c r="G117" s="4">
        <f t="shared" ref="G117:I117" si="39">G118</f>
        <v>50086600</v>
      </c>
      <c r="H117" s="4">
        <f t="shared" si="39"/>
        <v>3196000</v>
      </c>
      <c r="I117" s="4">
        <f t="shared" si="39"/>
        <v>0</v>
      </c>
      <c r="J117" s="4">
        <f t="shared" si="31"/>
        <v>1495000</v>
      </c>
      <c r="K117" s="4">
        <f>K118</f>
        <v>190000</v>
      </c>
      <c r="L117" s="4">
        <f t="shared" ref="L117:O117" si="40">L118</f>
        <v>1105000</v>
      </c>
      <c r="M117" s="4">
        <f t="shared" si="40"/>
        <v>525100</v>
      </c>
      <c r="N117" s="4">
        <f t="shared" si="40"/>
        <v>0</v>
      </c>
      <c r="O117" s="4">
        <f t="shared" si="40"/>
        <v>390000</v>
      </c>
      <c r="P117" s="4">
        <f t="shared" si="23"/>
        <v>57707110</v>
      </c>
    </row>
    <row r="118" spans="1:16" ht="46.8">
      <c r="A118" s="2" t="s">
        <v>180</v>
      </c>
      <c r="B118" s="2" t="s">
        <v>18</v>
      </c>
      <c r="C118" s="2" t="s">
        <v>18</v>
      </c>
      <c r="D118" s="3" t="s">
        <v>179</v>
      </c>
      <c r="E118" s="4">
        <f t="shared" si="32"/>
        <v>56212110</v>
      </c>
      <c r="F118" s="4">
        <f>SUM(F119:F128)</f>
        <v>56212110</v>
      </c>
      <c r="G118" s="4">
        <f t="shared" ref="G118:K118" si="41">SUM(G119:G128)</f>
        <v>50086600</v>
      </c>
      <c r="H118" s="4">
        <f t="shared" si="41"/>
        <v>3196000</v>
      </c>
      <c r="I118" s="4">
        <f t="shared" si="41"/>
        <v>0</v>
      </c>
      <c r="J118" s="4">
        <f t="shared" si="31"/>
        <v>1495000</v>
      </c>
      <c r="K118" s="4">
        <f t="shared" si="41"/>
        <v>190000</v>
      </c>
      <c r="L118" s="4">
        <f t="shared" ref="L118" si="42">SUM(L119:L128)</f>
        <v>1105000</v>
      </c>
      <c r="M118" s="4">
        <f t="shared" ref="M118" si="43">SUM(M119:M128)</f>
        <v>525100</v>
      </c>
      <c r="N118" s="4">
        <f t="shared" ref="N118" si="44">SUM(N119:N128)</f>
        <v>0</v>
      </c>
      <c r="O118" s="4">
        <f t="shared" ref="O118" si="45">SUM(O119:O128)</f>
        <v>390000</v>
      </c>
      <c r="P118" s="4">
        <f t="shared" si="23"/>
        <v>57707110</v>
      </c>
    </row>
    <row r="119" spans="1:16" ht="46.8">
      <c r="A119" s="33" t="s">
        <v>181</v>
      </c>
      <c r="B119" s="33" t="s">
        <v>75</v>
      </c>
      <c r="C119" s="33" t="s">
        <v>23</v>
      </c>
      <c r="D119" s="5" t="s">
        <v>76</v>
      </c>
      <c r="E119" s="6">
        <f t="shared" si="32"/>
        <v>1073100</v>
      </c>
      <c r="F119" s="6">
        <f>912100+95000+40000+6000+20000</f>
        <v>1073100</v>
      </c>
      <c r="G119" s="6">
        <f>884400+95000+40000+6000+20000</f>
        <v>1045400</v>
      </c>
      <c r="H119" s="6">
        <v>0</v>
      </c>
      <c r="I119" s="6">
        <v>0</v>
      </c>
      <c r="J119" s="6">
        <f t="shared" si="31"/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f t="shared" si="23"/>
        <v>1073100</v>
      </c>
    </row>
    <row r="120" spans="1:16" ht="31.2">
      <c r="A120" s="33" t="s">
        <v>182</v>
      </c>
      <c r="B120" s="33" t="s">
        <v>30</v>
      </c>
      <c r="C120" s="33" t="s">
        <v>31</v>
      </c>
      <c r="D120" s="5" t="s">
        <v>32</v>
      </c>
      <c r="E120" s="6">
        <f t="shared" ref="E120:E128" si="46">F120+I120</f>
        <v>94810</v>
      </c>
      <c r="F120" s="6">
        <f>99000-4190</f>
        <v>94810</v>
      </c>
      <c r="G120" s="6">
        <v>0</v>
      </c>
      <c r="H120" s="6">
        <v>0</v>
      </c>
      <c r="I120" s="6">
        <v>0</v>
      </c>
      <c r="J120" s="6">
        <f t="shared" si="31"/>
        <v>0</v>
      </c>
      <c r="K120" s="6">
        <v>0</v>
      </c>
      <c r="L120" s="6"/>
      <c r="M120" s="6"/>
      <c r="N120" s="6"/>
      <c r="O120" s="6"/>
      <c r="P120" s="6">
        <f t="shared" si="23"/>
        <v>94810</v>
      </c>
    </row>
    <row r="121" spans="1:16" ht="31.2">
      <c r="A121" s="33" t="s">
        <v>183</v>
      </c>
      <c r="B121" s="33" t="s">
        <v>184</v>
      </c>
      <c r="C121" s="33" t="s">
        <v>98</v>
      </c>
      <c r="D121" s="5" t="s">
        <v>185</v>
      </c>
      <c r="E121" s="6">
        <f t="shared" si="46"/>
        <v>25518300</v>
      </c>
      <c r="F121" s="6">
        <f>25824300-200000-100000-6000</f>
        <v>25518300</v>
      </c>
      <c r="G121" s="6">
        <f>25065000-200000-100000-6000</f>
        <v>24759000</v>
      </c>
      <c r="H121" s="6">
        <v>636100</v>
      </c>
      <c r="I121" s="6">
        <v>0</v>
      </c>
      <c r="J121" s="6">
        <f t="shared" si="31"/>
        <v>1025000</v>
      </c>
      <c r="K121" s="6">
        <v>0</v>
      </c>
      <c r="L121" s="6">
        <f>1024000-200000+1000</f>
        <v>825000</v>
      </c>
      <c r="M121" s="6">
        <f>405800+89300</f>
        <v>495100</v>
      </c>
      <c r="N121" s="6">
        <v>0</v>
      </c>
      <c r="O121" s="6">
        <v>200000</v>
      </c>
      <c r="P121" s="6">
        <f t="shared" si="23"/>
        <v>26543300</v>
      </c>
    </row>
    <row r="122" spans="1:16" ht="93.6">
      <c r="A122" s="33" t="s">
        <v>186</v>
      </c>
      <c r="B122" s="33" t="s">
        <v>118</v>
      </c>
      <c r="C122" s="33" t="s">
        <v>119</v>
      </c>
      <c r="D122" s="5" t="s">
        <v>120</v>
      </c>
      <c r="E122" s="6">
        <f t="shared" si="46"/>
        <v>150000</v>
      </c>
      <c r="F122" s="6">
        <v>150000</v>
      </c>
      <c r="G122" s="6">
        <v>0</v>
      </c>
      <c r="H122" s="6">
        <v>0</v>
      </c>
      <c r="I122" s="6">
        <v>0</v>
      </c>
      <c r="J122" s="6">
        <f t="shared" si="31"/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f t="shared" si="23"/>
        <v>150000</v>
      </c>
    </row>
    <row r="123" spans="1:16">
      <c r="A123" s="33" t="s">
        <v>187</v>
      </c>
      <c r="B123" s="33" t="s">
        <v>188</v>
      </c>
      <c r="C123" s="33" t="s">
        <v>189</v>
      </c>
      <c r="D123" s="5" t="s">
        <v>190</v>
      </c>
      <c r="E123" s="6">
        <f t="shared" si="46"/>
        <v>9580300</v>
      </c>
      <c r="F123" s="6">
        <f>9730300-150000</f>
        <v>9580300</v>
      </c>
      <c r="G123" s="6">
        <f>8119400-150000</f>
        <v>7969400</v>
      </c>
      <c r="H123" s="6">
        <v>1029700</v>
      </c>
      <c r="I123" s="6">
        <v>0</v>
      </c>
      <c r="J123" s="6">
        <f t="shared" si="31"/>
        <v>80000</v>
      </c>
      <c r="K123" s="6">
        <v>0</v>
      </c>
      <c r="L123" s="6">
        <f>80000</f>
        <v>80000</v>
      </c>
      <c r="M123" s="6">
        <v>0</v>
      </c>
      <c r="N123" s="6">
        <v>0</v>
      </c>
      <c r="O123" s="6">
        <v>0</v>
      </c>
      <c r="P123" s="6">
        <f t="shared" si="23"/>
        <v>9660300</v>
      </c>
    </row>
    <row r="124" spans="1:16" ht="31.2">
      <c r="A124" s="33" t="s">
        <v>191</v>
      </c>
      <c r="B124" s="33" t="s">
        <v>192</v>
      </c>
      <c r="C124" s="33" t="s">
        <v>189</v>
      </c>
      <c r="D124" s="5" t="s">
        <v>193</v>
      </c>
      <c r="E124" s="6">
        <f t="shared" si="46"/>
        <v>4142600</v>
      </c>
      <c r="F124" s="6">
        <f>3612600+200000-50000+200000+180000</f>
        <v>4142600</v>
      </c>
      <c r="G124" s="6">
        <f>2754000-50000-8000</f>
        <v>2696000</v>
      </c>
      <c r="H124" s="6">
        <v>436000</v>
      </c>
      <c r="I124" s="6">
        <v>0</v>
      </c>
      <c r="J124" s="6">
        <f t="shared" si="31"/>
        <v>230000</v>
      </c>
      <c r="K124" s="6">
        <v>190000</v>
      </c>
      <c r="L124" s="6">
        <v>40000</v>
      </c>
      <c r="M124" s="6">
        <v>0</v>
      </c>
      <c r="N124" s="6">
        <v>0</v>
      </c>
      <c r="O124" s="6">
        <v>190000</v>
      </c>
      <c r="P124" s="6">
        <f t="shared" si="23"/>
        <v>4372600</v>
      </c>
    </row>
    <row r="125" spans="1:16" ht="46.8">
      <c r="A125" s="33" t="s">
        <v>194</v>
      </c>
      <c r="B125" s="33" t="s">
        <v>195</v>
      </c>
      <c r="C125" s="33" t="s">
        <v>196</v>
      </c>
      <c r="D125" s="5" t="s">
        <v>197</v>
      </c>
      <c r="E125" s="6">
        <f t="shared" si="46"/>
        <v>12733200</v>
      </c>
      <c r="F125" s="6">
        <f>12911200-178000</f>
        <v>12733200</v>
      </c>
      <c r="G125" s="6">
        <f>11348400-170000</f>
        <v>11178400</v>
      </c>
      <c r="H125" s="6">
        <v>1030900</v>
      </c>
      <c r="I125" s="6">
        <v>0</v>
      </c>
      <c r="J125" s="6">
        <f t="shared" si="31"/>
        <v>160000</v>
      </c>
      <c r="K125" s="6">
        <v>0</v>
      </c>
      <c r="L125" s="6">
        <v>160000</v>
      </c>
      <c r="M125" s="6">
        <f>30000</f>
        <v>30000</v>
      </c>
      <c r="N125" s="6">
        <v>0</v>
      </c>
      <c r="O125" s="6">
        <v>0</v>
      </c>
      <c r="P125" s="6">
        <f t="shared" si="23"/>
        <v>12893200</v>
      </c>
    </row>
    <row r="126" spans="1:16" ht="31.2">
      <c r="A126" s="33" t="s">
        <v>198</v>
      </c>
      <c r="B126" s="33" t="s">
        <v>199</v>
      </c>
      <c r="C126" s="33" t="s">
        <v>200</v>
      </c>
      <c r="D126" s="5" t="s">
        <v>201</v>
      </c>
      <c r="E126" s="6">
        <f t="shared" si="46"/>
        <v>2585800</v>
      </c>
      <c r="F126" s="6">
        <f>2591800-6000</f>
        <v>2585800</v>
      </c>
      <c r="G126" s="6">
        <v>2438400</v>
      </c>
      <c r="H126" s="6">
        <v>63300</v>
      </c>
      <c r="I126" s="6">
        <v>0</v>
      </c>
      <c r="J126" s="6">
        <f t="shared" si="31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ref="P126:P186" si="47">E126 + J126</f>
        <v>2585800</v>
      </c>
    </row>
    <row r="127" spans="1:16" ht="31.2">
      <c r="A127" s="33" t="s">
        <v>202</v>
      </c>
      <c r="B127" s="33" t="s">
        <v>203</v>
      </c>
      <c r="C127" s="33" t="s">
        <v>200</v>
      </c>
      <c r="D127" s="5" t="s">
        <v>204</v>
      </c>
      <c r="E127" s="6">
        <f t="shared" si="46"/>
        <v>320000</v>
      </c>
      <c r="F127" s="6">
        <f>600000-280000</f>
        <v>320000</v>
      </c>
      <c r="G127" s="6">
        <v>0</v>
      </c>
      <c r="H127" s="6">
        <v>0</v>
      </c>
      <c r="I127" s="6">
        <v>0</v>
      </c>
      <c r="J127" s="6">
        <f t="shared" si="31"/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f t="shared" si="47"/>
        <v>320000</v>
      </c>
    </row>
    <row r="128" spans="1:16" ht="31.2">
      <c r="A128" s="33">
        <v>1017520</v>
      </c>
      <c r="B128" s="33">
        <v>7520</v>
      </c>
      <c r="C128" s="9" t="s">
        <v>385</v>
      </c>
      <c r="D128" s="5" t="s">
        <v>384</v>
      </c>
      <c r="E128" s="6">
        <f t="shared" si="46"/>
        <v>14000</v>
      </c>
      <c r="F128" s="6">
        <v>14000</v>
      </c>
      <c r="G128" s="6"/>
      <c r="H128" s="6"/>
      <c r="I128" s="6"/>
      <c r="J128" s="6">
        <f t="shared" si="31"/>
        <v>0</v>
      </c>
      <c r="K128" s="6"/>
      <c r="L128" s="6"/>
      <c r="M128" s="6"/>
      <c r="N128" s="6"/>
      <c r="O128" s="6"/>
      <c r="P128" s="6">
        <f t="shared" si="47"/>
        <v>14000</v>
      </c>
    </row>
    <row r="129" spans="1:18" ht="46.8">
      <c r="A129" s="2" t="s">
        <v>205</v>
      </c>
      <c r="B129" s="2" t="s">
        <v>18</v>
      </c>
      <c r="C129" s="2" t="s">
        <v>18</v>
      </c>
      <c r="D129" s="3" t="s">
        <v>206</v>
      </c>
      <c r="E129" s="4">
        <f t="shared" ref="E129:E140" si="48">F129+I129</f>
        <v>7397674</v>
      </c>
      <c r="F129" s="4">
        <f>F130</f>
        <v>7397674</v>
      </c>
      <c r="G129" s="4">
        <f t="shared" ref="G129:I129" si="49">G130</f>
        <v>2730100</v>
      </c>
      <c r="H129" s="4">
        <f t="shared" si="49"/>
        <v>58000</v>
      </c>
      <c r="I129" s="4">
        <f t="shared" si="49"/>
        <v>0</v>
      </c>
      <c r="J129" s="4">
        <f t="shared" si="31"/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f t="shared" si="47"/>
        <v>7397674</v>
      </c>
    </row>
    <row r="130" spans="1:18" ht="46.8">
      <c r="A130" s="2" t="s">
        <v>207</v>
      </c>
      <c r="B130" s="2" t="s">
        <v>18</v>
      </c>
      <c r="C130" s="2" t="s">
        <v>18</v>
      </c>
      <c r="D130" s="3" t="s">
        <v>206</v>
      </c>
      <c r="E130" s="4">
        <f t="shared" si="48"/>
        <v>7397674</v>
      </c>
      <c r="F130" s="4">
        <f>SUM(F131:F137)</f>
        <v>7397674</v>
      </c>
      <c r="G130" s="4">
        <f t="shared" ref="G130:K130" si="50">SUM(G131:G137)</f>
        <v>2730100</v>
      </c>
      <c r="H130" s="4">
        <f t="shared" si="50"/>
        <v>58000</v>
      </c>
      <c r="I130" s="4">
        <f t="shared" si="50"/>
        <v>0</v>
      </c>
      <c r="J130" s="4">
        <f t="shared" si="31"/>
        <v>0</v>
      </c>
      <c r="K130" s="4">
        <f t="shared" si="50"/>
        <v>0</v>
      </c>
      <c r="L130" s="4">
        <f t="shared" ref="L130" si="51">SUM(L131:L137)</f>
        <v>0</v>
      </c>
      <c r="M130" s="4">
        <f t="shared" ref="M130" si="52">SUM(M131:M137)</f>
        <v>0</v>
      </c>
      <c r="N130" s="4">
        <f t="shared" ref="N130" si="53">SUM(N131:N137)</f>
        <v>0</v>
      </c>
      <c r="O130" s="4">
        <f t="shared" ref="O130" si="54">SUM(O131:O137)</f>
        <v>0</v>
      </c>
      <c r="P130" s="4">
        <f t="shared" si="47"/>
        <v>7397674</v>
      </c>
    </row>
    <row r="131" spans="1:18" ht="46.8">
      <c r="A131" s="33" t="s">
        <v>208</v>
      </c>
      <c r="B131" s="33" t="s">
        <v>75</v>
      </c>
      <c r="C131" s="33" t="s">
        <v>23</v>
      </c>
      <c r="D131" s="5" t="s">
        <v>76</v>
      </c>
      <c r="E131" s="6">
        <f t="shared" si="48"/>
        <v>2242100</v>
      </c>
      <c r="F131" s="6">
        <f>2042100+30000+130000+40000</f>
        <v>2242100</v>
      </c>
      <c r="G131" s="6">
        <f>1932200+30000+130000+40000</f>
        <v>2132200</v>
      </c>
      <c r="H131" s="6">
        <v>0</v>
      </c>
      <c r="I131" s="6">
        <v>0</v>
      </c>
      <c r="J131" s="6">
        <f t="shared" si="31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7"/>
        <v>2242100</v>
      </c>
    </row>
    <row r="132" spans="1:18" ht="31.2">
      <c r="A132" s="33" t="s">
        <v>209</v>
      </c>
      <c r="B132" s="33" t="s">
        <v>30</v>
      </c>
      <c r="C132" s="33" t="s">
        <v>31</v>
      </c>
      <c r="D132" s="5" t="s">
        <v>32</v>
      </c>
      <c r="E132" s="6">
        <f t="shared" si="48"/>
        <v>64630</v>
      </c>
      <c r="F132" s="6">
        <f>99000-34370</f>
        <v>64630</v>
      </c>
      <c r="G132" s="6">
        <v>0</v>
      </c>
      <c r="H132" s="6">
        <v>0</v>
      </c>
      <c r="I132" s="6">
        <v>0</v>
      </c>
      <c r="J132" s="6">
        <f t="shared" si="31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7"/>
        <v>64630</v>
      </c>
    </row>
    <row r="133" spans="1:18" ht="31.2">
      <c r="A133" s="33" t="s">
        <v>210</v>
      </c>
      <c r="B133" s="33" t="s">
        <v>211</v>
      </c>
      <c r="C133" s="33" t="s">
        <v>119</v>
      </c>
      <c r="D133" s="5" t="s">
        <v>212</v>
      </c>
      <c r="E133" s="6">
        <f t="shared" si="48"/>
        <v>1930300</v>
      </c>
      <c r="F133" s="6">
        <f>1880400+99000-49100</f>
        <v>1930300</v>
      </c>
      <c r="G133" s="6">
        <f>633900-36000</f>
        <v>597900</v>
      </c>
      <c r="H133" s="6">
        <v>58000</v>
      </c>
      <c r="I133" s="6">
        <v>0</v>
      </c>
      <c r="J133" s="6">
        <f t="shared" si="31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7"/>
        <v>1930300</v>
      </c>
    </row>
    <row r="134" spans="1:18" ht="46.8">
      <c r="A134" s="33" t="s">
        <v>213</v>
      </c>
      <c r="B134" s="33" t="s">
        <v>214</v>
      </c>
      <c r="C134" s="33" t="s">
        <v>124</v>
      </c>
      <c r="D134" s="5" t="s">
        <v>215</v>
      </c>
      <c r="E134" s="6">
        <f t="shared" si="48"/>
        <v>895000</v>
      </c>
      <c r="F134" s="6">
        <f>950000-55000</f>
        <v>895000</v>
      </c>
      <c r="G134" s="6">
        <v>0</v>
      </c>
      <c r="H134" s="6">
        <v>0</v>
      </c>
      <c r="I134" s="6">
        <v>0</v>
      </c>
      <c r="J134" s="6">
        <f t="shared" si="31"/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f t="shared" si="47"/>
        <v>895000</v>
      </c>
    </row>
    <row r="135" spans="1:18" ht="46.8">
      <c r="A135" s="33" t="s">
        <v>216</v>
      </c>
      <c r="B135" s="33" t="s">
        <v>217</v>
      </c>
      <c r="C135" s="33" t="s">
        <v>124</v>
      </c>
      <c r="D135" s="5" t="s">
        <v>218</v>
      </c>
      <c r="E135" s="6">
        <f t="shared" si="48"/>
        <v>320000</v>
      </c>
      <c r="F135" s="6">
        <v>320000</v>
      </c>
      <c r="G135" s="6">
        <v>0</v>
      </c>
      <c r="H135" s="6">
        <v>0</v>
      </c>
      <c r="I135" s="6">
        <v>0</v>
      </c>
      <c r="J135" s="6">
        <f t="shared" si="31"/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f t="shared" si="47"/>
        <v>320000</v>
      </c>
    </row>
    <row r="136" spans="1:18" s="25" customFormat="1" ht="46.8">
      <c r="A136" s="22" t="s">
        <v>371</v>
      </c>
      <c r="B136" s="22" t="s">
        <v>372</v>
      </c>
      <c r="C136" s="22" t="s">
        <v>124</v>
      </c>
      <c r="D136" s="23" t="s">
        <v>373</v>
      </c>
      <c r="E136" s="30">
        <f>F136+I136</f>
        <v>103944</v>
      </c>
      <c r="F136" s="30">
        <v>103944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>
        <f t="shared" ref="P136" si="55">E136+J136</f>
        <v>103944</v>
      </c>
      <c r="Q136" s="24"/>
      <c r="R136" s="24"/>
    </row>
    <row r="137" spans="1:18" ht="78">
      <c r="A137" s="33" t="s">
        <v>219</v>
      </c>
      <c r="B137" s="33" t="s">
        <v>220</v>
      </c>
      <c r="C137" s="33" t="s">
        <v>124</v>
      </c>
      <c r="D137" s="5" t="s">
        <v>221</v>
      </c>
      <c r="E137" s="6">
        <f t="shared" si="48"/>
        <v>1841700</v>
      </c>
      <c r="F137" s="6">
        <f>1786700+55000</f>
        <v>1841700</v>
      </c>
      <c r="G137" s="6">
        <v>0</v>
      </c>
      <c r="H137" s="6">
        <v>0</v>
      </c>
      <c r="I137" s="6">
        <v>0</v>
      </c>
      <c r="J137" s="6">
        <f t="shared" si="31"/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f t="shared" si="47"/>
        <v>1841700</v>
      </c>
    </row>
    <row r="138" spans="1:18" ht="62.4">
      <c r="A138" s="2" t="s">
        <v>222</v>
      </c>
      <c r="B138" s="2" t="s">
        <v>18</v>
      </c>
      <c r="C138" s="2" t="s">
        <v>18</v>
      </c>
      <c r="D138" s="3" t="s">
        <v>223</v>
      </c>
      <c r="E138" s="4">
        <f t="shared" si="48"/>
        <v>166690017.22</v>
      </c>
      <c r="F138" s="4">
        <f>F139</f>
        <v>53087064</v>
      </c>
      <c r="G138" s="4">
        <f t="shared" ref="G138:I138" si="56">G139</f>
        <v>3722400</v>
      </c>
      <c r="H138" s="4">
        <f t="shared" si="56"/>
        <v>14400</v>
      </c>
      <c r="I138" s="4">
        <f t="shared" si="56"/>
        <v>113602953.22</v>
      </c>
      <c r="J138" s="4">
        <f t="shared" si="31"/>
        <v>33421227.890000001</v>
      </c>
      <c r="K138" s="4">
        <f>K139</f>
        <v>32130880.16</v>
      </c>
      <c r="L138" s="4">
        <f t="shared" ref="L138:O138" si="57">L139</f>
        <v>100000</v>
      </c>
      <c r="M138" s="4">
        <f t="shared" si="57"/>
        <v>0</v>
      </c>
      <c r="N138" s="4">
        <f t="shared" si="57"/>
        <v>0</v>
      </c>
      <c r="O138" s="4">
        <f t="shared" si="57"/>
        <v>33321227.890000001</v>
      </c>
      <c r="P138" s="4">
        <f t="shared" si="47"/>
        <v>200111245.11000001</v>
      </c>
    </row>
    <row r="139" spans="1:18" ht="62.4">
      <c r="A139" s="2" t="s">
        <v>224</v>
      </c>
      <c r="B139" s="2" t="s">
        <v>18</v>
      </c>
      <c r="C139" s="2" t="s">
        <v>18</v>
      </c>
      <c r="D139" s="3" t="s">
        <v>223</v>
      </c>
      <c r="E139" s="4">
        <f t="shared" si="48"/>
        <v>166690017.22</v>
      </c>
      <c r="F139" s="4">
        <f>SUM(F140:F163)</f>
        <v>53087064</v>
      </c>
      <c r="G139" s="4">
        <f t="shared" ref="G139:I139" si="58">SUM(G140:G163)</f>
        <v>3722400</v>
      </c>
      <c r="H139" s="4">
        <f t="shared" si="58"/>
        <v>14400</v>
      </c>
      <c r="I139" s="4">
        <f t="shared" si="58"/>
        <v>113602953.22</v>
      </c>
      <c r="J139" s="4">
        <f t="shared" ref="J139:O139" si="59">SUM(J140:J163)</f>
        <v>33421227.890000001</v>
      </c>
      <c r="K139" s="4">
        <f>SUM(K140:K163)</f>
        <v>32130880.16</v>
      </c>
      <c r="L139" s="4">
        <f t="shared" si="59"/>
        <v>100000</v>
      </c>
      <c r="M139" s="4">
        <f t="shared" si="59"/>
        <v>0</v>
      </c>
      <c r="N139" s="4">
        <f t="shared" si="59"/>
        <v>0</v>
      </c>
      <c r="O139" s="4">
        <f t="shared" si="59"/>
        <v>33321227.890000001</v>
      </c>
      <c r="P139" s="4">
        <f>E139 + J139</f>
        <v>200111245.11000001</v>
      </c>
    </row>
    <row r="140" spans="1:18" ht="46.8">
      <c r="A140" s="33" t="s">
        <v>225</v>
      </c>
      <c r="B140" s="33" t="s">
        <v>75</v>
      </c>
      <c r="C140" s="33" t="s">
        <v>23</v>
      </c>
      <c r="D140" s="5" t="s">
        <v>76</v>
      </c>
      <c r="E140" s="6">
        <f t="shared" si="48"/>
        <v>4206808</v>
      </c>
      <c r="F140" s="6">
        <f>3829700+465200-88092</f>
        <v>4206808</v>
      </c>
      <c r="G140" s="6">
        <f>3502400+220000</f>
        <v>3722400</v>
      </c>
      <c r="H140" s="6">
        <v>14400</v>
      </c>
      <c r="I140" s="6">
        <v>0</v>
      </c>
      <c r="J140" s="6">
        <f t="shared" si="31"/>
        <v>0</v>
      </c>
      <c r="K140" s="6">
        <f>36000-36000</f>
        <v>0</v>
      </c>
      <c r="L140" s="6">
        <v>0</v>
      </c>
      <c r="M140" s="6">
        <v>0</v>
      </c>
      <c r="N140" s="6">
        <v>0</v>
      </c>
      <c r="O140" s="6">
        <f>36000-36000</f>
        <v>0</v>
      </c>
      <c r="P140" s="6">
        <f t="shared" si="47"/>
        <v>4206808</v>
      </c>
    </row>
    <row r="141" spans="1:18" ht="46.8">
      <c r="A141" s="33" t="s">
        <v>226</v>
      </c>
      <c r="B141" s="33" t="s">
        <v>26</v>
      </c>
      <c r="C141" s="33" t="s">
        <v>27</v>
      </c>
      <c r="D141" s="5" t="s">
        <v>28</v>
      </c>
      <c r="E141" s="6">
        <f t="shared" ref="E141:E163" si="60">F141+I141</f>
        <v>4600</v>
      </c>
      <c r="F141" s="6">
        <f>25000-20400</f>
        <v>4600</v>
      </c>
      <c r="G141" s="6">
        <v>0</v>
      </c>
      <c r="H141" s="6">
        <v>0</v>
      </c>
      <c r="I141" s="6">
        <v>0</v>
      </c>
      <c r="J141" s="6">
        <f t="shared" si="31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7"/>
        <v>4600</v>
      </c>
    </row>
    <row r="142" spans="1:18" ht="31.2">
      <c r="A142" s="33" t="s">
        <v>227</v>
      </c>
      <c r="B142" s="33" t="s">
        <v>30</v>
      </c>
      <c r="C142" s="33" t="s">
        <v>31</v>
      </c>
      <c r="D142" s="5" t="s">
        <v>32</v>
      </c>
      <c r="E142" s="6">
        <f t="shared" si="60"/>
        <v>49900</v>
      </c>
      <c r="F142" s="6">
        <f>99000-49100</f>
        <v>49900</v>
      </c>
      <c r="G142" s="6">
        <v>0</v>
      </c>
      <c r="H142" s="6">
        <v>0</v>
      </c>
      <c r="I142" s="6">
        <v>0</v>
      </c>
      <c r="J142" s="6">
        <f t="shared" si="31"/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f t="shared" si="47"/>
        <v>49900</v>
      </c>
    </row>
    <row r="143" spans="1:18" ht="31.2">
      <c r="A143" s="33" t="s">
        <v>228</v>
      </c>
      <c r="B143" s="33" t="s">
        <v>229</v>
      </c>
      <c r="C143" s="33" t="s">
        <v>230</v>
      </c>
      <c r="D143" s="5" t="s">
        <v>231</v>
      </c>
      <c r="E143" s="6">
        <f t="shared" si="60"/>
        <v>30000</v>
      </c>
      <c r="F143" s="6">
        <v>30000</v>
      </c>
      <c r="G143" s="6">
        <v>0</v>
      </c>
      <c r="H143" s="6">
        <v>0</v>
      </c>
      <c r="I143" s="6">
        <v>0</v>
      </c>
      <c r="J143" s="6">
        <f t="shared" si="31"/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f t="shared" si="47"/>
        <v>30000</v>
      </c>
    </row>
    <row r="144" spans="1:18" ht="31.2">
      <c r="A144" s="33">
        <v>1216011</v>
      </c>
      <c r="B144" s="33">
        <v>6011</v>
      </c>
      <c r="C144" s="9" t="s">
        <v>290</v>
      </c>
      <c r="D144" s="5" t="s">
        <v>289</v>
      </c>
      <c r="E144" s="6">
        <f t="shared" si="60"/>
        <v>319069</v>
      </c>
      <c r="F144" s="6"/>
      <c r="G144" s="6"/>
      <c r="H144" s="6"/>
      <c r="I144" s="6">
        <v>319069</v>
      </c>
      <c r="J144" s="6">
        <f t="shared" si="31"/>
        <v>5393826</v>
      </c>
      <c r="K144" s="6">
        <f>4029487+202339+1162000</f>
        <v>5393826</v>
      </c>
      <c r="L144" s="6"/>
      <c r="M144" s="6"/>
      <c r="N144" s="6"/>
      <c r="O144" s="6">
        <f>4029487+202339+1162000</f>
        <v>5393826</v>
      </c>
      <c r="P144" s="6">
        <f t="shared" si="47"/>
        <v>5712895</v>
      </c>
    </row>
    <row r="145" spans="1:16" ht="31.2">
      <c r="A145" s="33">
        <v>1216013</v>
      </c>
      <c r="B145" s="33">
        <v>6013</v>
      </c>
      <c r="C145" s="9" t="s">
        <v>55</v>
      </c>
      <c r="D145" s="5" t="s">
        <v>331</v>
      </c>
      <c r="E145" s="6">
        <f t="shared" si="60"/>
        <v>59940</v>
      </c>
      <c r="F145" s="6"/>
      <c r="G145" s="6"/>
      <c r="H145" s="6"/>
      <c r="I145" s="6">
        <v>59940</v>
      </c>
      <c r="J145" s="6">
        <f>L145+O145</f>
        <v>2074563</v>
      </c>
      <c r="K145" s="6">
        <f>1244281+1003282-173000</f>
        <v>2074563</v>
      </c>
      <c r="L145" s="6"/>
      <c r="M145" s="6"/>
      <c r="N145" s="6"/>
      <c r="O145" s="6">
        <f>1244281+1003282-173000</f>
        <v>2074563</v>
      </c>
      <c r="P145" s="6">
        <f t="shared" si="47"/>
        <v>2134503</v>
      </c>
    </row>
    <row r="146" spans="1:16" ht="31.2">
      <c r="A146" s="33" t="s">
        <v>232</v>
      </c>
      <c r="B146" s="33" t="s">
        <v>233</v>
      </c>
      <c r="C146" s="33" t="s">
        <v>55</v>
      </c>
      <c r="D146" s="5" t="s">
        <v>234</v>
      </c>
      <c r="E146" s="6">
        <f t="shared" si="60"/>
        <v>0</v>
      </c>
      <c r="F146" s="6">
        <v>0</v>
      </c>
      <c r="G146" s="6">
        <v>0</v>
      </c>
      <c r="H146" s="6">
        <v>0</v>
      </c>
      <c r="I146" s="6">
        <f>300000-300000</f>
        <v>0</v>
      </c>
      <c r="J146" s="6">
        <f t="shared" si="31"/>
        <v>1834392.76</v>
      </c>
      <c r="K146" s="6">
        <f>495000+1485702-146309.24</f>
        <v>1834392.76</v>
      </c>
      <c r="L146" s="6">
        <v>0</v>
      </c>
      <c r="M146" s="6">
        <v>0</v>
      </c>
      <c r="N146" s="6">
        <v>0</v>
      </c>
      <c r="O146" s="6">
        <f>495000+1485702-146309.24</f>
        <v>1834392.76</v>
      </c>
      <c r="P146" s="6">
        <f t="shared" si="47"/>
        <v>1834392.76</v>
      </c>
    </row>
    <row r="147" spans="1:16" ht="46.8">
      <c r="A147" s="33" t="s">
        <v>235</v>
      </c>
      <c r="B147" s="33" t="s">
        <v>236</v>
      </c>
      <c r="C147" s="33" t="s">
        <v>55</v>
      </c>
      <c r="D147" s="5" t="s">
        <v>237</v>
      </c>
      <c r="E147" s="6">
        <f t="shared" si="60"/>
        <v>1493000</v>
      </c>
      <c r="F147" s="6">
        <v>0</v>
      </c>
      <c r="G147" s="6">
        <v>0</v>
      </c>
      <c r="H147" s="6">
        <v>0</v>
      </c>
      <c r="I147" s="6">
        <v>1493000</v>
      </c>
      <c r="J147" s="6">
        <f t="shared" si="31"/>
        <v>1200000</v>
      </c>
      <c r="K147" s="6">
        <v>1200000</v>
      </c>
      <c r="L147" s="6">
        <v>0</v>
      </c>
      <c r="M147" s="6">
        <v>0</v>
      </c>
      <c r="N147" s="6">
        <v>0</v>
      </c>
      <c r="O147" s="6">
        <v>1200000</v>
      </c>
      <c r="P147" s="6">
        <f t="shared" si="47"/>
        <v>2693000</v>
      </c>
    </row>
    <row r="148" spans="1:16" ht="62.4">
      <c r="A148" s="33">
        <v>1216020</v>
      </c>
      <c r="B148" s="33">
        <v>6020</v>
      </c>
      <c r="C148" s="33" t="s">
        <v>55</v>
      </c>
      <c r="D148" s="5" t="s">
        <v>400</v>
      </c>
      <c r="E148" s="6">
        <f t="shared" si="60"/>
        <v>0</v>
      </c>
      <c r="F148" s="6"/>
      <c r="G148" s="6"/>
      <c r="H148" s="6"/>
      <c r="I148" s="6"/>
      <c r="J148" s="6">
        <f t="shared" si="31"/>
        <v>932973.4</v>
      </c>
      <c r="K148" s="6">
        <f>126980+866100-60106.6</f>
        <v>932973.4</v>
      </c>
      <c r="L148" s="6"/>
      <c r="M148" s="6"/>
      <c r="N148" s="6"/>
      <c r="O148" s="6">
        <f>126980+866100-60106.6</f>
        <v>932973.4</v>
      </c>
      <c r="P148" s="6">
        <f t="shared" si="47"/>
        <v>932973.4</v>
      </c>
    </row>
    <row r="149" spans="1:16" ht="31.2">
      <c r="A149" s="33" t="s">
        <v>238</v>
      </c>
      <c r="B149" s="33" t="s">
        <v>54</v>
      </c>
      <c r="C149" s="33" t="s">
        <v>55</v>
      </c>
      <c r="D149" s="5" t="s">
        <v>56</v>
      </c>
      <c r="E149" s="6">
        <f>F149+I149</f>
        <v>75497809.24000001</v>
      </c>
      <c r="F149" s="6">
        <f>19865000+465200+345000-50000-465200-900000-90000-515000+500000-564500-55000</f>
        <v>18535500</v>
      </c>
      <c r="G149" s="6">
        <v>0</v>
      </c>
      <c r="H149" s="6">
        <v>0</v>
      </c>
      <c r="I149" s="6">
        <f>54195000-345000+30000-55000+550000+300000+401000+146309.24+100000+1285000+340000+55000-40000</f>
        <v>56962309.240000002</v>
      </c>
      <c r="J149" s="6">
        <f t="shared" si="31"/>
        <v>879500</v>
      </c>
      <c r="K149" s="6">
        <f>875500-36000+550000-550000+40000</f>
        <v>879500</v>
      </c>
      <c r="L149" s="6">
        <v>0</v>
      </c>
      <c r="M149" s="6">
        <v>0</v>
      </c>
      <c r="N149" s="6">
        <v>0</v>
      </c>
      <c r="O149" s="6">
        <f>875500-36000+550000-550000+40000</f>
        <v>879500</v>
      </c>
      <c r="P149" s="6">
        <f t="shared" si="47"/>
        <v>76377309.24000001</v>
      </c>
    </row>
    <row r="150" spans="1:16">
      <c r="A150" s="33">
        <v>1217130</v>
      </c>
      <c r="B150" s="33">
        <v>7130</v>
      </c>
      <c r="C150" s="9" t="s">
        <v>263</v>
      </c>
      <c r="D150" s="5" t="s">
        <v>264</v>
      </c>
      <c r="E150" s="6">
        <f>F150+I150</f>
        <v>55000</v>
      </c>
      <c r="F150" s="6"/>
      <c r="G150" s="6"/>
      <c r="H150" s="6"/>
      <c r="I150" s="6">
        <v>55000</v>
      </c>
      <c r="J150" s="6">
        <f t="shared" si="31"/>
        <v>0</v>
      </c>
      <c r="K150" s="6"/>
      <c r="L150" s="6"/>
      <c r="M150" s="6"/>
      <c r="N150" s="6"/>
      <c r="O150" s="6"/>
      <c r="P150" s="6">
        <f t="shared" si="47"/>
        <v>55000</v>
      </c>
    </row>
    <row r="151" spans="1:16" ht="46.8">
      <c r="A151" s="33" t="s">
        <v>239</v>
      </c>
      <c r="B151" s="33" t="s">
        <v>240</v>
      </c>
      <c r="C151" s="33" t="s">
        <v>241</v>
      </c>
      <c r="D151" s="5" t="s">
        <v>242</v>
      </c>
      <c r="E151" s="6">
        <f t="shared" si="60"/>
        <v>25700000</v>
      </c>
      <c r="F151" s="6">
        <v>25700000</v>
      </c>
      <c r="G151" s="6">
        <v>0</v>
      </c>
      <c r="H151" s="6">
        <v>0</v>
      </c>
      <c r="I151" s="6">
        <v>0</v>
      </c>
      <c r="J151" s="6">
        <f t="shared" si="31"/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f t="shared" si="47"/>
        <v>25700000</v>
      </c>
    </row>
    <row r="152" spans="1:16" ht="31.2">
      <c r="A152" s="33">
        <v>1217520</v>
      </c>
      <c r="B152" s="33">
        <v>7520</v>
      </c>
      <c r="C152" s="9" t="s">
        <v>385</v>
      </c>
      <c r="D152" s="5" t="s">
        <v>384</v>
      </c>
      <c r="E152" s="6">
        <f t="shared" si="60"/>
        <v>0</v>
      </c>
      <c r="F152" s="6">
        <f>190900-190900</f>
        <v>0</v>
      </c>
      <c r="G152" s="6"/>
      <c r="H152" s="6"/>
      <c r="I152" s="6"/>
      <c r="J152" s="6">
        <f t="shared" si="31"/>
        <v>36000</v>
      </c>
      <c r="K152" s="6">
        <v>36000</v>
      </c>
      <c r="L152" s="6"/>
      <c r="M152" s="6"/>
      <c r="N152" s="6"/>
      <c r="O152" s="6">
        <v>36000</v>
      </c>
      <c r="P152" s="6">
        <f t="shared" si="47"/>
        <v>36000</v>
      </c>
    </row>
    <row r="153" spans="1:16" ht="31.2">
      <c r="A153" s="33">
        <v>1217670</v>
      </c>
      <c r="B153" s="33">
        <v>7670</v>
      </c>
      <c r="C153" s="9" t="s">
        <v>59</v>
      </c>
      <c r="D153" s="5" t="s">
        <v>401</v>
      </c>
      <c r="E153" s="6">
        <f t="shared" si="60"/>
        <v>0</v>
      </c>
      <c r="F153" s="6"/>
      <c r="G153" s="6"/>
      <c r="H153" s="6"/>
      <c r="I153" s="6"/>
      <c r="J153" s="6">
        <f t="shared" si="31"/>
        <v>16769497</v>
      </c>
      <c r="K153" s="6">
        <f>2170700+4943297+9655500</f>
        <v>16769497</v>
      </c>
      <c r="L153" s="6"/>
      <c r="M153" s="6"/>
      <c r="N153" s="6"/>
      <c r="O153" s="6">
        <f>2170700+4943297+9655500</f>
        <v>16769497</v>
      </c>
      <c r="P153" s="6">
        <f t="shared" si="47"/>
        <v>16769497</v>
      </c>
    </row>
    <row r="154" spans="1:16" ht="140.4">
      <c r="A154" s="33">
        <v>1217691</v>
      </c>
      <c r="B154" s="33">
        <v>7691</v>
      </c>
      <c r="C154" s="9" t="s">
        <v>59</v>
      </c>
      <c r="D154" s="5" t="s">
        <v>329</v>
      </c>
      <c r="E154" s="6">
        <f t="shared" si="60"/>
        <v>0</v>
      </c>
      <c r="F154" s="6"/>
      <c r="G154" s="6"/>
      <c r="H154" s="6"/>
      <c r="I154" s="6"/>
      <c r="J154" s="6">
        <f t="shared" si="31"/>
        <v>619546.29</v>
      </c>
      <c r="K154" s="6"/>
      <c r="L154" s="6"/>
      <c r="M154" s="6"/>
      <c r="N154" s="6"/>
      <c r="O154" s="6">
        <f>393146+187656.88+55000-16256.59</f>
        <v>619546.29</v>
      </c>
      <c r="P154" s="6">
        <f t="shared" si="47"/>
        <v>619546.29</v>
      </c>
    </row>
    <row r="155" spans="1:16" ht="31.2">
      <c r="A155" s="33" t="s">
        <v>243</v>
      </c>
      <c r="B155" s="33" t="s">
        <v>244</v>
      </c>
      <c r="C155" s="33" t="s">
        <v>59</v>
      </c>
      <c r="D155" s="5" t="s">
        <v>245</v>
      </c>
      <c r="E155" s="6">
        <f t="shared" si="60"/>
        <v>53979634.979999997</v>
      </c>
      <c r="F155" s="6">
        <v>0</v>
      </c>
      <c r="G155" s="6">
        <v>0</v>
      </c>
      <c r="H155" s="6">
        <v>0</v>
      </c>
      <c r="I155" s="6">
        <f>31215000+3554300+1350000+8000000+51802+3490000-350000+2184900+3912780+570852.98</f>
        <v>53979634.979999997</v>
      </c>
      <c r="J155" s="6">
        <f t="shared" si="31"/>
        <v>0</v>
      </c>
      <c r="K155" s="6"/>
      <c r="L155" s="6">
        <v>0</v>
      </c>
      <c r="M155" s="6">
        <v>0</v>
      </c>
      <c r="N155" s="6">
        <v>0</v>
      </c>
      <c r="O155" s="6"/>
      <c r="P155" s="6">
        <f t="shared" si="47"/>
        <v>53979634.979999997</v>
      </c>
    </row>
    <row r="156" spans="1:16" ht="62.4">
      <c r="A156" s="33">
        <v>1217700</v>
      </c>
      <c r="B156" s="33">
        <v>7700</v>
      </c>
      <c r="C156" s="9" t="s">
        <v>31</v>
      </c>
      <c r="D156" s="5" t="s">
        <v>359</v>
      </c>
      <c r="E156" s="6">
        <f t="shared" si="60"/>
        <v>0</v>
      </c>
      <c r="F156" s="6"/>
      <c r="G156" s="6"/>
      <c r="H156" s="6"/>
      <c r="I156" s="6"/>
      <c r="J156" s="6">
        <f t="shared" si="31"/>
        <v>420801.44</v>
      </c>
      <c r="K156" s="6"/>
      <c r="L156" s="6"/>
      <c r="M156" s="6"/>
      <c r="N156" s="6"/>
      <c r="O156" s="6">
        <v>420801.44</v>
      </c>
      <c r="P156" s="6">
        <f t="shared" si="47"/>
        <v>420801.44</v>
      </c>
    </row>
    <row r="157" spans="1:16" ht="46.8">
      <c r="A157" s="33" t="s">
        <v>246</v>
      </c>
      <c r="B157" s="33" t="s">
        <v>247</v>
      </c>
      <c r="C157" s="33" t="s">
        <v>248</v>
      </c>
      <c r="D157" s="5" t="s">
        <v>249</v>
      </c>
      <c r="E157" s="6">
        <f t="shared" si="60"/>
        <v>4350356</v>
      </c>
      <c r="F157" s="6">
        <f>835000+552900+58341+62000+500000+63990+330000+1948125</f>
        <v>4350356</v>
      </c>
      <c r="G157" s="6">
        <v>0</v>
      </c>
      <c r="H157" s="6">
        <v>0</v>
      </c>
      <c r="I157" s="6">
        <v>0</v>
      </c>
      <c r="J157" s="6">
        <f t="shared" si="31"/>
        <v>1835500</v>
      </c>
      <c r="K157" s="6">
        <f>150000+2213000-1200000+690000-17500</f>
        <v>1835500</v>
      </c>
      <c r="L157" s="6">
        <v>0</v>
      </c>
      <c r="M157" s="6">
        <v>0</v>
      </c>
      <c r="N157" s="6">
        <v>0</v>
      </c>
      <c r="O157" s="6">
        <f>150000+2213000-1200000+690000-17500</f>
        <v>1835500</v>
      </c>
      <c r="P157" s="6">
        <f t="shared" si="47"/>
        <v>6185856</v>
      </c>
    </row>
    <row r="158" spans="1:16" ht="31.2">
      <c r="A158" s="9" t="s">
        <v>321</v>
      </c>
      <c r="B158" s="33">
        <v>8240</v>
      </c>
      <c r="C158" s="9" t="s">
        <v>63</v>
      </c>
      <c r="D158" s="5" t="s">
        <v>272</v>
      </c>
      <c r="E158" s="6">
        <f t="shared" si="60"/>
        <v>12700</v>
      </c>
      <c r="F158" s="6">
        <v>12700</v>
      </c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7"/>
        <v>12700</v>
      </c>
    </row>
    <row r="159" spans="1:16" ht="31.2">
      <c r="A159" s="9" t="s">
        <v>294</v>
      </c>
      <c r="B159" s="33">
        <v>8340</v>
      </c>
      <c r="C159" s="33" t="s">
        <v>286</v>
      </c>
      <c r="D159" s="5" t="s">
        <v>287</v>
      </c>
      <c r="E159" s="6">
        <f t="shared" si="60"/>
        <v>0</v>
      </c>
      <c r="F159" s="6"/>
      <c r="G159" s="6"/>
      <c r="H159" s="6"/>
      <c r="I159" s="6"/>
      <c r="J159" s="6">
        <f t="shared" si="31"/>
        <v>250000</v>
      </c>
      <c r="K159" s="6"/>
      <c r="L159" s="6">
        <v>100000</v>
      </c>
      <c r="M159" s="6"/>
      <c r="N159" s="6"/>
      <c r="O159" s="6">
        <v>150000</v>
      </c>
      <c r="P159" s="6">
        <f t="shared" si="47"/>
        <v>250000</v>
      </c>
    </row>
    <row r="160" spans="1:16" ht="78">
      <c r="A160" s="9" t="s">
        <v>387</v>
      </c>
      <c r="B160" s="33">
        <v>8733</v>
      </c>
      <c r="C160" s="9" t="s">
        <v>241</v>
      </c>
      <c r="D160" s="5" t="s">
        <v>388</v>
      </c>
      <c r="E160" s="6">
        <f t="shared" si="60"/>
        <v>197200</v>
      </c>
      <c r="F160" s="6">
        <v>197200</v>
      </c>
      <c r="G160" s="6"/>
      <c r="H160" s="6"/>
      <c r="I160" s="6"/>
      <c r="J160" s="6">
        <f t="shared" si="31"/>
        <v>500000</v>
      </c>
      <c r="K160" s="6">
        <f>500000</f>
        <v>500000</v>
      </c>
      <c r="L160" s="6"/>
      <c r="M160" s="6"/>
      <c r="N160" s="6"/>
      <c r="O160" s="6">
        <f>500000</f>
        <v>500000</v>
      </c>
      <c r="P160" s="6">
        <f t="shared" si="47"/>
        <v>697200</v>
      </c>
    </row>
    <row r="161" spans="1:16" ht="78">
      <c r="A161" s="9" t="s">
        <v>415</v>
      </c>
      <c r="B161" s="33">
        <v>8741</v>
      </c>
      <c r="C161" s="9" t="s">
        <v>290</v>
      </c>
      <c r="D161" s="5" t="s">
        <v>416</v>
      </c>
      <c r="E161" s="6">
        <f t="shared" si="60"/>
        <v>400000</v>
      </c>
      <c r="F161" s="6"/>
      <c r="G161" s="6"/>
      <c r="H161" s="6"/>
      <c r="I161" s="6">
        <v>400000</v>
      </c>
      <c r="J161" s="6">
        <f t="shared" si="31"/>
        <v>0</v>
      </c>
      <c r="K161" s="6"/>
      <c r="L161" s="6"/>
      <c r="M161" s="6"/>
      <c r="N161" s="6"/>
      <c r="O161" s="6"/>
      <c r="P161" s="6">
        <f t="shared" si="47"/>
        <v>400000</v>
      </c>
    </row>
    <row r="162" spans="1:16" ht="93.6">
      <c r="A162" s="9" t="s">
        <v>402</v>
      </c>
      <c r="B162" s="33">
        <v>8746</v>
      </c>
      <c r="C162" s="9" t="s">
        <v>404</v>
      </c>
      <c r="D162" s="5" t="s">
        <v>403</v>
      </c>
      <c r="E162" s="6">
        <f t="shared" si="60"/>
        <v>334000</v>
      </c>
      <c r="F162" s="6"/>
      <c r="G162" s="6"/>
      <c r="H162" s="6"/>
      <c r="I162" s="6">
        <f>109000+225000</f>
        <v>334000</v>
      </c>
      <c r="J162" s="6">
        <f t="shared" si="31"/>
        <v>0</v>
      </c>
      <c r="K162" s="6"/>
      <c r="L162" s="6"/>
      <c r="M162" s="6"/>
      <c r="N162" s="6"/>
      <c r="O162" s="6"/>
      <c r="P162" s="6">
        <f t="shared" si="47"/>
        <v>334000</v>
      </c>
    </row>
    <row r="163" spans="1:16" ht="78">
      <c r="A163" s="9" t="s">
        <v>381</v>
      </c>
      <c r="B163" s="33">
        <v>8761</v>
      </c>
      <c r="C163" s="9" t="s">
        <v>286</v>
      </c>
      <c r="D163" s="5" t="s">
        <v>382</v>
      </c>
      <c r="E163" s="6">
        <f t="shared" si="60"/>
        <v>0</v>
      </c>
      <c r="F163" s="6"/>
      <c r="G163" s="6"/>
      <c r="H163" s="6"/>
      <c r="I163" s="6"/>
      <c r="J163" s="6">
        <f t="shared" si="31"/>
        <v>674628</v>
      </c>
      <c r="K163" s="6">
        <v>674628</v>
      </c>
      <c r="L163" s="6"/>
      <c r="M163" s="6"/>
      <c r="N163" s="6"/>
      <c r="O163" s="6">
        <v>674628</v>
      </c>
      <c r="P163" s="6">
        <f t="shared" si="47"/>
        <v>674628</v>
      </c>
    </row>
    <row r="164" spans="1:16" ht="62.4">
      <c r="A164" s="2" t="s">
        <v>250</v>
      </c>
      <c r="B164" s="2" t="s">
        <v>18</v>
      </c>
      <c r="C164" s="2" t="s">
        <v>18</v>
      </c>
      <c r="D164" s="3" t="s">
        <v>251</v>
      </c>
      <c r="E164" s="4">
        <f t="shared" ref="E164:E183" si="61">F164+I164</f>
        <v>4650900</v>
      </c>
      <c r="F164" s="4">
        <f>F165</f>
        <v>4650900</v>
      </c>
      <c r="G164" s="4">
        <f t="shared" ref="G164:I164" si="62">G165</f>
        <v>4405900</v>
      </c>
      <c r="H164" s="4">
        <f t="shared" si="62"/>
        <v>0</v>
      </c>
      <c r="I164" s="4">
        <f t="shared" si="62"/>
        <v>0</v>
      </c>
      <c r="J164" s="4">
        <f t="shared" si="31"/>
        <v>232560532.62</v>
      </c>
      <c r="K164" s="4">
        <f>K165</f>
        <v>232211832.62</v>
      </c>
      <c r="L164" s="4">
        <f t="shared" ref="L164:O164" si="63">L165</f>
        <v>0</v>
      </c>
      <c r="M164" s="4">
        <f t="shared" si="63"/>
        <v>0</v>
      </c>
      <c r="N164" s="4">
        <f t="shared" si="63"/>
        <v>0</v>
      </c>
      <c r="O164" s="4">
        <f t="shared" si="63"/>
        <v>232560532.62</v>
      </c>
      <c r="P164" s="4">
        <f t="shared" si="47"/>
        <v>237211432.62</v>
      </c>
    </row>
    <row r="165" spans="1:16" ht="62.4">
      <c r="A165" s="2" t="s">
        <v>252</v>
      </c>
      <c r="B165" s="2" t="s">
        <v>18</v>
      </c>
      <c r="C165" s="2" t="s">
        <v>18</v>
      </c>
      <c r="D165" s="3" t="s">
        <v>251</v>
      </c>
      <c r="E165" s="4">
        <f t="shared" si="61"/>
        <v>4650900</v>
      </c>
      <c r="F165" s="4">
        <f>SUM(F166:F180)</f>
        <v>4650900</v>
      </c>
      <c r="G165" s="4">
        <f t="shared" ref="G165:K165" si="64">SUM(G166:G180)</f>
        <v>4405900</v>
      </c>
      <c r="H165" s="4">
        <f t="shared" si="64"/>
        <v>0</v>
      </c>
      <c r="I165" s="4">
        <f t="shared" si="64"/>
        <v>0</v>
      </c>
      <c r="J165" s="4">
        <f t="shared" si="31"/>
        <v>232560532.62</v>
      </c>
      <c r="K165" s="4">
        <f t="shared" si="64"/>
        <v>232211832.62</v>
      </c>
      <c r="L165" s="4">
        <f t="shared" ref="L165" si="65">SUM(L166:L180)</f>
        <v>0</v>
      </c>
      <c r="M165" s="4">
        <f t="shared" ref="M165" si="66">SUM(M166:M180)</f>
        <v>0</v>
      </c>
      <c r="N165" s="4">
        <f t="shared" ref="N165" si="67">SUM(N166:N180)</f>
        <v>0</v>
      </c>
      <c r="O165" s="4">
        <f t="shared" ref="O165" si="68">SUM(O166:O180)</f>
        <v>232560532.62</v>
      </c>
      <c r="P165" s="4">
        <f t="shared" si="47"/>
        <v>237211432.62</v>
      </c>
    </row>
    <row r="166" spans="1:16" ht="46.8">
      <c r="A166" s="33" t="s">
        <v>253</v>
      </c>
      <c r="B166" s="33" t="s">
        <v>75</v>
      </c>
      <c r="C166" s="33" t="s">
        <v>23</v>
      </c>
      <c r="D166" s="5" t="s">
        <v>76</v>
      </c>
      <c r="E166" s="6">
        <f t="shared" si="61"/>
        <v>4601000</v>
      </c>
      <c r="F166" s="6">
        <f>4386000+70000+100000+40000+40000-35000</f>
        <v>4601000</v>
      </c>
      <c r="G166" s="6">
        <f>4270900+70000+100000-35000</f>
        <v>4405900</v>
      </c>
      <c r="H166" s="6">
        <v>0</v>
      </c>
      <c r="I166" s="6">
        <v>0</v>
      </c>
      <c r="J166" s="6">
        <f t="shared" si="31"/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f t="shared" si="47"/>
        <v>4601000</v>
      </c>
    </row>
    <row r="167" spans="1:16" ht="31.2">
      <c r="A167" s="33" t="s">
        <v>254</v>
      </c>
      <c r="B167" s="33" t="s">
        <v>30</v>
      </c>
      <c r="C167" s="33" t="s">
        <v>31</v>
      </c>
      <c r="D167" s="5" t="s">
        <v>32</v>
      </c>
      <c r="E167" s="6">
        <f t="shared" si="61"/>
        <v>49900</v>
      </c>
      <c r="F167" s="6">
        <f>99000-49100</f>
        <v>49900</v>
      </c>
      <c r="G167" s="6">
        <v>0</v>
      </c>
      <c r="H167" s="6">
        <v>0</v>
      </c>
      <c r="I167" s="6">
        <v>0</v>
      </c>
      <c r="J167" s="6">
        <f t="shared" si="31"/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f t="shared" si="47"/>
        <v>49900</v>
      </c>
    </row>
    <row r="168" spans="1:16" ht="31.2">
      <c r="A168" s="33">
        <v>1512010</v>
      </c>
      <c r="B168" s="9" t="s">
        <v>34</v>
      </c>
      <c r="C168" s="9" t="s">
        <v>35</v>
      </c>
      <c r="D168" s="5" t="s">
        <v>36</v>
      </c>
      <c r="E168" s="6">
        <f t="shared" si="61"/>
        <v>0</v>
      </c>
      <c r="F168" s="6"/>
      <c r="G168" s="6"/>
      <c r="H168" s="6"/>
      <c r="I168" s="6"/>
      <c r="J168" s="6">
        <f t="shared" si="31"/>
        <v>1130727</v>
      </c>
      <c r="K168" s="6">
        <f>1205627-30000-25000-19900</f>
        <v>1130727</v>
      </c>
      <c r="L168" s="6"/>
      <c r="M168" s="6"/>
      <c r="N168" s="6"/>
      <c r="O168" s="6">
        <f>1205627-30000-25000-19900</f>
        <v>1130727</v>
      </c>
      <c r="P168" s="6">
        <f t="shared" si="47"/>
        <v>1130727</v>
      </c>
    </row>
    <row r="169" spans="1:16" ht="31.2">
      <c r="A169" s="33">
        <v>1516013</v>
      </c>
      <c r="B169" s="9" t="s">
        <v>330</v>
      </c>
      <c r="C169" s="9" t="s">
        <v>55</v>
      </c>
      <c r="D169" s="5" t="s">
        <v>331</v>
      </c>
      <c r="E169" s="6">
        <f t="shared" si="61"/>
        <v>0</v>
      </c>
      <c r="F169" s="6"/>
      <c r="G169" s="6"/>
      <c r="H169" s="6"/>
      <c r="I169" s="6"/>
      <c r="J169" s="6">
        <f t="shared" si="31"/>
        <v>382750</v>
      </c>
      <c r="K169" s="6">
        <v>382750</v>
      </c>
      <c r="L169" s="6"/>
      <c r="M169" s="6"/>
      <c r="N169" s="6"/>
      <c r="O169" s="6">
        <v>382750</v>
      </c>
      <c r="P169" s="6">
        <f t="shared" si="47"/>
        <v>382750</v>
      </c>
    </row>
    <row r="170" spans="1:16" ht="31.2">
      <c r="A170" s="33">
        <v>1516015</v>
      </c>
      <c r="B170" s="9" t="s">
        <v>233</v>
      </c>
      <c r="C170" s="9" t="s">
        <v>55</v>
      </c>
      <c r="D170" s="5" t="s">
        <v>234</v>
      </c>
      <c r="E170" s="6">
        <f t="shared" si="61"/>
        <v>0</v>
      </c>
      <c r="F170" s="6"/>
      <c r="G170" s="6"/>
      <c r="H170" s="6"/>
      <c r="I170" s="6"/>
      <c r="J170" s="6">
        <f t="shared" si="31"/>
        <v>15718117</v>
      </c>
      <c r="K170" s="6">
        <f>23415217-6097000+399900-2000000</f>
        <v>15718117</v>
      </c>
      <c r="L170" s="6"/>
      <c r="M170" s="6"/>
      <c r="N170" s="6"/>
      <c r="O170" s="6">
        <f>23415217-6097000+399900-2000000</f>
        <v>15718117</v>
      </c>
      <c r="P170" s="6">
        <f t="shared" si="47"/>
        <v>15718117</v>
      </c>
    </row>
    <row r="171" spans="1:16" ht="46.8">
      <c r="A171" s="33">
        <v>1516017</v>
      </c>
      <c r="B171" s="9" t="s">
        <v>236</v>
      </c>
      <c r="C171" s="9" t="s">
        <v>55</v>
      </c>
      <c r="D171" s="5" t="s">
        <v>405</v>
      </c>
      <c r="E171" s="6">
        <f t="shared" si="61"/>
        <v>0</v>
      </c>
      <c r="F171" s="6"/>
      <c r="G171" s="6"/>
      <c r="H171" s="6"/>
      <c r="I171" s="6"/>
      <c r="J171" s="6">
        <f t="shared" si="31"/>
        <v>330000</v>
      </c>
      <c r="K171" s="6">
        <v>330000</v>
      </c>
      <c r="L171" s="6"/>
      <c r="M171" s="6"/>
      <c r="N171" s="6"/>
      <c r="O171" s="6">
        <v>330000</v>
      </c>
      <c r="P171" s="6">
        <f t="shared" si="47"/>
        <v>330000</v>
      </c>
    </row>
    <row r="172" spans="1:16" ht="78">
      <c r="A172" s="33">
        <v>1516050</v>
      </c>
      <c r="B172" s="9" t="s">
        <v>332</v>
      </c>
      <c r="C172" s="9" t="s">
        <v>55</v>
      </c>
      <c r="D172" s="5" t="s">
        <v>333</v>
      </c>
      <c r="E172" s="6">
        <f t="shared" si="61"/>
        <v>0</v>
      </c>
      <c r="F172" s="6"/>
      <c r="G172" s="6"/>
      <c r="H172" s="6"/>
      <c r="I172" s="6"/>
      <c r="J172" s="6">
        <f t="shared" si="31"/>
        <v>1194873</v>
      </c>
      <c r="K172" s="6">
        <f>2439154-1244281</f>
        <v>1194873</v>
      </c>
      <c r="L172" s="6"/>
      <c r="M172" s="6"/>
      <c r="N172" s="6"/>
      <c r="O172" s="6">
        <f>2439154-1244281</f>
        <v>1194873</v>
      </c>
      <c r="P172" s="6">
        <f t="shared" si="47"/>
        <v>1194873</v>
      </c>
    </row>
    <row r="173" spans="1:16" ht="31.2">
      <c r="A173" s="33">
        <v>1517310</v>
      </c>
      <c r="B173" s="9" t="s">
        <v>334</v>
      </c>
      <c r="C173" s="9" t="s">
        <v>267</v>
      </c>
      <c r="D173" s="5" t="s">
        <v>335</v>
      </c>
      <c r="E173" s="6">
        <f t="shared" si="61"/>
        <v>0</v>
      </c>
      <c r="F173" s="6"/>
      <c r="G173" s="6"/>
      <c r="H173" s="6"/>
      <c r="I173" s="6"/>
      <c r="J173" s="6">
        <f t="shared" si="31"/>
        <v>47512003.619999997</v>
      </c>
      <c r="K173" s="6">
        <f>19000000+10001250+20804000+1027000-3000000-320246.38</f>
        <v>47512003.619999997</v>
      </c>
      <c r="L173" s="6"/>
      <c r="M173" s="6"/>
      <c r="N173" s="6"/>
      <c r="O173" s="6">
        <f>19000000+10001250+20804000+1027000-3000000-320246.38</f>
        <v>47512003.619999997</v>
      </c>
      <c r="P173" s="6">
        <f t="shared" si="47"/>
        <v>47512003.619999997</v>
      </c>
    </row>
    <row r="174" spans="1:16" ht="31.2">
      <c r="A174" s="33">
        <v>1517321</v>
      </c>
      <c r="B174" s="9" t="s">
        <v>336</v>
      </c>
      <c r="C174" s="9" t="s">
        <v>267</v>
      </c>
      <c r="D174" s="5" t="s">
        <v>337</v>
      </c>
      <c r="E174" s="6">
        <f t="shared" si="61"/>
        <v>0</v>
      </c>
      <c r="F174" s="6"/>
      <c r="G174" s="6"/>
      <c r="H174" s="6"/>
      <c r="I174" s="6"/>
      <c r="J174" s="6">
        <f t="shared" si="31"/>
        <v>87576460</v>
      </c>
      <c r="K174" s="6">
        <f>202660+25000+87308800-40000+80000</f>
        <v>87576460</v>
      </c>
      <c r="L174" s="6"/>
      <c r="M174" s="6"/>
      <c r="N174" s="6"/>
      <c r="O174" s="6">
        <f>202660+25000+87308800-40000+80000</f>
        <v>87576460</v>
      </c>
      <c r="P174" s="6">
        <f t="shared" si="47"/>
        <v>87576460</v>
      </c>
    </row>
    <row r="175" spans="1:16" ht="31.2">
      <c r="A175" s="33">
        <v>1517368</v>
      </c>
      <c r="B175" s="9" t="s">
        <v>351</v>
      </c>
      <c r="C175" s="9" t="s">
        <v>59</v>
      </c>
      <c r="D175" s="5" t="s">
        <v>352</v>
      </c>
      <c r="E175" s="6">
        <f t="shared" si="61"/>
        <v>0</v>
      </c>
      <c r="F175" s="6"/>
      <c r="G175" s="6"/>
      <c r="H175" s="6"/>
      <c r="I175" s="6"/>
      <c r="J175" s="6">
        <f t="shared" si="31"/>
        <v>26491442</v>
      </c>
      <c r="K175" s="6">
        <v>26491442</v>
      </c>
      <c r="L175" s="6"/>
      <c r="M175" s="6"/>
      <c r="N175" s="6"/>
      <c r="O175" s="6">
        <v>26491442</v>
      </c>
      <c r="P175" s="6">
        <f t="shared" si="47"/>
        <v>26491442</v>
      </c>
    </row>
    <row r="176" spans="1:16" ht="46.8">
      <c r="A176" s="33">
        <v>1517370</v>
      </c>
      <c r="B176" s="9" t="s">
        <v>338</v>
      </c>
      <c r="C176" s="9" t="s">
        <v>59</v>
      </c>
      <c r="D176" s="5" t="s">
        <v>339</v>
      </c>
      <c r="E176" s="6">
        <f t="shared" si="61"/>
        <v>0</v>
      </c>
      <c r="F176" s="6"/>
      <c r="G176" s="6"/>
      <c r="H176" s="6"/>
      <c r="I176" s="6"/>
      <c r="J176" s="6">
        <f t="shared" si="31"/>
        <v>27703591</v>
      </c>
      <c r="K176" s="6">
        <f>7820447+17920251+2000000-37107</f>
        <v>27703591</v>
      </c>
      <c r="L176" s="6"/>
      <c r="M176" s="6"/>
      <c r="N176" s="6"/>
      <c r="O176" s="6">
        <f>7820447+17920251+2000000-37107</f>
        <v>27703591</v>
      </c>
      <c r="P176" s="6">
        <f t="shared" si="47"/>
        <v>27703591</v>
      </c>
    </row>
    <row r="177" spans="1:16" ht="78">
      <c r="A177" s="9" t="s">
        <v>418</v>
      </c>
      <c r="B177" s="33">
        <v>7373</v>
      </c>
      <c r="C177" s="9" t="s">
        <v>59</v>
      </c>
      <c r="D177" s="5" t="s">
        <v>407</v>
      </c>
      <c r="E177" s="6"/>
      <c r="F177" s="6"/>
      <c r="G177" s="6"/>
      <c r="H177" s="6"/>
      <c r="I177" s="6"/>
      <c r="J177" s="6">
        <f t="shared" si="31"/>
        <v>550000</v>
      </c>
      <c r="K177" s="6">
        <v>550000</v>
      </c>
      <c r="L177" s="6"/>
      <c r="M177" s="6"/>
      <c r="N177" s="6"/>
      <c r="O177" s="6">
        <v>550000</v>
      </c>
      <c r="P177" s="6">
        <f t="shared" si="47"/>
        <v>550000</v>
      </c>
    </row>
    <row r="178" spans="1:16">
      <c r="A178" s="33">
        <v>1517640</v>
      </c>
      <c r="B178" s="9" t="s">
        <v>340</v>
      </c>
      <c r="C178" s="9" t="s">
        <v>327</v>
      </c>
      <c r="D178" s="5" t="s">
        <v>326</v>
      </c>
      <c r="E178" s="6">
        <f t="shared" si="61"/>
        <v>0</v>
      </c>
      <c r="F178" s="6"/>
      <c r="G178" s="6"/>
      <c r="H178" s="6"/>
      <c r="I178" s="6"/>
      <c r="J178" s="6">
        <f t="shared" si="31"/>
        <v>6451791</v>
      </c>
      <c r="K178" s="6">
        <f>7720091-1268300</f>
        <v>6451791</v>
      </c>
      <c r="L178" s="6"/>
      <c r="M178" s="6"/>
      <c r="N178" s="6"/>
      <c r="O178" s="6">
        <f>7720091-1268300</f>
        <v>6451791</v>
      </c>
      <c r="P178" s="6">
        <f t="shared" si="47"/>
        <v>6451791</v>
      </c>
    </row>
    <row r="179" spans="1:16" ht="46.8">
      <c r="A179" s="33">
        <v>1518110</v>
      </c>
      <c r="B179" s="9" t="s">
        <v>247</v>
      </c>
      <c r="C179" s="9" t="s">
        <v>248</v>
      </c>
      <c r="D179" s="5" t="s">
        <v>249</v>
      </c>
      <c r="E179" s="6">
        <f t="shared" si="61"/>
        <v>0</v>
      </c>
      <c r="F179" s="6"/>
      <c r="G179" s="6"/>
      <c r="H179" s="6"/>
      <c r="I179" s="6"/>
      <c r="J179" s="6">
        <f t="shared" si="31"/>
        <v>17170078</v>
      </c>
      <c r="K179" s="6">
        <f>22333778-1000000-49000-3790000-324700</f>
        <v>17170078</v>
      </c>
      <c r="L179" s="6"/>
      <c r="M179" s="6"/>
      <c r="N179" s="6"/>
      <c r="O179" s="6">
        <f>22333778-1000000-49000-3790000-324700</f>
        <v>17170078</v>
      </c>
      <c r="P179" s="6">
        <f t="shared" si="47"/>
        <v>17170078</v>
      </c>
    </row>
    <row r="180" spans="1:16" ht="31.2">
      <c r="A180" s="33">
        <v>1518340</v>
      </c>
      <c r="B180" s="9" t="s">
        <v>406</v>
      </c>
      <c r="C180" s="9" t="s">
        <v>286</v>
      </c>
      <c r="D180" s="5" t="s">
        <v>287</v>
      </c>
      <c r="E180" s="6">
        <f t="shared" si="61"/>
        <v>0</v>
      </c>
      <c r="F180" s="6"/>
      <c r="G180" s="6"/>
      <c r="H180" s="6"/>
      <c r="I180" s="6"/>
      <c r="J180" s="6">
        <f t="shared" si="31"/>
        <v>348700</v>
      </c>
      <c r="K180" s="6"/>
      <c r="L180" s="6"/>
      <c r="M180" s="6"/>
      <c r="N180" s="6"/>
      <c r="O180" s="6">
        <v>348700</v>
      </c>
      <c r="P180" s="6">
        <f t="shared" si="47"/>
        <v>348700</v>
      </c>
    </row>
    <row r="181" spans="1:16" ht="62.4">
      <c r="A181" s="2" t="s">
        <v>255</v>
      </c>
      <c r="B181" s="2" t="s">
        <v>18</v>
      </c>
      <c r="C181" s="2" t="s">
        <v>18</v>
      </c>
      <c r="D181" s="3" t="s">
        <v>256</v>
      </c>
      <c r="E181" s="4">
        <f t="shared" si="61"/>
        <v>23569296</v>
      </c>
      <c r="F181" s="4">
        <f>F182</f>
        <v>4622700</v>
      </c>
      <c r="G181" s="4">
        <f t="shared" ref="G181:I181" si="69">G182</f>
        <v>3875600</v>
      </c>
      <c r="H181" s="4">
        <f t="shared" si="69"/>
        <v>0</v>
      </c>
      <c r="I181" s="4">
        <f t="shared" si="69"/>
        <v>18946596</v>
      </c>
      <c r="J181" s="4">
        <f t="shared" si="31"/>
        <v>28500</v>
      </c>
      <c r="K181" s="4">
        <f>K182</f>
        <v>28500</v>
      </c>
      <c r="L181" s="4">
        <f t="shared" ref="L181:O181" si="70">L182</f>
        <v>0</v>
      </c>
      <c r="M181" s="4">
        <f t="shared" si="70"/>
        <v>0</v>
      </c>
      <c r="N181" s="4">
        <f t="shared" si="70"/>
        <v>0</v>
      </c>
      <c r="O181" s="4">
        <f t="shared" si="70"/>
        <v>28500</v>
      </c>
      <c r="P181" s="4">
        <f t="shared" si="47"/>
        <v>23597796</v>
      </c>
    </row>
    <row r="182" spans="1:16" ht="62.4">
      <c r="A182" s="2" t="s">
        <v>257</v>
      </c>
      <c r="B182" s="2" t="s">
        <v>18</v>
      </c>
      <c r="C182" s="2" t="s">
        <v>18</v>
      </c>
      <c r="D182" s="3" t="s">
        <v>256</v>
      </c>
      <c r="E182" s="4">
        <f t="shared" si="61"/>
        <v>23569296</v>
      </c>
      <c r="F182" s="4">
        <f>SUM(F183:F189)</f>
        <v>4622700</v>
      </c>
      <c r="G182" s="4">
        <f t="shared" ref="G182:I182" si="71">SUM(G183:G189)</f>
        <v>3875600</v>
      </c>
      <c r="H182" s="4">
        <f t="shared" si="71"/>
        <v>0</v>
      </c>
      <c r="I182" s="4">
        <f t="shared" si="71"/>
        <v>18946596</v>
      </c>
      <c r="J182" s="4">
        <f>L182+O182</f>
        <v>28500</v>
      </c>
      <c r="K182" s="4">
        <f>K183+K184+K185+K186+K187+K188+K189</f>
        <v>28500</v>
      </c>
      <c r="L182" s="4">
        <f t="shared" ref="L182:O182" si="72">L183+L184+L185+L186+L187+L188+L189</f>
        <v>0</v>
      </c>
      <c r="M182" s="4">
        <f t="shared" si="72"/>
        <v>0</v>
      </c>
      <c r="N182" s="4">
        <f t="shared" si="72"/>
        <v>0</v>
      </c>
      <c r="O182" s="4">
        <f t="shared" si="72"/>
        <v>28500</v>
      </c>
      <c r="P182" s="4">
        <f t="shared" si="47"/>
        <v>23597796</v>
      </c>
    </row>
    <row r="183" spans="1:16" ht="46.8">
      <c r="A183" s="33" t="s">
        <v>258</v>
      </c>
      <c r="B183" s="33" t="s">
        <v>75</v>
      </c>
      <c r="C183" s="33" t="s">
        <v>23</v>
      </c>
      <c r="D183" s="5" t="s">
        <v>76</v>
      </c>
      <c r="E183" s="6">
        <f t="shared" si="61"/>
        <v>3962800</v>
      </c>
      <c r="F183" s="6">
        <f>3762800+120000+80000</f>
        <v>3962800</v>
      </c>
      <c r="G183" s="6">
        <f>3675600+120000+80000</f>
        <v>3875600</v>
      </c>
      <c r="H183" s="6">
        <v>0</v>
      </c>
      <c r="I183" s="6">
        <v>0</v>
      </c>
      <c r="J183" s="6">
        <f t="shared" si="31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7"/>
        <v>3962800</v>
      </c>
    </row>
    <row r="184" spans="1:16" ht="31.2">
      <c r="A184" s="33" t="s">
        <v>259</v>
      </c>
      <c r="B184" s="33" t="s">
        <v>30</v>
      </c>
      <c r="C184" s="33" t="s">
        <v>31</v>
      </c>
      <c r="D184" s="5" t="s">
        <v>32</v>
      </c>
      <c r="E184" s="6">
        <f t="shared" ref="E184:E189" si="73">F184+I184</f>
        <v>121900</v>
      </c>
      <c r="F184" s="6">
        <f>159000-49100+12000</f>
        <v>121900</v>
      </c>
      <c r="G184" s="6">
        <v>0</v>
      </c>
      <c r="H184" s="6">
        <v>0</v>
      </c>
      <c r="I184" s="6">
        <v>0</v>
      </c>
      <c r="J184" s="6">
        <f t="shared" si="31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7"/>
        <v>121900</v>
      </c>
    </row>
    <row r="185" spans="1:16" ht="46.8">
      <c r="A185" s="33" t="s">
        <v>260</v>
      </c>
      <c r="B185" s="33" t="s">
        <v>236</v>
      </c>
      <c r="C185" s="33" t="s">
        <v>55</v>
      </c>
      <c r="D185" s="5" t="s">
        <v>237</v>
      </c>
      <c r="E185" s="6">
        <f t="shared" si="73"/>
        <v>194000</v>
      </c>
      <c r="F185" s="6">
        <f>146000+104000-56000</f>
        <v>194000</v>
      </c>
      <c r="G185" s="6">
        <v>0</v>
      </c>
      <c r="H185" s="6">
        <v>0</v>
      </c>
      <c r="I185" s="6">
        <v>0</v>
      </c>
      <c r="J185" s="6">
        <f t="shared" si="31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47"/>
        <v>194000</v>
      </c>
    </row>
    <row r="186" spans="1:16">
      <c r="A186" s="33" t="s">
        <v>261</v>
      </c>
      <c r="B186" s="33" t="s">
        <v>262</v>
      </c>
      <c r="C186" s="33" t="s">
        <v>263</v>
      </c>
      <c r="D186" s="5" t="s">
        <v>264</v>
      </c>
      <c r="E186" s="6">
        <f t="shared" si="73"/>
        <v>194000</v>
      </c>
      <c r="F186" s="6">
        <f>200000-104000+50000+48000</f>
        <v>194000</v>
      </c>
      <c r="G186" s="6">
        <v>0</v>
      </c>
      <c r="H186" s="6">
        <v>0</v>
      </c>
      <c r="I186" s="6">
        <v>0</v>
      </c>
      <c r="J186" s="6">
        <f t="shared" si="31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si="47"/>
        <v>194000</v>
      </c>
    </row>
    <row r="187" spans="1:16" ht="46.8">
      <c r="A187" s="33" t="s">
        <v>265</v>
      </c>
      <c r="B187" s="33" t="s">
        <v>266</v>
      </c>
      <c r="C187" s="33" t="s">
        <v>267</v>
      </c>
      <c r="D187" s="5" t="s">
        <v>268</v>
      </c>
      <c r="E187" s="6">
        <f t="shared" si="73"/>
        <v>1500000</v>
      </c>
      <c r="F187" s="6">
        <v>0</v>
      </c>
      <c r="G187" s="6">
        <v>0</v>
      </c>
      <c r="H187" s="6">
        <v>0</v>
      </c>
      <c r="I187" s="6">
        <v>1500000</v>
      </c>
      <c r="J187" s="6">
        <f t="shared" si="31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ref="P187:P212" si="74">E187 + J187</f>
        <v>1500000</v>
      </c>
    </row>
    <row r="188" spans="1:16" ht="31.2">
      <c r="A188" s="33" t="s">
        <v>269</v>
      </c>
      <c r="B188" s="33" t="s">
        <v>244</v>
      </c>
      <c r="C188" s="33" t="s">
        <v>59</v>
      </c>
      <c r="D188" s="5" t="s">
        <v>245</v>
      </c>
      <c r="E188" s="6">
        <f t="shared" si="73"/>
        <v>17446596</v>
      </c>
      <c r="F188" s="6">
        <v>0</v>
      </c>
      <c r="G188" s="6">
        <v>0</v>
      </c>
      <c r="H188" s="6">
        <v>0</v>
      </c>
      <c r="I188" s="6">
        <f>18281300+187000-19400+104446-1106750</f>
        <v>17446596</v>
      </c>
      <c r="J188" s="6">
        <f t="shared" si="31"/>
        <v>28500</v>
      </c>
      <c r="K188" s="6">
        <v>28500</v>
      </c>
      <c r="L188" s="6">
        <v>0</v>
      </c>
      <c r="M188" s="6">
        <v>0</v>
      </c>
      <c r="N188" s="6">
        <v>0</v>
      </c>
      <c r="O188" s="6">
        <v>28500</v>
      </c>
      <c r="P188" s="6">
        <f t="shared" si="74"/>
        <v>17475096</v>
      </c>
    </row>
    <row r="189" spans="1:16" ht="31.2">
      <c r="A189" s="33" t="s">
        <v>270</v>
      </c>
      <c r="B189" s="33" t="s">
        <v>271</v>
      </c>
      <c r="C189" s="33" t="s">
        <v>63</v>
      </c>
      <c r="D189" s="5" t="s">
        <v>272</v>
      </c>
      <c r="E189" s="6">
        <f t="shared" si="73"/>
        <v>150000</v>
      </c>
      <c r="F189" s="6">
        <v>150000</v>
      </c>
      <c r="G189" s="6">
        <v>0</v>
      </c>
      <c r="H189" s="6">
        <v>0</v>
      </c>
      <c r="I189" s="6">
        <v>0</v>
      </c>
      <c r="J189" s="6">
        <f t="shared" si="31"/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f t="shared" si="74"/>
        <v>150000</v>
      </c>
    </row>
    <row r="190" spans="1:16" ht="46.8">
      <c r="A190" s="2" t="s">
        <v>273</v>
      </c>
      <c r="B190" s="2" t="s">
        <v>18</v>
      </c>
      <c r="C190" s="2" t="s">
        <v>18</v>
      </c>
      <c r="D190" s="3" t="s">
        <v>274</v>
      </c>
      <c r="E190" s="4">
        <f>E191</f>
        <v>27872242</v>
      </c>
      <c r="F190" s="4">
        <f>F191</f>
        <v>25568060</v>
      </c>
      <c r="G190" s="4">
        <f t="shared" ref="G190:I190" si="75">G191</f>
        <v>6216600</v>
      </c>
      <c r="H190" s="4">
        <f t="shared" si="75"/>
        <v>0</v>
      </c>
      <c r="I190" s="4">
        <f t="shared" si="75"/>
        <v>0</v>
      </c>
      <c r="J190" s="4">
        <f t="shared" si="31"/>
        <v>78145443</v>
      </c>
      <c r="K190" s="4">
        <f>K191</f>
        <v>78145443</v>
      </c>
      <c r="L190" s="4">
        <v>0</v>
      </c>
      <c r="M190" s="4">
        <v>0</v>
      </c>
      <c r="N190" s="4">
        <v>0</v>
      </c>
      <c r="O190" s="4">
        <f>O191</f>
        <v>78145443</v>
      </c>
      <c r="P190" s="4">
        <f t="shared" si="74"/>
        <v>106017685</v>
      </c>
    </row>
    <row r="191" spans="1:16" ht="46.8">
      <c r="A191" s="2" t="s">
        <v>275</v>
      </c>
      <c r="B191" s="2" t="s">
        <v>18</v>
      </c>
      <c r="C191" s="2" t="s">
        <v>18</v>
      </c>
      <c r="D191" s="3" t="s">
        <v>274</v>
      </c>
      <c r="E191" s="4">
        <f>SUM(E192:E195)+E202</f>
        <v>27872242</v>
      </c>
      <c r="F191" s="4">
        <f>F192+F193+F194+F195+F202</f>
        <v>25568060</v>
      </c>
      <c r="G191" s="4">
        <f>G192+G193+G194+G195+G202</f>
        <v>6216600</v>
      </c>
      <c r="H191" s="4">
        <f>H192+H193+H194+H195+H202</f>
        <v>0</v>
      </c>
      <c r="I191" s="4">
        <f>I192+I193+I194+I195+I202</f>
        <v>0</v>
      </c>
      <c r="J191" s="4">
        <f t="shared" ref="J191:J211" si="76">L191+O191</f>
        <v>78145443</v>
      </c>
      <c r="K191" s="4">
        <f>K192+K193+K194+K195+K202</f>
        <v>78145443</v>
      </c>
      <c r="L191" s="4">
        <f>L192+L193+L194+L195+L202</f>
        <v>0</v>
      </c>
      <c r="M191" s="4">
        <f>M192+M193+M194+M195+M202</f>
        <v>0</v>
      </c>
      <c r="N191" s="4">
        <f>N192+N193+N194+N195+N202</f>
        <v>0</v>
      </c>
      <c r="O191" s="4">
        <f>O192+O193+O194+O195+O202</f>
        <v>78145443</v>
      </c>
      <c r="P191" s="4">
        <f t="shared" si="74"/>
        <v>106017685</v>
      </c>
    </row>
    <row r="192" spans="1:16" ht="46.8">
      <c r="A192" s="33" t="s">
        <v>276</v>
      </c>
      <c r="B192" s="33" t="s">
        <v>75</v>
      </c>
      <c r="C192" s="33" t="s">
        <v>23</v>
      </c>
      <c r="D192" s="5" t="s">
        <v>76</v>
      </c>
      <c r="E192" s="6">
        <f>F192+I192</f>
        <v>6423700</v>
      </c>
      <c r="F192" s="6">
        <f>5938700+450000+35000</f>
        <v>6423700</v>
      </c>
      <c r="G192" s="6">
        <f>5671600+450000+60000+35000</f>
        <v>6216600</v>
      </c>
      <c r="H192" s="6">
        <v>0</v>
      </c>
      <c r="I192" s="6">
        <v>0</v>
      </c>
      <c r="J192" s="6">
        <f t="shared" si="76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4"/>
        <v>6423700</v>
      </c>
    </row>
    <row r="193" spans="1:16" ht="31.2">
      <c r="A193" s="33" t="s">
        <v>277</v>
      </c>
      <c r="B193" s="33" t="s">
        <v>30</v>
      </c>
      <c r="C193" s="33" t="s">
        <v>31</v>
      </c>
      <c r="D193" s="5" t="s">
        <v>32</v>
      </c>
      <c r="E193" s="6">
        <f>F193+I193</f>
        <v>52900</v>
      </c>
      <c r="F193" s="6">
        <v>52900</v>
      </c>
      <c r="G193" s="6">
        <v>0</v>
      </c>
      <c r="H193" s="6">
        <v>0</v>
      </c>
      <c r="I193" s="6">
        <v>0</v>
      </c>
      <c r="J193" s="6">
        <f t="shared" si="76"/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f t="shared" si="74"/>
        <v>52900</v>
      </c>
    </row>
    <row r="194" spans="1:16">
      <c r="A194" s="33" t="s">
        <v>278</v>
      </c>
      <c r="B194" s="33" t="s">
        <v>279</v>
      </c>
      <c r="C194" s="33" t="s">
        <v>31</v>
      </c>
      <c r="D194" s="5" t="s">
        <v>280</v>
      </c>
      <c r="E194" s="6">
        <f>8000000-1577623-590000-157749-2000000-674628-500000-109000-197200+2000000-1000000-134600-400000+1485930-225000-1615948</f>
        <v>2304182</v>
      </c>
      <c r="F194" s="6">
        <v>0</v>
      </c>
      <c r="G194" s="6">
        <v>0</v>
      </c>
      <c r="H194" s="6">
        <v>0</v>
      </c>
      <c r="I194" s="6">
        <v>0</v>
      </c>
      <c r="J194" s="6">
        <f t="shared" si="76"/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f t="shared" si="74"/>
        <v>2304182</v>
      </c>
    </row>
    <row r="195" spans="1:16">
      <c r="A195" s="33" t="s">
        <v>281</v>
      </c>
      <c r="B195" s="33" t="s">
        <v>282</v>
      </c>
      <c r="C195" s="33" t="s">
        <v>30</v>
      </c>
      <c r="D195" s="5" t="s">
        <v>283</v>
      </c>
      <c r="E195" s="6">
        <f>F195+I195</f>
        <v>4124000</v>
      </c>
      <c r="F195" s="6">
        <f>F197+F198+F199+F200+F201</f>
        <v>4124000</v>
      </c>
      <c r="G195" s="6">
        <f t="shared" ref="G195:O195" si="77">G197+G198+G199+G200+G201</f>
        <v>0</v>
      </c>
      <c r="H195" s="6">
        <f t="shared" si="77"/>
        <v>0</v>
      </c>
      <c r="I195" s="6">
        <f t="shared" si="77"/>
        <v>0</v>
      </c>
      <c r="J195" s="6">
        <f t="shared" si="76"/>
        <v>2083500</v>
      </c>
      <c r="K195" s="6">
        <f t="shared" si="77"/>
        <v>2083500</v>
      </c>
      <c r="L195" s="6">
        <f t="shared" si="77"/>
        <v>0</v>
      </c>
      <c r="M195" s="6">
        <f t="shared" si="77"/>
        <v>0</v>
      </c>
      <c r="N195" s="6">
        <f t="shared" si="77"/>
        <v>0</v>
      </c>
      <c r="O195" s="6">
        <f t="shared" si="77"/>
        <v>2083500</v>
      </c>
      <c r="P195" s="6">
        <f t="shared" si="74"/>
        <v>6207500</v>
      </c>
    </row>
    <row r="196" spans="1:16" s="21" customFormat="1">
      <c r="A196" s="7"/>
      <c r="B196" s="7"/>
      <c r="C196" s="7"/>
      <c r="D196" s="1" t="s">
        <v>345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21" customFormat="1" ht="124.8">
      <c r="A197" s="7"/>
      <c r="B197" s="7"/>
      <c r="C197" s="7"/>
      <c r="D197" s="1" t="s">
        <v>344</v>
      </c>
      <c r="E197" s="8">
        <f t="shared" ref="E197:E202" si="78">F197+I197</f>
        <v>1287000</v>
      </c>
      <c r="F197" s="8">
        <f>1261500+309000-283500</f>
        <v>1287000</v>
      </c>
      <c r="G197" s="8"/>
      <c r="H197" s="8"/>
      <c r="I197" s="8"/>
      <c r="J197" s="8">
        <f>L197+O197</f>
        <v>283500</v>
      </c>
      <c r="K197" s="8">
        <v>283500</v>
      </c>
      <c r="L197" s="8"/>
      <c r="M197" s="8"/>
      <c r="N197" s="8"/>
      <c r="O197" s="8">
        <v>283500</v>
      </c>
      <c r="P197" s="8">
        <f>E197+J197</f>
        <v>1570500</v>
      </c>
    </row>
    <row r="198" spans="1:16" s="21" customFormat="1" ht="62.4">
      <c r="A198" s="7"/>
      <c r="B198" s="7"/>
      <c r="C198" s="7"/>
      <c r="D198" s="1" t="s">
        <v>346</v>
      </c>
      <c r="E198" s="8">
        <f t="shared" si="78"/>
        <v>300000</v>
      </c>
      <c r="F198" s="8">
        <v>300000</v>
      </c>
      <c r="G198" s="8"/>
      <c r="H198" s="8"/>
      <c r="I198" s="8"/>
      <c r="J198" s="8">
        <f>L198+O198</f>
        <v>0</v>
      </c>
      <c r="K198" s="8"/>
      <c r="L198" s="8"/>
      <c r="M198" s="8"/>
      <c r="N198" s="8"/>
      <c r="O198" s="8"/>
      <c r="P198" s="8">
        <f t="shared" si="74"/>
        <v>300000</v>
      </c>
    </row>
    <row r="199" spans="1:16" s="21" customFormat="1" ht="78">
      <c r="A199" s="7"/>
      <c r="B199" s="7"/>
      <c r="C199" s="7"/>
      <c r="D199" s="1" t="s">
        <v>347</v>
      </c>
      <c r="E199" s="8">
        <f t="shared" si="78"/>
        <v>2237000</v>
      </c>
      <c r="F199" s="8">
        <v>2237000</v>
      </c>
      <c r="G199" s="8"/>
      <c r="H199" s="8"/>
      <c r="I199" s="8"/>
      <c r="J199" s="8">
        <f>L199+O199</f>
        <v>0</v>
      </c>
      <c r="K199" s="8"/>
      <c r="L199" s="8"/>
      <c r="M199" s="8"/>
      <c r="N199" s="8"/>
      <c r="O199" s="8"/>
      <c r="P199" s="8">
        <f>E199+J199</f>
        <v>2237000</v>
      </c>
    </row>
    <row r="200" spans="1:16" s="21" customFormat="1" ht="78">
      <c r="A200" s="7"/>
      <c r="B200" s="7"/>
      <c r="C200" s="7"/>
      <c r="D200" s="1" t="s">
        <v>360</v>
      </c>
      <c r="E200" s="8">
        <f t="shared" si="78"/>
        <v>300000</v>
      </c>
      <c r="F200" s="8">
        <v>300000</v>
      </c>
      <c r="G200" s="8"/>
      <c r="H200" s="8"/>
      <c r="I200" s="8"/>
      <c r="J200" s="8"/>
      <c r="K200" s="8"/>
      <c r="L200" s="8"/>
      <c r="M200" s="8"/>
      <c r="N200" s="8"/>
      <c r="O200" s="8"/>
      <c r="P200" s="8">
        <f>E200+J200</f>
        <v>300000</v>
      </c>
    </row>
    <row r="201" spans="1:16" s="21" customFormat="1" ht="78">
      <c r="A201" s="7"/>
      <c r="B201" s="7"/>
      <c r="C201" s="7"/>
      <c r="D201" s="1" t="s">
        <v>341</v>
      </c>
      <c r="E201" s="8">
        <f t="shared" si="78"/>
        <v>0</v>
      </c>
      <c r="F201" s="8"/>
      <c r="G201" s="8"/>
      <c r="H201" s="8"/>
      <c r="I201" s="8"/>
      <c r="J201" s="8">
        <f>L201+O201</f>
        <v>1800000</v>
      </c>
      <c r="K201" s="8">
        <v>1800000</v>
      </c>
      <c r="L201" s="8"/>
      <c r="M201" s="8"/>
      <c r="N201" s="8"/>
      <c r="O201" s="8">
        <v>1800000</v>
      </c>
      <c r="P201" s="8">
        <f>E201+J201</f>
        <v>1800000</v>
      </c>
    </row>
    <row r="202" spans="1:16" ht="62.4">
      <c r="A202" s="33">
        <v>3719800</v>
      </c>
      <c r="B202" s="33">
        <v>9800</v>
      </c>
      <c r="C202" s="33"/>
      <c r="D202" s="5" t="s">
        <v>322</v>
      </c>
      <c r="E202" s="6">
        <f t="shared" si="78"/>
        <v>14967460</v>
      </c>
      <c r="F202" s="6">
        <f>F204+F205+F206+F207+F208+F209+F210+F211</f>
        <v>14967460</v>
      </c>
      <c r="G202" s="6">
        <f t="shared" ref="G202:O202" si="79">G204+G205+G206+G207+G208+G209+G210+G211</f>
        <v>0</v>
      </c>
      <c r="H202" s="6">
        <f t="shared" si="79"/>
        <v>0</v>
      </c>
      <c r="I202" s="6">
        <f t="shared" si="79"/>
        <v>0</v>
      </c>
      <c r="J202" s="6">
        <f t="shared" si="76"/>
        <v>76061943</v>
      </c>
      <c r="K202" s="6">
        <f t="shared" si="79"/>
        <v>76061943</v>
      </c>
      <c r="L202" s="6">
        <f t="shared" si="79"/>
        <v>0</v>
      </c>
      <c r="M202" s="6">
        <f t="shared" si="79"/>
        <v>0</v>
      </c>
      <c r="N202" s="6">
        <f t="shared" si="79"/>
        <v>0</v>
      </c>
      <c r="O202" s="6">
        <f t="shared" si="79"/>
        <v>76061943</v>
      </c>
      <c r="P202" s="6">
        <f t="shared" si="74"/>
        <v>91029403</v>
      </c>
    </row>
    <row r="203" spans="1:16" s="21" customFormat="1">
      <c r="A203" s="7"/>
      <c r="B203" s="7"/>
      <c r="C203" s="7"/>
      <c r="D203" s="1" t="s">
        <v>345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s="21" customFormat="1" ht="156">
      <c r="A204" s="7"/>
      <c r="B204" s="7"/>
      <c r="C204" s="7"/>
      <c r="D204" s="1" t="s">
        <v>362</v>
      </c>
      <c r="E204" s="8">
        <f t="shared" ref="E204:E211" si="80">F204+I204</f>
        <v>11821060</v>
      </c>
      <c r="F204" s="8">
        <f>190000+1000000+1290000+545334+1000000+2000000+295600+2377680+2949666+172780</f>
        <v>11821060</v>
      </c>
      <c r="G204" s="8"/>
      <c r="H204" s="8"/>
      <c r="I204" s="8"/>
      <c r="J204" s="8">
        <f t="shared" si="76"/>
        <v>52831943</v>
      </c>
      <c r="K204" s="8">
        <f>1300000+6800000+840000+1062000+4750000+1943963+2204400+5202404+4100000+6000000+10044456+5757500+2827220</f>
        <v>52831943</v>
      </c>
      <c r="L204" s="8"/>
      <c r="M204" s="8"/>
      <c r="N204" s="8"/>
      <c r="O204" s="8">
        <f>1300000+6800000+840000+1062000+4750000+1943963+2204400+5202404+4100000+6000000+10044456+5757500+2827220</f>
        <v>52831943</v>
      </c>
      <c r="P204" s="8">
        <f t="shared" si="74"/>
        <v>64653003</v>
      </c>
    </row>
    <row r="205" spans="1:16" s="21" customFormat="1" ht="78">
      <c r="A205" s="7"/>
      <c r="B205" s="7"/>
      <c r="C205" s="7"/>
      <c r="D205" s="1" t="s">
        <v>341</v>
      </c>
      <c r="E205" s="8">
        <f t="shared" si="80"/>
        <v>0</v>
      </c>
      <c r="F205" s="8"/>
      <c r="G205" s="8"/>
      <c r="H205" s="8"/>
      <c r="I205" s="8"/>
      <c r="J205" s="8">
        <f t="shared" si="76"/>
        <v>16200000</v>
      </c>
      <c r="K205" s="8">
        <f>5000000+3200000+8000000</f>
        <v>16200000</v>
      </c>
      <c r="L205" s="8"/>
      <c r="M205" s="8"/>
      <c r="N205" s="8"/>
      <c r="O205" s="8">
        <f>5000000+3200000+8000000</f>
        <v>16200000</v>
      </c>
      <c r="P205" s="8">
        <f t="shared" si="74"/>
        <v>16200000</v>
      </c>
    </row>
    <row r="206" spans="1:16" s="21" customFormat="1" ht="62.4">
      <c r="A206" s="7"/>
      <c r="B206" s="7"/>
      <c r="C206" s="7"/>
      <c r="D206" s="1" t="s">
        <v>342</v>
      </c>
      <c r="E206" s="8">
        <f t="shared" si="80"/>
        <v>976400</v>
      </c>
      <c r="F206" s="8">
        <f>950000+26400</f>
        <v>976400</v>
      </c>
      <c r="G206" s="8"/>
      <c r="H206" s="8"/>
      <c r="I206" s="8"/>
      <c r="J206" s="8">
        <f t="shared" si="76"/>
        <v>1550000</v>
      </c>
      <c r="K206" s="8">
        <v>1550000</v>
      </c>
      <c r="L206" s="8"/>
      <c r="M206" s="8"/>
      <c r="N206" s="8"/>
      <c r="O206" s="8">
        <v>1550000</v>
      </c>
      <c r="P206" s="8">
        <f t="shared" si="74"/>
        <v>2526400</v>
      </c>
    </row>
    <row r="207" spans="1:16" s="21" customFormat="1" ht="78">
      <c r="A207" s="7"/>
      <c r="B207" s="7"/>
      <c r="C207" s="7"/>
      <c r="D207" s="1" t="s">
        <v>343</v>
      </c>
      <c r="E207" s="8">
        <f t="shared" si="80"/>
        <v>2000000</v>
      </c>
      <c r="F207" s="8">
        <v>2000000</v>
      </c>
      <c r="G207" s="8"/>
      <c r="H207" s="8"/>
      <c r="I207" s="8"/>
      <c r="J207" s="8">
        <f t="shared" si="76"/>
        <v>0</v>
      </c>
      <c r="K207" s="8"/>
      <c r="L207" s="8"/>
      <c r="M207" s="8"/>
      <c r="N207" s="8"/>
      <c r="O207" s="8"/>
      <c r="P207" s="8">
        <f t="shared" si="74"/>
        <v>2000000</v>
      </c>
    </row>
    <row r="208" spans="1:16" s="21" customFormat="1" ht="62.4">
      <c r="A208" s="7"/>
      <c r="B208" s="7"/>
      <c r="C208" s="7"/>
      <c r="D208" s="1" t="s">
        <v>361</v>
      </c>
      <c r="E208" s="8">
        <f t="shared" si="80"/>
        <v>0</v>
      </c>
      <c r="F208" s="8"/>
      <c r="G208" s="8"/>
      <c r="H208" s="8"/>
      <c r="I208" s="8"/>
      <c r="J208" s="8">
        <f t="shared" si="76"/>
        <v>950000</v>
      </c>
      <c r="K208" s="8">
        <v>950000</v>
      </c>
      <c r="L208" s="8"/>
      <c r="M208" s="8"/>
      <c r="N208" s="8"/>
      <c r="O208" s="8">
        <v>950000</v>
      </c>
      <c r="P208" s="8">
        <f t="shared" si="74"/>
        <v>950000</v>
      </c>
    </row>
    <row r="209" spans="1:16" s="21" customFormat="1" ht="46.8">
      <c r="A209" s="7"/>
      <c r="B209" s="7"/>
      <c r="C209" s="7"/>
      <c r="D209" s="1" t="s">
        <v>417</v>
      </c>
      <c r="E209" s="8">
        <f t="shared" si="80"/>
        <v>0</v>
      </c>
      <c r="F209" s="8"/>
      <c r="G209" s="8"/>
      <c r="H209" s="8"/>
      <c r="I209" s="8"/>
      <c r="J209" s="8">
        <f t="shared" si="76"/>
        <v>1000000</v>
      </c>
      <c r="K209" s="8">
        <v>1000000</v>
      </c>
      <c r="L209" s="8"/>
      <c r="M209" s="8"/>
      <c r="N209" s="8"/>
      <c r="O209" s="8">
        <v>1000000</v>
      </c>
      <c r="P209" s="8">
        <f t="shared" si="74"/>
        <v>1000000</v>
      </c>
    </row>
    <row r="210" spans="1:16" s="21" customFormat="1" ht="62.4">
      <c r="A210" s="7"/>
      <c r="B210" s="7"/>
      <c r="C210" s="7"/>
      <c r="D210" s="1" t="s">
        <v>419</v>
      </c>
      <c r="E210" s="8">
        <f t="shared" si="80"/>
        <v>0</v>
      </c>
      <c r="F210" s="8"/>
      <c r="G210" s="8"/>
      <c r="H210" s="8"/>
      <c r="I210" s="8"/>
      <c r="J210" s="8">
        <f t="shared" si="76"/>
        <v>2700000</v>
      </c>
      <c r="K210" s="8">
        <v>2700000</v>
      </c>
      <c r="L210" s="8"/>
      <c r="M210" s="8"/>
      <c r="N210" s="8"/>
      <c r="O210" s="8">
        <v>2700000</v>
      </c>
      <c r="P210" s="8">
        <f t="shared" si="74"/>
        <v>2700000</v>
      </c>
    </row>
    <row r="211" spans="1:16" s="21" customFormat="1" ht="93.6">
      <c r="A211" s="7"/>
      <c r="B211" s="7"/>
      <c r="C211" s="7"/>
      <c r="D211" s="1" t="s">
        <v>422</v>
      </c>
      <c r="E211" s="8">
        <f t="shared" si="80"/>
        <v>170000</v>
      </c>
      <c r="F211" s="8">
        <v>170000</v>
      </c>
      <c r="G211" s="8"/>
      <c r="H211" s="8"/>
      <c r="I211" s="8"/>
      <c r="J211" s="8">
        <f t="shared" si="76"/>
        <v>830000</v>
      </c>
      <c r="K211" s="8">
        <v>830000</v>
      </c>
      <c r="L211" s="8"/>
      <c r="M211" s="8"/>
      <c r="N211" s="8"/>
      <c r="O211" s="8">
        <v>830000</v>
      </c>
      <c r="P211" s="8">
        <f t="shared" si="74"/>
        <v>1000000</v>
      </c>
    </row>
    <row r="212" spans="1:16">
      <c r="A212" s="2" t="s">
        <v>285</v>
      </c>
      <c r="B212" s="2" t="s">
        <v>285</v>
      </c>
      <c r="C212" s="2" t="s">
        <v>285</v>
      </c>
      <c r="D212" s="10" t="s">
        <v>284</v>
      </c>
      <c r="E212" s="4">
        <f>F212+I212+E194</f>
        <v>992152130.91000009</v>
      </c>
      <c r="F212" s="4">
        <f>F19+F56+F90+F112+F117+F129+F138+F164+F181+F190</f>
        <v>856112945.69000006</v>
      </c>
      <c r="G212" s="4">
        <f>G19+G56+G90+G112+G117+G129+G138+G164+G181+G190</f>
        <v>539763299.04999995</v>
      </c>
      <c r="H212" s="4">
        <f>H19+H56+H90+H112+H117+H129+H138+H164+H181+H190</f>
        <v>40152353</v>
      </c>
      <c r="I212" s="4">
        <f>I19+I56+I90+I112+I117+I129+I138+I164+I181+I190</f>
        <v>133735003.22</v>
      </c>
      <c r="J212" s="4">
        <f>L212+O212</f>
        <v>429784179.87</v>
      </c>
      <c r="K212" s="4">
        <f>K19+K56+K90+K112+K117+K129+K138+K164+K181+K190</f>
        <v>406671013.13999999</v>
      </c>
      <c r="L212" s="4">
        <f>L19+L56+L90+L112+L117+L129+L138+L164+L181+L190</f>
        <v>17953500</v>
      </c>
      <c r="M212" s="4">
        <f>M19+M56+M90+M112+M117+M129+M138+M164+M181+M190</f>
        <v>525100</v>
      </c>
      <c r="N212" s="4">
        <f>N19+N56+N90+N112+N117+N129+N138+N164+N181+N190</f>
        <v>0</v>
      </c>
      <c r="O212" s="4">
        <f>O19+O56+O90+O112+O117+O129+O138+O164+O181+O190</f>
        <v>411830679.87</v>
      </c>
      <c r="P212" s="4">
        <f t="shared" si="74"/>
        <v>1421936310.7800002</v>
      </c>
    </row>
    <row r="214" spans="1:16" s="15" customFormat="1" ht="18">
      <c r="A214" s="11"/>
      <c r="B214" s="11"/>
      <c r="C214" s="12" t="s">
        <v>299</v>
      </c>
      <c r="D214" s="13" t="s">
        <v>300</v>
      </c>
      <c r="E214" s="14">
        <f t="shared" ref="E214:O214" si="81">E21+E26+E27+E58+E59+E92+E93+E114+E119+E120+E131+E132+E140+E141+E142+E166+E167+E183+E184+E192+E193</f>
        <v>135303371</v>
      </c>
      <c r="F214" s="14">
        <f t="shared" si="81"/>
        <v>135303371</v>
      </c>
      <c r="G214" s="14">
        <f t="shared" si="81"/>
        <v>113028000</v>
      </c>
      <c r="H214" s="14">
        <f t="shared" si="81"/>
        <v>5767660</v>
      </c>
      <c r="I214" s="14">
        <f t="shared" si="81"/>
        <v>0</v>
      </c>
      <c r="J214" s="14">
        <f t="shared" si="81"/>
        <v>1238600</v>
      </c>
      <c r="K214" s="14">
        <f t="shared" si="81"/>
        <v>1100000</v>
      </c>
      <c r="L214" s="14">
        <f t="shared" si="81"/>
        <v>138600</v>
      </c>
      <c r="M214" s="14">
        <f t="shared" si="81"/>
        <v>0</v>
      </c>
      <c r="N214" s="14">
        <f t="shared" si="81"/>
        <v>0</v>
      </c>
      <c r="O214" s="14">
        <f t="shared" si="81"/>
        <v>1100000</v>
      </c>
      <c r="P214" s="14">
        <f>E214+J214</f>
        <v>136541971</v>
      </c>
    </row>
    <row r="215" spans="1:16" s="15" customFormat="1" ht="18">
      <c r="A215" s="11"/>
      <c r="B215" s="11"/>
      <c r="C215" s="12" t="s">
        <v>301</v>
      </c>
      <c r="D215" s="13" t="s">
        <v>302</v>
      </c>
      <c r="E215" s="14">
        <f>E60+E61+E62+E63+E64+E65+E66+E67+E68+E69+E70+E71+E72+E73+E74+E78+E82+E83+E84+E121</f>
        <v>426781937.99000001</v>
      </c>
      <c r="F215" s="14">
        <f t="shared" ref="F215:O215" si="82">F60+F61+F62+F63+F64+F65+F66+F67+F68+F69+F70+F71+F72+F73+F74+F78+F82+F83+F84+F121</f>
        <v>426688937.99000001</v>
      </c>
      <c r="G215" s="14">
        <f t="shared" si="82"/>
        <v>349275379.99000001</v>
      </c>
      <c r="H215" s="14">
        <f t="shared" si="82"/>
        <v>30321961</v>
      </c>
      <c r="I215" s="14">
        <f t="shared" si="82"/>
        <v>93000</v>
      </c>
      <c r="J215" s="14">
        <f t="shared" si="82"/>
        <v>39487123</v>
      </c>
      <c r="K215" s="14">
        <f t="shared" si="82"/>
        <v>18597904</v>
      </c>
      <c r="L215" s="14">
        <f t="shared" si="82"/>
        <v>17325000</v>
      </c>
      <c r="M215" s="14">
        <f t="shared" si="82"/>
        <v>495100</v>
      </c>
      <c r="N215" s="14">
        <f t="shared" si="82"/>
        <v>0</v>
      </c>
      <c r="O215" s="14">
        <f t="shared" si="82"/>
        <v>22162123</v>
      </c>
      <c r="P215" s="14">
        <f t="shared" ref="P215:P223" si="83">E215+J215</f>
        <v>466269060.99000001</v>
      </c>
    </row>
    <row r="216" spans="1:16" s="15" customFormat="1" ht="18">
      <c r="A216" s="11"/>
      <c r="B216" s="11"/>
      <c r="C216" s="12" t="s">
        <v>303</v>
      </c>
      <c r="D216" s="13" t="s">
        <v>304</v>
      </c>
      <c r="E216" s="14">
        <f t="shared" ref="E216:O216" si="84">E28+E29+E30+E31+E168</f>
        <v>47832625</v>
      </c>
      <c r="F216" s="14">
        <f t="shared" si="84"/>
        <v>47832625</v>
      </c>
      <c r="G216" s="14">
        <f t="shared" si="84"/>
        <v>0</v>
      </c>
      <c r="H216" s="14">
        <f t="shared" si="84"/>
        <v>0</v>
      </c>
      <c r="I216" s="14">
        <f t="shared" si="84"/>
        <v>0</v>
      </c>
      <c r="J216" s="14">
        <f t="shared" si="84"/>
        <v>9184976</v>
      </c>
      <c r="K216" s="14">
        <f t="shared" si="84"/>
        <v>9184976</v>
      </c>
      <c r="L216" s="14">
        <f t="shared" si="84"/>
        <v>0</v>
      </c>
      <c r="M216" s="14">
        <f t="shared" si="84"/>
        <v>0</v>
      </c>
      <c r="N216" s="14">
        <f t="shared" si="84"/>
        <v>0</v>
      </c>
      <c r="O216" s="14">
        <f t="shared" si="84"/>
        <v>9184976</v>
      </c>
      <c r="P216" s="14">
        <f t="shared" si="83"/>
        <v>57017601</v>
      </c>
    </row>
    <row r="217" spans="1:16" s="15" customFormat="1" ht="31.8">
      <c r="A217" s="11"/>
      <c r="B217" s="11"/>
      <c r="C217" s="12" t="s">
        <v>305</v>
      </c>
      <c r="D217" s="13" t="s">
        <v>306</v>
      </c>
      <c r="E217" s="14">
        <f>E32+E85+E86+E94+E95+E96+E97+E98+E99+E100+E101+E102+E103+E104+E105+E106+E107+E108+E109+E110+E115+E122+E133+E143</f>
        <v>94929414.060000002</v>
      </c>
      <c r="F217" s="14">
        <f t="shared" ref="F217:O217" si="85">F32+F85+F86+F94+F95+F96+F97+F98+F99+F100+F101+F102+F103+F104+F105+F106+F107+F108+F109+F110+F115+F122+F133+F143</f>
        <v>94929414.060000002</v>
      </c>
      <c r="G217" s="14">
        <f t="shared" si="85"/>
        <v>24864619.059999999</v>
      </c>
      <c r="H217" s="14">
        <f t="shared" si="85"/>
        <v>603600</v>
      </c>
      <c r="I217" s="14">
        <f t="shared" si="85"/>
        <v>0</v>
      </c>
      <c r="J217" s="14">
        <f t="shared" si="85"/>
        <v>19231897</v>
      </c>
      <c r="K217" s="14">
        <f t="shared" si="85"/>
        <v>19175497</v>
      </c>
      <c r="L217" s="14">
        <f t="shared" si="85"/>
        <v>0</v>
      </c>
      <c r="M217" s="14">
        <f t="shared" si="85"/>
        <v>0</v>
      </c>
      <c r="N217" s="14">
        <f t="shared" si="85"/>
        <v>0</v>
      </c>
      <c r="O217" s="14">
        <f t="shared" si="85"/>
        <v>19231897</v>
      </c>
      <c r="P217" s="14">
        <f t="shared" si="83"/>
        <v>114161311.06</v>
      </c>
    </row>
    <row r="218" spans="1:16" s="15" customFormat="1" ht="18">
      <c r="A218" s="11"/>
      <c r="B218" s="11"/>
      <c r="C218" s="12" t="s">
        <v>307</v>
      </c>
      <c r="D218" s="13" t="s">
        <v>308</v>
      </c>
      <c r="E218" s="14">
        <f t="shared" ref="E218:O218" si="86">E123+E124+E125+E126+E127</f>
        <v>29361900</v>
      </c>
      <c r="F218" s="14">
        <f t="shared" si="86"/>
        <v>29361900</v>
      </c>
      <c r="G218" s="14">
        <f t="shared" si="86"/>
        <v>24282200</v>
      </c>
      <c r="H218" s="14">
        <f t="shared" si="86"/>
        <v>2559900</v>
      </c>
      <c r="I218" s="14">
        <f t="shared" si="86"/>
        <v>0</v>
      </c>
      <c r="J218" s="14">
        <f t="shared" si="86"/>
        <v>470000</v>
      </c>
      <c r="K218" s="14">
        <f t="shared" si="86"/>
        <v>190000</v>
      </c>
      <c r="L218" s="14">
        <f t="shared" si="86"/>
        <v>280000</v>
      </c>
      <c r="M218" s="14">
        <f t="shared" si="86"/>
        <v>30000</v>
      </c>
      <c r="N218" s="14">
        <f t="shared" si="86"/>
        <v>0</v>
      </c>
      <c r="O218" s="14">
        <f t="shared" si="86"/>
        <v>190000</v>
      </c>
      <c r="P218" s="14">
        <f t="shared" si="83"/>
        <v>29831900</v>
      </c>
    </row>
    <row r="219" spans="1:16" s="15" customFormat="1" ht="18">
      <c r="A219" s="11"/>
      <c r="B219" s="11"/>
      <c r="C219" s="12" t="s">
        <v>309</v>
      </c>
      <c r="D219" s="13" t="s">
        <v>310</v>
      </c>
      <c r="E219" s="14">
        <f t="shared" ref="E219:O219" si="87">E87+E134+E135+E136+E137</f>
        <v>14518291</v>
      </c>
      <c r="F219" s="14">
        <f t="shared" si="87"/>
        <v>14518291</v>
      </c>
      <c r="G219" s="14">
        <f t="shared" si="87"/>
        <v>9340000</v>
      </c>
      <c r="H219" s="14">
        <f t="shared" si="87"/>
        <v>742380</v>
      </c>
      <c r="I219" s="14">
        <f t="shared" si="87"/>
        <v>0</v>
      </c>
      <c r="J219" s="14">
        <f t="shared" si="87"/>
        <v>0</v>
      </c>
      <c r="K219" s="14">
        <f t="shared" si="87"/>
        <v>0</v>
      </c>
      <c r="L219" s="14">
        <f t="shared" si="87"/>
        <v>0</v>
      </c>
      <c r="M219" s="14">
        <f t="shared" si="87"/>
        <v>0</v>
      </c>
      <c r="N219" s="14">
        <f t="shared" si="87"/>
        <v>0</v>
      </c>
      <c r="O219" s="14">
        <f t="shared" si="87"/>
        <v>0</v>
      </c>
      <c r="P219" s="14">
        <f t="shared" si="83"/>
        <v>14518291</v>
      </c>
    </row>
    <row r="220" spans="1:16" s="15" customFormat="1" ht="18">
      <c r="A220" s="11"/>
      <c r="B220" s="11"/>
      <c r="C220" s="12" t="s">
        <v>311</v>
      </c>
      <c r="D220" s="13" t="s">
        <v>312</v>
      </c>
      <c r="E220" s="14">
        <f t="shared" ref="E220:O220" si="88">E33+E116+E144+E145+E146+E147+E148+E149+E169+E170+E171+E172+E185</f>
        <v>88638618.24000001</v>
      </c>
      <c r="F220" s="14">
        <f t="shared" si="88"/>
        <v>29804300</v>
      </c>
      <c r="G220" s="14">
        <f t="shared" si="88"/>
        <v>0</v>
      </c>
      <c r="H220" s="14">
        <f t="shared" si="88"/>
        <v>0</v>
      </c>
      <c r="I220" s="14">
        <f t="shared" si="88"/>
        <v>58834318.240000002</v>
      </c>
      <c r="J220" s="14">
        <f t="shared" si="88"/>
        <v>34172730.159999996</v>
      </c>
      <c r="K220" s="14">
        <f t="shared" si="88"/>
        <v>34172730.159999996</v>
      </c>
      <c r="L220" s="14">
        <f t="shared" si="88"/>
        <v>0</v>
      </c>
      <c r="M220" s="14">
        <f t="shared" si="88"/>
        <v>0</v>
      </c>
      <c r="N220" s="14">
        <f t="shared" si="88"/>
        <v>0</v>
      </c>
      <c r="O220" s="14">
        <f t="shared" si="88"/>
        <v>34172730.159999996</v>
      </c>
      <c r="P220" s="14">
        <f t="shared" si="83"/>
        <v>122811348.40000001</v>
      </c>
    </row>
    <row r="221" spans="1:16" s="15" customFormat="1" ht="18">
      <c r="A221" s="11"/>
      <c r="B221" s="11"/>
      <c r="C221" s="12" t="s">
        <v>313</v>
      </c>
      <c r="D221" s="13" t="s">
        <v>314</v>
      </c>
      <c r="E221" s="14">
        <f>E37+E38+E39+E46+E47+E88+E111+E128+E150+E151+E152+E153+E154+E155+E156+E173+E174+E175+E176+E178+E186+E187+E188</f>
        <v>100521424.97999999</v>
      </c>
      <c r="F221" s="14">
        <f>F37+F38+F39+F46+F47+F88+F111+F128+F150+F151+F152+F153+F154+F155+F156+F173+F174+F175+F176+F178+F186+F187+F188</f>
        <v>26447740</v>
      </c>
      <c r="G221" s="14">
        <f>G37+G38+G39+G46+G47+G88+G111+G128+G150+G151+G152+G153+G154+G155+G156+G173+G174+G175+G176+G178+G186+G187+G188</f>
        <v>0</v>
      </c>
      <c r="H221" s="14">
        <f>H37+H38+H39+H46+H47+H88+H111+H128+H150+H151+H152+H153+H154+H155+H156+H173+H174+H175+H176+H178+H186+H187+H188</f>
        <v>0</v>
      </c>
      <c r="I221" s="14">
        <f>I37+I38+I39+I46+I47+I88+I111+I128+I150+I151+I152+I153+I154+I155+I156+I173+I174+I175+I176+I178+I186+I187+I188</f>
        <v>74073684.979999989</v>
      </c>
      <c r="J221" s="14">
        <f>J37+J38+J39+J46+J47+J88+J111+J128+J150+J151+J152+J153+J154+J155+J156+J173+J174+J175+J176+J177+J178+J186+J187+J188</f>
        <v>217588429.34999999</v>
      </c>
      <c r="K221" s="14">
        <f t="shared" ref="K221:O221" si="89">K37+K38+K39+K46+K47+K88+K111+K128+K150+K151+K152+K153+K154+K155+K156+K173+K174+K175+K176+K177+K178+K186+K187+K188</f>
        <v>216548081.62</v>
      </c>
      <c r="L221" s="14">
        <f t="shared" si="89"/>
        <v>0</v>
      </c>
      <c r="M221" s="14">
        <f t="shared" si="89"/>
        <v>0</v>
      </c>
      <c r="N221" s="14">
        <f t="shared" si="89"/>
        <v>0</v>
      </c>
      <c r="O221" s="14">
        <f t="shared" si="89"/>
        <v>217588429.34999999</v>
      </c>
      <c r="P221" s="14">
        <f>E221+J221</f>
        <v>318109854.32999998</v>
      </c>
    </row>
    <row r="222" spans="1:16" s="16" customFormat="1" ht="18">
      <c r="A222" s="11"/>
      <c r="B222" s="11"/>
      <c r="C222" s="12" t="s">
        <v>315</v>
      </c>
      <c r="D222" s="13" t="s">
        <v>323</v>
      </c>
      <c r="E222" s="14">
        <f>E48+E49+E50+E51+E52+E53+E54+E55+E89+E158+E159+E160+E162+E163+E157+E161+E179+E180+E189+E194</f>
        <v>35173088.640000001</v>
      </c>
      <c r="F222" s="14">
        <f t="shared" ref="F222:O222" si="90">F48+F49+F50+F51+F52+F53+F54+F55+F89+F158+F159+F160+F162+F163+F157+F161+F179+F180+F189+F194</f>
        <v>32134906.640000001</v>
      </c>
      <c r="G222" s="14">
        <f t="shared" si="90"/>
        <v>18973100</v>
      </c>
      <c r="H222" s="14">
        <f t="shared" si="90"/>
        <v>156852</v>
      </c>
      <c r="I222" s="14">
        <f t="shared" si="90"/>
        <v>734000</v>
      </c>
      <c r="J222" s="14">
        <f t="shared" si="90"/>
        <v>30264981.359999999</v>
      </c>
      <c r="K222" s="14">
        <f t="shared" si="90"/>
        <v>29556381.359999999</v>
      </c>
      <c r="L222" s="14">
        <f t="shared" si="90"/>
        <v>209900</v>
      </c>
      <c r="M222" s="14">
        <f t="shared" si="90"/>
        <v>0</v>
      </c>
      <c r="N222" s="14">
        <f t="shared" si="90"/>
        <v>0</v>
      </c>
      <c r="O222" s="14">
        <f t="shared" si="90"/>
        <v>30055081.359999999</v>
      </c>
      <c r="P222" s="14">
        <f t="shared" si="83"/>
        <v>65438070</v>
      </c>
    </row>
    <row r="223" spans="1:16" ht="18">
      <c r="A223" s="11"/>
      <c r="B223" s="11"/>
      <c r="C223" s="12" t="s">
        <v>316</v>
      </c>
      <c r="D223" s="13" t="s">
        <v>317</v>
      </c>
      <c r="E223" s="14">
        <f t="shared" ref="E223:O223" si="91">E195+E202</f>
        <v>19091460</v>
      </c>
      <c r="F223" s="14">
        <f t="shared" si="91"/>
        <v>19091460</v>
      </c>
      <c r="G223" s="14">
        <f t="shared" si="91"/>
        <v>0</v>
      </c>
      <c r="H223" s="14">
        <f t="shared" si="91"/>
        <v>0</v>
      </c>
      <c r="I223" s="14">
        <f t="shared" si="91"/>
        <v>0</v>
      </c>
      <c r="J223" s="14">
        <f t="shared" si="91"/>
        <v>78145443</v>
      </c>
      <c r="K223" s="14">
        <f t="shared" si="91"/>
        <v>78145443</v>
      </c>
      <c r="L223" s="14">
        <f t="shared" si="91"/>
        <v>0</v>
      </c>
      <c r="M223" s="14">
        <f t="shared" si="91"/>
        <v>0</v>
      </c>
      <c r="N223" s="14">
        <f t="shared" si="91"/>
        <v>0</v>
      </c>
      <c r="O223" s="14">
        <f t="shared" si="91"/>
        <v>78145443</v>
      </c>
      <c r="P223" s="14">
        <f t="shared" si="83"/>
        <v>97236903</v>
      </c>
    </row>
    <row r="224" spans="1:16">
      <c r="A224" s="18"/>
      <c r="B224" s="18"/>
      <c r="C224" s="18"/>
      <c r="D224" s="18" t="s">
        <v>16</v>
      </c>
      <c r="E224" s="19">
        <f>SUM(E214:E223)</f>
        <v>992152130.90999997</v>
      </c>
      <c r="F224" s="19">
        <f>SUM(F214:F223)</f>
        <v>856112945.68999994</v>
      </c>
      <c r="G224" s="19">
        <f>SUM(G214:G223)</f>
        <v>539763299.04999995</v>
      </c>
      <c r="H224" s="19">
        <f t="shared" ref="H224:O224" si="92">SUM(H214:H223)</f>
        <v>40152353</v>
      </c>
      <c r="I224" s="19">
        <f t="shared" si="92"/>
        <v>133735003.22</v>
      </c>
      <c r="J224" s="19">
        <f t="shared" si="92"/>
        <v>429784179.87</v>
      </c>
      <c r="K224" s="19">
        <f>SUM(K214:K223)</f>
        <v>406671013.13999999</v>
      </c>
      <c r="L224" s="19">
        <f t="shared" si="92"/>
        <v>17953500</v>
      </c>
      <c r="M224" s="19">
        <f t="shared" si="92"/>
        <v>525100</v>
      </c>
      <c r="N224" s="19">
        <f t="shared" si="92"/>
        <v>0</v>
      </c>
      <c r="O224" s="19">
        <f t="shared" si="92"/>
        <v>411830679.87</v>
      </c>
      <c r="P224" s="19">
        <f>E224+J224</f>
        <v>1421936310.78</v>
      </c>
    </row>
    <row r="225" spans="4:16" ht="11.4" customHeight="1"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4:16">
      <c r="D226" s="17" t="s">
        <v>427</v>
      </c>
      <c r="E226" s="20"/>
      <c r="F226" s="20"/>
      <c r="G226" s="20"/>
      <c r="H226" s="20"/>
      <c r="I226" s="20"/>
      <c r="J226" s="20"/>
      <c r="K226" s="20" t="s">
        <v>426</v>
      </c>
      <c r="L226" s="20"/>
      <c r="M226" s="20"/>
      <c r="N226" s="20"/>
      <c r="O226" s="20"/>
      <c r="P226" s="20"/>
    </row>
    <row r="227" spans="4:16">
      <c r="E227" s="38"/>
    </row>
    <row r="228" spans="4:16"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4:16" s="39" customFormat="1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</row>
    <row r="230" spans="4:16"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4:16"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4:16"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4:16"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4:16"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4:16"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4:16"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4:16"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9" spans="4:16">
      <c r="H239" s="38"/>
    </row>
  </sheetData>
  <mergeCells count="22">
    <mergeCell ref="J15:J17"/>
    <mergeCell ref="K15:K17"/>
    <mergeCell ref="L15:L17"/>
    <mergeCell ref="M15:N15"/>
    <mergeCell ref="M16:M17"/>
    <mergeCell ref="N16:N17"/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</mergeCells>
  <pageMargins left="0.19685039370078741" right="0.19685039370078741" top="0.39370078740157483" bottom="0.39370078740157483" header="0" footer="0"/>
  <pageSetup paperSize="9" scale="50" fitToWidth="12" fitToHeight="1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2024-12-16T06:52:31Z</cp:lastPrinted>
  <dcterms:created xsi:type="dcterms:W3CDTF">2023-12-16T13:37:11Z</dcterms:created>
  <dcterms:modified xsi:type="dcterms:W3CDTF">2024-12-19T20:22:52Z</dcterms:modified>
</cp:coreProperties>
</file>