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ПОЧАТКОВИЙ\"/>
    </mc:Choice>
  </mc:AlternateContent>
  <bookViews>
    <workbookView xWindow="-108" yWindow="-108" windowWidth="23256" windowHeight="12576"/>
  </bookViews>
  <sheets>
    <sheet name="2025" sheetId="1" r:id="rId1"/>
  </sheets>
  <externalReferences>
    <externalReference r:id="rId2"/>
    <externalReference r:id="rId3"/>
  </externalReferences>
  <definedNames>
    <definedName name="_xlnm.Print_Titles" localSheetId="0">'2025'!$9:$13</definedName>
    <definedName name="_xlnm.Print_Area" localSheetId="0">'2025'!$A$1:$P$165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0" i="1" l="1"/>
  <c r="L160" i="1"/>
  <c r="M160" i="1"/>
  <c r="N160" i="1"/>
  <c r="O160" i="1"/>
  <c r="F35" i="1" l="1"/>
  <c r="J41" i="1"/>
  <c r="J42" i="1"/>
  <c r="J43" i="1"/>
  <c r="J44" i="1"/>
  <c r="E44" i="1"/>
  <c r="P44" i="1" s="1"/>
  <c r="G143" i="1" l="1"/>
  <c r="G162" i="1" l="1"/>
  <c r="H162" i="1"/>
  <c r="I162" i="1"/>
  <c r="K162" i="1"/>
  <c r="L162" i="1"/>
  <c r="M162" i="1"/>
  <c r="N162" i="1"/>
  <c r="O162" i="1"/>
  <c r="I161" i="1"/>
  <c r="K161" i="1"/>
  <c r="L161" i="1"/>
  <c r="M161" i="1"/>
  <c r="N161" i="1"/>
  <c r="O161" i="1"/>
  <c r="F158" i="1"/>
  <c r="I158" i="1"/>
  <c r="K158" i="1"/>
  <c r="L158" i="1"/>
  <c r="M158" i="1"/>
  <c r="N158" i="1"/>
  <c r="O158" i="1"/>
  <c r="I157" i="1"/>
  <c r="K157" i="1"/>
  <c r="N157" i="1"/>
  <c r="O157" i="1"/>
  <c r="I156" i="1"/>
  <c r="K156" i="1"/>
  <c r="L156" i="1"/>
  <c r="M156" i="1"/>
  <c r="N156" i="1"/>
  <c r="O156" i="1"/>
  <c r="G155" i="1"/>
  <c r="H155" i="1"/>
  <c r="I155" i="1"/>
  <c r="K155" i="1"/>
  <c r="L155" i="1"/>
  <c r="M155" i="1"/>
  <c r="N155" i="1"/>
  <c r="O155" i="1"/>
  <c r="I154" i="1"/>
  <c r="K154" i="1"/>
  <c r="L154" i="1"/>
  <c r="N154" i="1"/>
  <c r="O154" i="1"/>
  <c r="M99" i="1" l="1"/>
  <c r="M154" i="1" s="1"/>
  <c r="F61" i="1" l="1"/>
  <c r="F154" i="1" l="1"/>
  <c r="F52" i="1"/>
  <c r="L52" i="1"/>
  <c r="M52" i="1"/>
  <c r="N52" i="1"/>
  <c r="O52" i="1"/>
  <c r="K52" i="1"/>
  <c r="I52" i="1"/>
  <c r="J68" i="1" l="1"/>
  <c r="F23" i="1" l="1"/>
  <c r="F27" i="1"/>
  <c r="J167" i="1" l="1"/>
  <c r="E168" i="1"/>
  <c r="E167" i="1"/>
  <c r="L132" i="1" l="1"/>
  <c r="M132" i="1"/>
  <c r="N132" i="1"/>
  <c r="O132" i="1"/>
  <c r="K132" i="1"/>
  <c r="H132" i="1"/>
  <c r="I132" i="1"/>
  <c r="F132" i="1"/>
  <c r="J136" i="1"/>
  <c r="E136" i="1"/>
  <c r="P136" i="1" s="1"/>
  <c r="J35" i="1"/>
  <c r="E35" i="1"/>
  <c r="L142" i="1"/>
  <c r="M142" i="1"/>
  <c r="N142" i="1"/>
  <c r="O142" i="1"/>
  <c r="K142" i="1"/>
  <c r="H142" i="1"/>
  <c r="I142" i="1"/>
  <c r="P35" i="1" l="1"/>
  <c r="E143" i="1"/>
  <c r="H166" i="1" l="1"/>
  <c r="H99" i="1" l="1"/>
  <c r="H77" i="1" l="1"/>
  <c r="H17" i="1"/>
  <c r="F48" i="1" l="1"/>
  <c r="F161" i="1" s="1"/>
  <c r="G170" i="1" l="1"/>
  <c r="P167" i="1" l="1"/>
  <c r="F87" i="1"/>
  <c r="E90" i="1"/>
  <c r="P90" i="1" s="1"/>
  <c r="E89" i="1"/>
  <c r="P89" i="1" s="1"/>
  <c r="E88" i="1"/>
  <c r="P88" i="1" s="1"/>
  <c r="F86" i="1"/>
  <c r="G77" i="1"/>
  <c r="F77" i="1"/>
  <c r="Q70" i="1"/>
  <c r="H55" i="1"/>
  <c r="G55" i="1"/>
  <c r="Q55" i="1"/>
  <c r="G37" i="1"/>
  <c r="G160" i="1" s="1"/>
  <c r="H37" i="1"/>
  <c r="H160" i="1" s="1"/>
  <c r="I37" i="1"/>
  <c r="I160" i="1" s="1"/>
  <c r="F26" i="1"/>
  <c r="E27" i="1"/>
  <c r="E28" i="1"/>
  <c r="P28" i="1" s="1"/>
  <c r="E29" i="1"/>
  <c r="F37" i="1"/>
  <c r="F160" i="1" s="1"/>
  <c r="E43" i="1"/>
  <c r="P43" i="1" s="1"/>
  <c r="E42" i="1"/>
  <c r="P42" i="1" s="1"/>
  <c r="P29" i="1" l="1"/>
  <c r="P27" i="1"/>
  <c r="E41" i="1"/>
  <c r="P41" i="1" s="1"/>
  <c r="E40" i="1"/>
  <c r="P40" i="1" s="1"/>
  <c r="E39" i="1"/>
  <c r="P39" i="1" s="1"/>
  <c r="E38" i="1"/>
  <c r="P38" i="1" s="1"/>
  <c r="H170" i="1" l="1"/>
  <c r="P168" i="1"/>
  <c r="J169" i="1" l="1"/>
  <c r="E169" i="1" l="1"/>
  <c r="P169" i="1" s="1"/>
  <c r="M103" i="1"/>
  <c r="M157" i="1" s="1"/>
  <c r="L141" i="1"/>
  <c r="M141" i="1"/>
  <c r="N141" i="1"/>
  <c r="O141" i="1"/>
  <c r="K141" i="1"/>
  <c r="J148" i="1"/>
  <c r="J149" i="1"/>
  <c r="J150" i="1"/>
  <c r="H141" i="1"/>
  <c r="I141" i="1"/>
  <c r="E149" i="1"/>
  <c r="P149" i="1" s="1"/>
  <c r="E148" i="1"/>
  <c r="F150" i="1"/>
  <c r="E150" i="1" s="1"/>
  <c r="P150" i="1" s="1"/>
  <c r="P148" i="1" l="1"/>
  <c r="F147" i="1"/>
  <c r="F162" i="1" s="1"/>
  <c r="F142" i="1" l="1"/>
  <c r="E147" i="1"/>
  <c r="E142" i="1"/>
  <c r="E141" i="1" s="1"/>
  <c r="J146" i="1"/>
  <c r="E146" i="1"/>
  <c r="E162" i="1" s="1"/>
  <c r="J144" i="1"/>
  <c r="E144" i="1"/>
  <c r="J138" i="1"/>
  <c r="E138" i="1"/>
  <c r="G133" i="1"/>
  <c r="G132" i="1" s="1"/>
  <c r="J130" i="1"/>
  <c r="E130" i="1"/>
  <c r="G129" i="1"/>
  <c r="L116" i="1"/>
  <c r="M116" i="1"/>
  <c r="N116" i="1"/>
  <c r="O116" i="1"/>
  <c r="K116" i="1"/>
  <c r="J124" i="1"/>
  <c r="E124" i="1"/>
  <c r="I122" i="1"/>
  <c r="I116" i="1" s="1"/>
  <c r="F122" i="1"/>
  <c r="F116" i="1" s="1"/>
  <c r="H117" i="1"/>
  <c r="H116" i="1" s="1"/>
  <c r="G117" i="1"/>
  <c r="G116" i="1" s="1"/>
  <c r="L108" i="1"/>
  <c r="M108" i="1"/>
  <c r="N108" i="1"/>
  <c r="O108" i="1"/>
  <c r="K108" i="1"/>
  <c r="I108" i="1"/>
  <c r="J114" i="1"/>
  <c r="E114" i="1"/>
  <c r="H110" i="1"/>
  <c r="G110" i="1"/>
  <c r="F110" i="1"/>
  <c r="F156" i="1" s="1"/>
  <c r="G109" i="1"/>
  <c r="N97" i="1"/>
  <c r="O97" i="1"/>
  <c r="K97" i="1"/>
  <c r="I97" i="1"/>
  <c r="J106" i="1"/>
  <c r="E106" i="1"/>
  <c r="H104" i="1"/>
  <c r="G104" i="1"/>
  <c r="H103" i="1"/>
  <c r="G103" i="1"/>
  <c r="F103" i="1"/>
  <c r="H102" i="1"/>
  <c r="G102" i="1"/>
  <c r="F102" i="1"/>
  <c r="H101" i="1"/>
  <c r="G101" i="1"/>
  <c r="G99" i="1"/>
  <c r="G98" i="1"/>
  <c r="L92" i="1"/>
  <c r="M92" i="1"/>
  <c r="N92" i="1"/>
  <c r="O92" i="1"/>
  <c r="K92" i="1"/>
  <c r="H92" i="1"/>
  <c r="H91" i="1" s="1"/>
  <c r="I92" i="1"/>
  <c r="I91" i="1" s="1"/>
  <c r="F92" i="1"/>
  <c r="F91" i="1" s="1"/>
  <c r="J95" i="1"/>
  <c r="E95" i="1"/>
  <c r="G93" i="1"/>
  <c r="G92" i="1" s="1"/>
  <c r="G91" i="1" s="1"/>
  <c r="L70" i="1"/>
  <c r="M70" i="1"/>
  <c r="N70" i="1"/>
  <c r="O70" i="1"/>
  <c r="K70" i="1"/>
  <c r="I70" i="1"/>
  <c r="F70" i="1"/>
  <c r="J87" i="1"/>
  <c r="E87" i="1"/>
  <c r="J80" i="1"/>
  <c r="E80" i="1"/>
  <c r="G78" i="1"/>
  <c r="G156" i="1" s="1"/>
  <c r="H78" i="1"/>
  <c r="H156" i="1" s="1"/>
  <c r="H71" i="1"/>
  <c r="G71" i="1"/>
  <c r="H157" i="1" l="1"/>
  <c r="G157" i="1"/>
  <c r="F157" i="1"/>
  <c r="F108" i="1"/>
  <c r="H108" i="1"/>
  <c r="F141" i="1"/>
  <c r="G142" i="1"/>
  <c r="P146" i="1"/>
  <c r="P144" i="1"/>
  <c r="P138" i="1"/>
  <c r="P130" i="1"/>
  <c r="P106" i="1"/>
  <c r="G108" i="1"/>
  <c r="P124" i="1"/>
  <c r="G97" i="1"/>
  <c r="H97" i="1"/>
  <c r="P95" i="1"/>
  <c r="P114" i="1"/>
  <c r="F97" i="1"/>
  <c r="P87" i="1"/>
  <c r="H70" i="1"/>
  <c r="G70" i="1"/>
  <c r="P80" i="1"/>
  <c r="G141" i="1" l="1"/>
  <c r="E68" i="1"/>
  <c r="P68" i="1" s="1"/>
  <c r="J67" i="1"/>
  <c r="E67" i="1"/>
  <c r="H66" i="1"/>
  <c r="H158" i="1" s="1"/>
  <c r="G66" i="1"/>
  <c r="G158" i="1" s="1"/>
  <c r="H62" i="1"/>
  <c r="G62" i="1"/>
  <c r="H61" i="1"/>
  <c r="G61" i="1"/>
  <c r="H63" i="1"/>
  <c r="G63" i="1"/>
  <c r="H59" i="1"/>
  <c r="G59" i="1"/>
  <c r="H56" i="1"/>
  <c r="G56" i="1"/>
  <c r="H54" i="1"/>
  <c r="G54" i="1"/>
  <c r="H53" i="1"/>
  <c r="G53" i="1"/>
  <c r="H47" i="1"/>
  <c r="H161" i="1" s="1"/>
  <c r="G47" i="1"/>
  <c r="G161" i="1" s="1"/>
  <c r="E46" i="1"/>
  <c r="J37" i="1"/>
  <c r="E37" i="1"/>
  <c r="J36" i="1"/>
  <c r="E36" i="1"/>
  <c r="F25" i="1"/>
  <c r="F155" i="1" s="1"/>
  <c r="H20" i="1"/>
  <c r="G20" i="1"/>
  <c r="H19" i="1"/>
  <c r="G19" i="1"/>
  <c r="H18" i="1"/>
  <c r="G18" i="1"/>
  <c r="G17" i="1"/>
  <c r="P46" i="1" l="1"/>
  <c r="G154" i="1"/>
  <c r="G52" i="1"/>
  <c r="H154" i="1"/>
  <c r="H52" i="1"/>
  <c r="E172" i="1"/>
  <c r="P67" i="1"/>
  <c r="P37" i="1"/>
  <c r="P36" i="1"/>
  <c r="L31" i="1"/>
  <c r="L159" i="1" s="1"/>
  <c r="M31" i="1"/>
  <c r="M159" i="1" s="1"/>
  <c r="N31" i="1"/>
  <c r="N159" i="1" s="1"/>
  <c r="O31" i="1"/>
  <c r="O159" i="1" s="1"/>
  <c r="K31" i="1"/>
  <c r="K159" i="1" s="1"/>
  <c r="G31" i="1"/>
  <c r="G159" i="1" s="1"/>
  <c r="H31" i="1"/>
  <c r="H159" i="1" s="1"/>
  <c r="I31" i="1"/>
  <c r="I159" i="1" s="1"/>
  <c r="F31" i="1"/>
  <c r="F159" i="1" s="1"/>
  <c r="J32" i="1"/>
  <c r="J33" i="1"/>
  <c r="J34" i="1"/>
  <c r="E33" i="1"/>
  <c r="E34" i="1"/>
  <c r="E32" i="1"/>
  <c r="P32" i="1" l="1"/>
  <c r="P34" i="1"/>
  <c r="P33" i="1"/>
  <c r="L16" i="1" l="1"/>
  <c r="L15" i="1" s="1"/>
  <c r="M16" i="1"/>
  <c r="M15" i="1" s="1"/>
  <c r="N16" i="1"/>
  <c r="N15" i="1" s="1"/>
  <c r="O16" i="1"/>
  <c r="O15" i="1" s="1"/>
  <c r="K16" i="1"/>
  <c r="K15" i="1" s="1"/>
  <c r="J18" i="1"/>
  <c r="J19" i="1"/>
  <c r="J20" i="1"/>
  <c r="J17" i="1"/>
  <c r="E18" i="1"/>
  <c r="E19" i="1"/>
  <c r="E20" i="1"/>
  <c r="E17" i="1"/>
  <c r="F16" i="1"/>
  <c r="F15" i="1" s="1"/>
  <c r="H16" i="1"/>
  <c r="H15" i="1" s="1"/>
  <c r="I16" i="1"/>
  <c r="I15" i="1" s="1"/>
  <c r="G16" i="1"/>
  <c r="G15" i="1" s="1"/>
  <c r="J15" i="1" l="1"/>
  <c r="F153" i="1"/>
  <c r="I153" i="1"/>
  <c r="N153" i="1"/>
  <c r="N163" i="1" s="1"/>
  <c r="H153" i="1"/>
  <c r="K153" i="1"/>
  <c r="K163" i="1" s="1"/>
  <c r="M153" i="1"/>
  <c r="M163" i="1" s="1"/>
  <c r="O153" i="1"/>
  <c r="O163" i="1" s="1"/>
  <c r="G153" i="1"/>
  <c r="L153" i="1"/>
  <c r="P20" i="1"/>
  <c r="P17" i="1"/>
  <c r="P19" i="1"/>
  <c r="P18" i="1"/>
  <c r="L91" i="1"/>
  <c r="M91" i="1"/>
  <c r="N91" i="1"/>
  <c r="O91" i="1"/>
  <c r="K91" i="1"/>
  <c r="L69" i="1"/>
  <c r="M69" i="1"/>
  <c r="N69" i="1"/>
  <c r="O69" i="1"/>
  <c r="K69" i="1"/>
  <c r="L51" i="1"/>
  <c r="M51" i="1"/>
  <c r="N51" i="1"/>
  <c r="O51" i="1"/>
  <c r="K51" i="1"/>
  <c r="G131" i="1"/>
  <c r="H131" i="1"/>
  <c r="I131" i="1"/>
  <c r="F131" i="1"/>
  <c r="G128" i="1"/>
  <c r="G127" i="1" s="1"/>
  <c r="H128" i="1"/>
  <c r="H127" i="1" s="1"/>
  <c r="I128" i="1"/>
  <c r="I127" i="1" s="1"/>
  <c r="F128" i="1"/>
  <c r="F127" i="1" s="1"/>
  <c r="G115" i="1"/>
  <c r="H115" i="1"/>
  <c r="I115" i="1"/>
  <c r="F115" i="1"/>
  <c r="G107" i="1"/>
  <c r="H107" i="1"/>
  <c r="I107" i="1"/>
  <c r="I163" i="1" s="1"/>
  <c r="F107" i="1"/>
  <c r="F163" i="1" s="1"/>
  <c r="G96" i="1"/>
  <c r="H96" i="1"/>
  <c r="I96" i="1"/>
  <c r="F96" i="1"/>
  <c r="H163" i="1" l="1"/>
  <c r="G163" i="1"/>
  <c r="M97" i="1"/>
  <c r="L101" i="1"/>
  <c r="N96" i="1"/>
  <c r="O96" i="1"/>
  <c r="K96" i="1"/>
  <c r="L115" i="1"/>
  <c r="M115" i="1"/>
  <c r="N115" i="1"/>
  <c r="O115" i="1"/>
  <c r="K115" i="1"/>
  <c r="J50" i="1"/>
  <c r="E50" i="1"/>
  <c r="L97" i="1" l="1"/>
  <c r="L157" i="1"/>
  <c r="L163" i="1" s="1"/>
  <c r="L96" i="1"/>
  <c r="M96" i="1"/>
  <c r="P50" i="1"/>
  <c r="J92" i="1" l="1"/>
  <c r="J93" i="1"/>
  <c r="J94" i="1"/>
  <c r="J96" i="1"/>
  <c r="J97" i="1"/>
  <c r="J98" i="1"/>
  <c r="J99" i="1"/>
  <c r="J100" i="1"/>
  <c r="J101" i="1"/>
  <c r="J102" i="1"/>
  <c r="J103" i="1"/>
  <c r="J104" i="1"/>
  <c r="J105" i="1"/>
  <c r="J107" i="1"/>
  <c r="J108" i="1"/>
  <c r="J109" i="1"/>
  <c r="J110" i="1"/>
  <c r="J111" i="1"/>
  <c r="J112" i="1"/>
  <c r="J113" i="1"/>
  <c r="J115" i="1"/>
  <c r="J116" i="1"/>
  <c r="J117" i="1"/>
  <c r="J118" i="1"/>
  <c r="J119" i="1"/>
  <c r="J120" i="1"/>
  <c r="J121" i="1"/>
  <c r="J122" i="1"/>
  <c r="J123" i="1"/>
  <c r="J125" i="1"/>
  <c r="J126" i="1"/>
  <c r="J127" i="1"/>
  <c r="J128" i="1"/>
  <c r="J129" i="1"/>
  <c r="J131" i="1"/>
  <c r="J132" i="1"/>
  <c r="J133" i="1"/>
  <c r="J134" i="1"/>
  <c r="J135" i="1"/>
  <c r="J137" i="1"/>
  <c r="J139" i="1"/>
  <c r="J140" i="1"/>
  <c r="J141" i="1"/>
  <c r="Q141" i="1" s="1"/>
  <c r="J142" i="1"/>
  <c r="J143" i="1"/>
  <c r="J145" i="1"/>
  <c r="J147" i="1"/>
  <c r="J162" i="1" s="1"/>
  <c r="J72" i="1"/>
  <c r="J73" i="1"/>
  <c r="J74" i="1"/>
  <c r="J75" i="1"/>
  <c r="J76" i="1"/>
  <c r="J77" i="1"/>
  <c r="J78" i="1"/>
  <c r="J79" i="1"/>
  <c r="J81" i="1"/>
  <c r="J82" i="1"/>
  <c r="J83" i="1"/>
  <c r="J84" i="1"/>
  <c r="J85" i="1"/>
  <c r="J86" i="1"/>
  <c r="J71" i="1"/>
  <c r="G69" i="1"/>
  <c r="H69" i="1"/>
  <c r="I69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158" i="1" s="1"/>
  <c r="J53" i="1"/>
  <c r="G51" i="1"/>
  <c r="H51" i="1"/>
  <c r="I51" i="1"/>
  <c r="J21" i="1"/>
  <c r="J22" i="1"/>
  <c r="J23" i="1"/>
  <c r="J24" i="1"/>
  <c r="J25" i="1"/>
  <c r="J26" i="1"/>
  <c r="J30" i="1"/>
  <c r="J31" i="1"/>
  <c r="J45" i="1"/>
  <c r="J47" i="1"/>
  <c r="J48" i="1"/>
  <c r="J49" i="1"/>
  <c r="J16" i="1"/>
  <c r="L14" i="1"/>
  <c r="M14" i="1"/>
  <c r="N14" i="1"/>
  <c r="O14" i="1"/>
  <c r="K14" i="1"/>
  <c r="G14" i="1"/>
  <c r="H14" i="1"/>
  <c r="I14" i="1"/>
  <c r="F14" i="1"/>
  <c r="E134" i="1"/>
  <c r="E135" i="1"/>
  <c r="E137" i="1"/>
  <c r="E139" i="1"/>
  <c r="E140" i="1"/>
  <c r="E118" i="1"/>
  <c r="E119" i="1"/>
  <c r="E120" i="1"/>
  <c r="E121" i="1"/>
  <c r="E122" i="1"/>
  <c r="E123" i="1"/>
  <c r="E125" i="1"/>
  <c r="E126" i="1"/>
  <c r="E110" i="1"/>
  <c r="E111" i="1"/>
  <c r="E112" i="1"/>
  <c r="E113" i="1"/>
  <c r="E99" i="1"/>
  <c r="E100" i="1"/>
  <c r="E101" i="1"/>
  <c r="E102" i="1"/>
  <c r="E103" i="1"/>
  <c r="E104" i="1"/>
  <c r="E105" i="1"/>
  <c r="E94" i="1"/>
  <c r="E72" i="1"/>
  <c r="E73" i="1"/>
  <c r="E74" i="1"/>
  <c r="E75" i="1"/>
  <c r="E76" i="1"/>
  <c r="E77" i="1"/>
  <c r="E78" i="1"/>
  <c r="E79" i="1"/>
  <c r="E81" i="1"/>
  <c r="E82" i="1"/>
  <c r="E83" i="1"/>
  <c r="E84" i="1"/>
  <c r="E85" i="1"/>
  <c r="E86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133" i="1"/>
  <c r="E132" i="1"/>
  <c r="E131" i="1"/>
  <c r="Q131" i="1" s="1"/>
  <c r="E129" i="1"/>
  <c r="E128" i="1"/>
  <c r="E127" i="1"/>
  <c r="Q127" i="1" s="1"/>
  <c r="E117" i="1"/>
  <c r="E116" i="1"/>
  <c r="E115" i="1"/>
  <c r="Q115" i="1" s="1"/>
  <c r="E109" i="1"/>
  <c r="E108" i="1"/>
  <c r="E107" i="1"/>
  <c r="Q107" i="1" s="1"/>
  <c r="E98" i="1"/>
  <c r="E97" i="1"/>
  <c r="E96" i="1"/>
  <c r="Q96" i="1" s="1"/>
  <c r="E93" i="1"/>
  <c r="E92" i="1"/>
  <c r="E91" i="1"/>
  <c r="Q91" i="1" s="1"/>
  <c r="E71" i="1"/>
  <c r="E53" i="1"/>
  <c r="E21" i="1"/>
  <c r="E22" i="1"/>
  <c r="E23" i="1"/>
  <c r="E24" i="1"/>
  <c r="E25" i="1"/>
  <c r="E26" i="1"/>
  <c r="E30" i="1"/>
  <c r="E31" i="1"/>
  <c r="E45" i="1"/>
  <c r="E160" i="1" s="1"/>
  <c r="E47" i="1"/>
  <c r="E48" i="1"/>
  <c r="E49" i="1"/>
  <c r="E16" i="1"/>
  <c r="E15" i="1"/>
  <c r="J153" i="1" l="1"/>
  <c r="E156" i="1"/>
  <c r="E158" i="1"/>
  <c r="J160" i="1"/>
  <c r="P162" i="1"/>
  <c r="E161" i="1"/>
  <c r="E153" i="1"/>
  <c r="E157" i="1"/>
  <c r="P157" i="1" s="1"/>
  <c r="J155" i="1"/>
  <c r="E155" i="1"/>
  <c r="P155" i="1" s="1"/>
  <c r="J161" i="1"/>
  <c r="J159" i="1"/>
  <c r="J154" i="1"/>
  <c r="E159" i="1"/>
  <c r="E154" i="1"/>
  <c r="J156" i="1"/>
  <c r="J157" i="1"/>
  <c r="P158" i="1"/>
  <c r="K151" i="1"/>
  <c r="O151" i="1"/>
  <c r="N151" i="1"/>
  <c r="M151" i="1"/>
  <c r="L151" i="1"/>
  <c r="G151" i="1"/>
  <c r="G171" i="1" s="1"/>
  <c r="H151" i="1"/>
  <c r="H171" i="1" s="1"/>
  <c r="I151" i="1"/>
  <c r="P116" i="1"/>
  <c r="E70" i="1"/>
  <c r="F69" i="1"/>
  <c r="E69" i="1" s="1"/>
  <c r="Q69" i="1" s="1"/>
  <c r="E52" i="1"/>
  <c r="F51" i="1"/>
  <c r="J91" i="1"/>
  <c r="P91" i="1" s="1"/>
  <c r="J51" i="1"/>
  <c r="P15" i="1"/>
  <c r="J69" i="1"/>
  <c r="J70" i="1"/>
  <c r="J52" i="1"/>
  <c r="J14" i="1"/>
  <c r="E14" i="1"/>
  <c r="P147" i="1"/>
  <c r="P145" i="1"/>
  <c r="P143" i="1"/>
  <c r="P142" i="1"/>
  <c r="P141" i="1"/>
  <c r="P140" i="1"/>
  <c r="P139" i="1"/>
  <c r="P137" i="1"/>
  <c r="P135" i="1"/>
  <c r="P134" i="1"/>
  <c r="P133" i="1"/>
  <c r="P132" i="1"/>
  <c r="P131" i="1"/>
  <c r="P129" i="1"/>
  <c r="P128" i="1"/>
  <c r="P127" i="1"/>
  <c r="P126" i="1"/>
  <c r="P125" i="1"/>
  <c r="P123" i="1"/>
  <c r="P122" i="1"/>
  <c r="P121" i="1"/>
  <c r="P120" i="1"/>
  <c r="P119" i="1"/>
  <c r="P118" i="1"/>
  <c r="P117" i="1"/>
  <c r="P115" i="1"/>
  <c r="P113" i="1"/>
  <c r="P112" i="1"/>
  <c r="P111" i="1"/>
  <c r="P110" i="1"/>
  <c r="P109" i="1"/>
  <c r="P108" i="1"/>
  <c r="P107" i="1"/>
  <c r="P105" i="1"/>
  <c r="P104" i="1"/>
  <c r="P103" i="1"/>
  <c r="P102" i="1"/>
  <c r="P101" i="1"/>
  <c r="P100" i="1"/>
  <c r="P99" i="1"/>
  <c r="P98" i="1"/>
  <c r="P97" i="1"/>
  <c r="P96" i="1"/>
  <c r="P94" i="1"/>
  <c r="P93" i="1"/>
  <c r="P92" i="1"/>
  <c r="P86" i="1"/>
  <c r="P85" i="1"/>
  <c r="P84" i="1"/>
  <c r="P83" i="1"/>
  <c r="P82" i="1"/>
  <c r="P81" i="1"/>
  <c r="P79" i="1"/>
  <c r="P78" i="1"/>
  <c r="P77" i="1"/>
  <c r="P76" i="1"/>
  <c r="P75" i="1"/>
  <c r="P74" i="1"/>
  <c r="P73" i="1"/>
  <c r="P72" i="1"/>
  <c r="P71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49" i="1"/>
  <c r="P48" i="1"/>
  <c r="P47" i="1"/>
  <c r="P45" i="1"/>
  <c r="P31" i="1"/>
  <c r="P30" i="1"/>
  <c r="P26" i="1"/>
  <c r="P25" i="1"/>
  <c r="P24" i="1"/>
  <c r="P23" i="1"/>
  <c r="P22" i="1"/>
  <c r="P21" i="1"/>
  <c r="P16" i="1"/>
  <c r="J163" i="1" l="1"/>
  <c r="P161" i="1"/>
  <c r="P159" i="1"/>
  <c r="P52" i="1"/>
  <c r="E163" i="1"/>
  <c r="P163" i="1" s="1"/>
  <c r="Q14" i="1"/>
  <c r="P154" i="1"/>
  <c r="E51" i="1"/>
  <c r="E151" i="1" s="1"/>
  <c r="E170" i="1" s="1"/>
  <c r="P153" i="1"/>
  <c r="P160" i="1"/>
  <c r="P70" i="1"/>
  <c r="F151" i="1"/>
  <c r="P69" i="1"/>
  <c r="P14" i="1"/>
  <c r="J151" i="1"/>
  <c r="J170" i="1" s="1"/>
  <c r="P51" i="1" l="1"/>
  <c r="Q51" i="1"/>
  <c r="P156" i="1"/>
  <c r="P151" i="1"/>
  <c r="P170" i="1" s="1"/>
</calcChain>
</file>

<file path=xl/sharedStrings.xml><?xml version="1.0" encoding="utf-8"?>
<sst xmlns="http://schemas.openxmlformats.org/spreadsheetml/2006/main" count="534" uniqueCount="349">
  <si>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</si>
  <si>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</si>
  <si>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</si>
  <si>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</si>
  <si>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</si>
  <si>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</si>
  <si>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</si>
  <si>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</si>
  <si>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</si>
  <si>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</si>
  <si>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</si>
  <si>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</si>
  <si>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</si>
  <si>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</si>
  <si>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</si>
  <si>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</si>
  <si>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</si>
  <si>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</si>
  <si>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</si>
  <si>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</si>
  <si>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</si>
  <si>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</si>
  <si>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</si>
  <si>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</si>
  <si>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</si>
  <si>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</si>
  <si>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</si>
  <si>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</si>
  <si>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</si>
  <si>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</si>
  <si>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</si>
  <si>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</si>
  <si>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</si>
  <si>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</si>
  <si>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</si>
  <si>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</si>
  <si>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</si>
  <si>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</si>
  <si>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</si>
  <si>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</si>
  <si>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</si>
  <si>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</si>
  <si>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</si>
  <si>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</si>
  <si>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</si>
  <si>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</si>
  <si>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</si>
  <si>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</si>
  <si>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</si>
  <si>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</si>
  <si>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</si>
  <si>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</si>
  <si>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</si>
  <si>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</si>
  <si>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</si>
  <si>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</si>
  <si>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</si>
  <si>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</si>
  <si>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</si>
  <si>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</si>
  <si>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</si>
  <si>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</si>
  <si>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</si>
  <si>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</si>
  <si>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</si>
  <si>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</si>
  <si>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</si>
  <si>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</si>
  <si>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</si>
  <si>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</si>
  <si>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</si>
  <si>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</si>
  <si>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</si>
  <si>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</si>
  <si>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</si>
  <si>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</si>
  <si>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</si>
  <si>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</si>
  <si>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</si>
  <si>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</si>
  <si>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</si>
  <si>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</si>
  <si>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</si>
  <si>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</si>
  <si>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</si>
  <si>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</si>
  <si>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</si>
  <si>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</si>
  <si>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</si>
  <si>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</si>
  <si>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</si>
  <si>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</si>
  <si>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</si>
  <si>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</si>
  <si>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</si>
  <si>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</si>
  <si>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</si>
  <si>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</si>
  <si>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</si>
  <si>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</si>
  <si>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</si>
  <si>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</si>
  <si>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</si>
  <si>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</si>
  <si>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</si>
  <si>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</si>
  <si>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</si>
  <si>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</si>
  <si>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</si>
  <si>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</si>
  <si>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</si>
  <si>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</si>
  <si>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</si>
  <si>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</si>
  <si>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</si>
  <si>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</si>
  <si>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</si>
  <si>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</si>
  <si>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</si>
  <si>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</si>
  <si>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</si>
  <si>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</si>
  <si>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</si>
  <si>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</si>
  <si>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</si>
  <si>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</si>
  <si>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</si>
  <si>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</si>
  <si>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</si>
  <si>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</si>
  <si>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</si>
  <si>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</si>
  <si>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</si>
  <si>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</si>
  <si>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</si>
  <si>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</si>
  <si>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</si>
  <si>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</si>
  <si>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</si>
  <si>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</si>
  <si>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</si>
  <si>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</si>
  <si>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</si>
  <si>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</si>
  <si>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</si>
  <si>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</si>
  <si>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</si>
  <si>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</si>
  <si>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</si>
  <si>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</si>
  <si>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</si>
  <si>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</si>
  <si>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</si>
  <si>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</si>
  <si>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</si>
  <si>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</si>
  <si>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</si>
  <si>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</si>
  <si>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</si>
  <si>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</si>
  <si>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</si>
  <si>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</si>
  <si>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</si>
  <si>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</si>
  <si>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</si>
  <si>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</si>
  <si>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</si>
  <si>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</si>
  <si>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</si>
  <si>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</si>
  <si>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</si>
  <si>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</si>
  <si>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</si>
  <si>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</si>
  <si>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</si>
  <si>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</si>
  <si>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</si>
  <si>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</si>
  <si>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</si>
  <si>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</si>
  <si>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</si>
  <si>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</si>
  <si>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</si>
  <si>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</si>
  <si>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</si>
  <si>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</si>
  <si>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</si>
  <si>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</si>
  <si>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</si>
  <si>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</si>
  <si>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</si>
  <si>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</si>
  <si>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</si>
  <si>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</si>
  <si>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</si>
  <si>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</si>
  <si>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</si>
  <si>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</si>
  <si>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</si>
  <si>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</si>
  <si>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</si>
  <si>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</si>
  <si>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</si>
  <si>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</si>
  <si>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</si>
  <si>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</si>
  <si>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</si>
  <si>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</si>
  <si>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</si>
  <si>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</si>
  <si>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</si>
  <si>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</si>
  <si>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</si>
  <si>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</si>
  <si>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</si>
  <si>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</si>
  <si>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</si>
  <si>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</si>
  <si>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</si>
  <si>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</si>
  <si>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</si>
  <si>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</si>
  <si>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</si>
  <si>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</si>
  <si>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</si>
  <si>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</si>
  <si>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</si>
  <si>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</si>
  <si>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</si>
  <si>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</si>
  <si>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</si>
  <si>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</si>
  <si>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</si>
  <si>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</si>
  <si>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</si>
  <si>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</si>
  <si>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</si>
  <si>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</si>
  <si>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</si>
  <si>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</si>
  <si>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</si>
  <si>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</si>
  <si>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</si>
  <si>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</si>
  <si>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</si>
  <si>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</si>
  <si>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</si>
  <si>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</si>
  <si>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</si>
  <si>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</si>
  <si>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</si>
  <si>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</si>
  <si>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</si>
  <si>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</si>
  <si>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</si>
  <si>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</si>
  <si>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</si>
  <si>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</si>
  <si>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</si>
  <si>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</si>
  <si>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</si>
  <si>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</si>
  <si>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</si>
  <si>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</si>
  <si>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</si>
  <si>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</si>
  <si>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</si>
  <si>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</si>
  <si>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</si>
  <si>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</si>
  <si>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</si>
  <si>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</si>
  <si>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</si>
  <si>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</si>
  <si>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</si>
  <si>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</si>
  <si>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</si>
  <si>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</si>
  <si>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</si>
  <si>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</si>
  <si>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доходи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</si>
  <si>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</si>
  <si>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</si>
  <si>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</si>
  <si>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ЗФ</t>
  </si>
  <si>
    <t>субв.</t>
  </si>
  <si>
    <t>Начальник фінансового управління</t>
  </si>
  <si>
    <t>Ольга ЯКОВЕНКО</t>
  </si>
  <si>
    <t>Додаток 3</t>
  </si>
  <si>
    <t>0217350</t>
  </si>
  <si>
    <t>0217520</t>
  </si>
  <si>
    <t>7520</t>
  </si>
  <si>
    <t>Реалізація Національної програми інформатизації</t>
  </si>
  <si>
    <t>0460</t>
  </si>
  <si>
    <t>0218110</t>
  </si>
  <si>
    <t>видатків бюджету Чорноморської міської територіальної громади  на 2025 рік</t>
  </si>
  <si>
    <t>0617520</t>
  </si>
  <si>
    <t>0618110</t>
  </si>
  <si>
    <t>0813140</t>
  </si>
  <si>
    <t>0817520</t>
  </si>
  <si>
    <t>0917520</t>
  </si>
  <si>
    <t>1017520</t>
  </si>
  <si>
    <t>1117520</t>
  </si>
  <si>
    <t>1217520</t>
  </si>
  <si>
    <t>1517520</t>
  </si>
  <si>
    <t>3117520</t>
  </si>
  <si>
    <t>3717520</t>
  </si>
  <si>
    <t>Реверсна дотація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</si>
  <si>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</si>
  <si>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</si>
  <si>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Міська цільова програма фінансової підтримки діяльності  Одеської районної ради Одеської області на 2025 рік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</si>
  <si>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</si>
  <si>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</si>
  <si>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КНП "Чорноморська лікарня"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</si>
  <si>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</si>
  <si>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Управління соціальної політики Чорноморської мiської ради Одеського району Одеської областi</t>
  </si>
  <si>
    <t>0216090</t>
  </si>
  <si>
    <t>Інша діяльність у сфері житлово-комунального господарства</t>
  </si>
  <si>
    <t>0640</t>
  </si>
  <si>
    <t>3116090</t>
  </si>
  <si>
    <t>код 7520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</si>
  <si>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 Одеської області"</t>
  </si>
  <si>
    <t>Комунальна установа "Центр соціальних служб Чорноморської міської ради Одеського району Одеської області"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</si>
  <si>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</si>
  <si>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</si>
  <si>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</si>
  <si>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</si>
  <si>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</si>
  <si>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</si>
  <si>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</si>
  <si>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</si>
  <si>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</si>
  <si>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</si>
  <si>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</si>
  <si>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</si>
  <si>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</si>
  <si>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</si>
  <si>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</si>
  <si>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</si>
  <si>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</si>
  <si>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</si>
  <si>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</si>
  <si>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</si>
  <si>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від           12.2024  №             - VIII</t>
  </si>
  <si>
    <t>0217640</t>
  </si>
  <si>
    <t>7640</t>
  </si>
  <si>
    <t>0470</t>
  </si>
  <si>
    <t>Заходи з енергозбереження</t>
  </si>
  <si>
    <t>до рішення Чорноморської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</si>
</sst>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#,##0.00_ ;\-#,##0.00\ "/>
    <numFmt numFmtId="166" formatCode="#,##0.000"/>
  </numFmts>
  <fonts count="10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vertical="center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до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&#1072;&#1090;&#1086;&#1082;%209%20%20&#1051;&#1110;&#1084;&#1110;&#1090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&#1072;&#1090;&#1086;&#1082;%201%20&#1044;&#1086;&#1093;&#1086;&#107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</sheetNames>
    <sheetDataSet>
      <sheetData sheetId="0">
        <row r="70">
          <cell r="P70">
            <v>46038300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куш1"/>
    </sheetNames>
    <sheetDataSet>
      <sheetData sheetId="0">
        <row r="70">
          <cell r="D70">
            <v>1037040200</v>
          </cell>
          <cell r="E70">
            <v>12520300</v>
          </cell>
        </row>
        <row r="71">
          <cell r="D71">
            <v>107349339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2"/>
  <sheetViews>
    <sheetView tabSelected="1" view="pageBreakPreview" zoomScale="70" zoomScaleNormal="70" zoomScaleSheetLayoutView="70" workbookViewId="0">
      <pane xSplit="4" ySplit="13" topLeftCell="E155" activePane="bottomRight" state="frozen"/>
      <selection pane="topRight" activeCell="E1" sqref="E1"/>
      <selection pane="bottomLeft" activeCell="A14" sqref="A14"/>
      <selection pane="bottomRight" activeCell="I10" sqref="I10:I12"/>
    </sheetView>
  </sheetViews>
  <sheetFormatPr defaultColWidth="8.88671875" defaultRowHeight="15.6"/>
  <cols>
    <col min="1" max="3" width="12.109375" style="2" customWidth="1"/>
    <col min="4" max="4" width="40.6640625" style="2" customWidth="1"/>
    <col min="5" max="5" width="18.21875" style="2" customWidth="1"/>
    <col min="6" max="15" width="15.6640625" style="2" customWidth="1"/>
    <col min="16" max="16" width="17.5546875" style="2" customWidth="1"/>
    <col min="17" max="17" width="16.5546875" style="2" bestFit="1" customWidth="1"/>
    <col min="18" max="16384" width="8.88671875" style="2"/>
  </cols>
  <sheetData>
    <row r="1" spans="1:17" ht="20.399999999999999" customHeight="1">
      <c r="M1" s="2" t="s">
        <v>288</v>
      </c>
    </row>
    <row r="2" spans="1:17" ht="20.399999999999999" customHeight="1">
      <c r="M2" s="2" t="s">
        <v>348</v>
      </c>
    </row>
    <row r="3" spans="1:17" ht="20.399999999999999" customHeight="1">
      <c r="M3" s="2" t="s">
        <v>343</v>
      </c>
    </row>
    <row r="5" spans="1:17">
      <c r="A5" s="33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>
      <c r="A6" s="33" t="s">
        <v>295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>
      <c r="A7" s="3" t="s">
        <v>1</v>
      </c>
    </row>
    <row r="8" spans="1:17">
      <c r="A8" s="2" t="s">
        <v>2</v>
      </c>
      <c r="P8" s="4" t="s">
        <v>3</v>
      </c>
    </row>
    <row r="9" spans="1:17" ht="26.4" customHeight="1">
      <c r="A9" s="35" t="s">
        <v>4</v>
      </c>
      <c r="B9" s="35" t="s">
        <v>5</v>
      </c>
      <c r="C9" s="35" t="s">
        <v>6</v>
      </c>
      <c r="D9" s="36" t="s">
        <v>7</v>
      </c>
      <c r="E9" s="36" t="s">
        <v>8</v>
      </c>
      <c r="F9" s="36"/>
      <c r="G9" s="36"/>
      <c r="H9" s="36"/>
      <c r="I9" s="36"/>
      <c r="J9" s="36" t="s">
        <v>15</v>
      </c>
      <c r="K9" s="36"/>
      <c r="L9" s="36"/>
      <c r="M9" s="36"/>
      <c r="N9" s="36"/>
      <c r="O9" s="36"/>
      <c r="P9" s="36" t="s">
        <v>17</v>
      </c>
    </row>
    <row r="10" spans="1:17" ht="26.4" customHeight="1">
      <c r="A10" s="35"/>
      <c r="B10" s="35"/>
      <c r="C10" s="35"/>
      <c r="D10" s="36"/>
      <c r="E10" s="36" t="s">
        <v>9</v>
      </c>
      <c r="F10" s="36" t="s">
        <v>10</v>
      </c>
      <c r="G10" s="36" t="s">
        <v>11</v>
      </c>
      <c r="H10" s="36"/>
      <c r="I10" s="36" t="s">
        <v>14</v>
      </c>
      <c r="J10" s="36" t="s">
        <v>9</v>
      </c>
      <c r="K10" s="36" t="s">
        <v>16</v>
      </c>
      <c r="L10" s="36" t="s">
        <v>10</v>
      </c>
      <c r="M10" s="36" t="s">
        <v>11</v>
      </c>
      <c r="N10" s="36"/>
      <c r="O10" s="36" t="s">
        <v>14</v>
      </c>
      <c r="P10" s="36"/>
    </row>
    <row r="11" spans="1:17" ht="30.6" customHeight="1">
      <c r="A11" s="35"/>
      <c r="B11" s="35"/>
      <c r="C11" s="35"/>
      <c r="D11" s="36"/>
      <c r="E11" s="36"/>
      <c r="F11" s="36"/>
      <c r="G11" s="36" t="s">
        <v>12</v>
      </c>
      <c r="H11" s="36" t="s">
        <v>13</v>
      </c>
      <c r="I11" s="36"/>
      <c r="J11" s="36"/>
      <c r="K11" s="36"/>
      <c r="L11" s="36"/>
      <c r="M11" s="36" t="s">
        <v>12</v>
      </c>
      <c r="N11" s="36" t="s">
        <v>13</v>
      </c>
      <c r="O11" s="36"/>
      <c r="P11" s="36"/>
    </row>
    <row r="12" spans="1:17" ht="26.4" customHeight="1">
      <c r="A12" s="35"/>
      <c r="B12" s="35"/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7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  <c r="L13" s="8">
        <v>12</v>
      </c>
      <c r="M13" s="8">
        <v>13</v>
      </c>
      <c r="N13" s="8">
        <v>14</v>
      </c>
      <c r="O13" s="8">
        <v>15</v>
      </c>
      <c r="P13" s="8">
        <v>16</v>
      </c>
    </row>
    <row r="14" spans="1:17" ht="46.8">
      <c r="A14" s="9" t="s">
        <v>18</v>
      </c>
      <c r="B14" s="9" t="s">
        <v>19</v>
      </c>
      <c r="C14" s="9" t="s">
        <v>19</v>
      </c>
      <c r="D14" s="10" t="s">
        <v>20</v>
      </c>
      <c r="E14" s="11">
        <f>F14+I14</f>
        <v>292696384</v>
      </c>
      <c r="F14" s="11">
        <f>F15</f>
        <v>292550884</v>
      </c>
      <c r="G14" s="11">
        <f>G15</f>
        <v>114997500</v>
      </c>
      <c r="H14" s="11">
        <f>H15</f>
        <v>4702100</v>
      </c>
      <c r="I14" s="11">
        <f>I15</f>
        <v>145500</v>
      </c>
      <c r="J14" s="11">
        <f>L14+O14</f>
        <v>9187600</v>
      </c>
      <c r="K14" s="11">
        <f>K15</f>
        <v>8170000</v>
      </c>
      <c r="L14" s="11">
        <f>L15</f>
        <v>1017600</v>
      </c>
      <c r="M14" s="11">
        <f>M15</f>
        <v>0</v>
      </c>
      <c r="N14" s="11">
        <f>N15</f>
        <v>0</v>
      </c>
      <c r="O14" s="11">
        <f>O15</f>
        <v>8170000</v>
      </c>
      <c r="P14" s="11">
        <f t="shared" ref="P14:P65" si="0">E14 + J14</f>
        <v>301883984</v>
      </c>
      <c r="Q14" s="5">
        <f>215605600-E14-J36</f>
        <v>-84090784</v>
      </c>
    </row>
    <row r="15" spans="1:17" ht="46.8">
      <c r="A15" s="9" t="s">
        <v>21</v>
      </c>
      <c r="B15" s="9" t="s">
        <v>19</v>
      </c>
      <c r="C15" s="9" t="s">
        <v>19</v>
      </c>
      <c r="D15" s="10" t="s">
        <v>20</v>
      </c>
      <c r="E15" s="11">
        <f>F15+I15</f>
        <v>292696384</v>
      </c>
      <c r="F15" s="11">
        <f>F16+F21+F22+F23+F24+F25+F26+F30+F31+F35+F36+F37+F44+F45+F46+F47+F48+F49+F50</f>
        <v>292550884</v>
      </c>
      <c r="G15" s="11">
        <f t="shared" ref="G15:I15" si="1">G16+G21+G22+G23+G24+G25+G26+G30+G31+G35+G36+G37+G44+G45+G46+G47+G48+G49+G50</f>
        <v>114997500</v>
      </c>
      <c r="H15" s="11">
        <f t="shared" si="1"/>
        <v>4702100</v>
      </c>
      <c r="I15" s="11">
        <f t="shared" si="1"/>
        <v>145500</v>
      </c>
      <c r="J15" s="11">
        <f>L15+O15</f>
        <v>9187600</v>
      </c>
      <c r="K15" s="11">
        <f>K16+K21+K22+K23+K24+K25+K26+K30+K31+K35+K36+K37+K44+K45+K46+K47+K48+K49+K50</f>
        <v>8170000</v>
      </c>
      <c r="L15" s="11">
        <f>L16+L21+L22+L23+L24+L25+L26+L30+L31+L35+L36+L37+L44+L45+L46+L47+L48+L49+L50</f>
        <v>1017600</v>
      </c>
      <c r="M15" s="11">
        <f t="shared" ref="M15:O15" si="2">M16+M21+M22+M23+M24+M25+M26+M30+M31+M35+M36+M37+M44+M45+M46+M47+M48+M49+M50</f>
        <v>0</v>
      </c>
      <c r="N15" s="11">
        <f t="shared" si="2"/>
        <v>0</v>
      </c>
      <c r="O15" s="11">
        <f t="shared" si="2"/>
        <v>8170000</v>
      </c>
      <c r="P15" s="11">
        <f>E15 + J15</f>
        <v>301883984</v>
      </c>
    </row>
    <row r="16" spans="1:17" ht="93.6">
      <c r="A16" s="8" t="s">
        <v>22</v>
      </c>
      <c r="B16" s="8" t="s">
        <v>23</v>
      </c>
      <c r="C16" s="8" t="s">
        <v>24</v>
      </c>
      <c r="D16" s="12" t="s">
        <v>25</v>
      </c>
      <c r="E16" s="13">
        <f>F16+I16</f>
        <v>104030600</v>
      </c>
      <c r="F16" s="13">
        <f>F17+F18+F19+F20</f>
        <v>104030600</v>
      </c>
      <c r="G16" s="13">
        <f>G17+G18+G19+G20</f>
        <v>93494200</v>
      </c>
      <c r="H16" s="13">
        <f t="shared" ref="H16:I16" si="3">H17+H18+H19+H20</f>
        <v>4639600</v>
      </c>
      <c r="I16" s="13">
        <f t="shared" si="3"/>
        <v>0</v>
      </c>
      <c r="J16" s="13">
        <f>L16+O16</f>
        <v>117600</v>
      </c>
      <c r="K16" s="13">
        <f>K17+K18+K19+K20</f>
        <v>0</v>
      </c>
      <c r="L16" s="13">
        <f t="shared" ref="L16:O16" si="4">L17+L18+L19+L20</f>
        <v>117600</v>
      </c>
      <c r="M16" s="13">
        <f t="shared" si="4"/>
        <v>0</v>
      </c>
      <c r="N16" s="13">
        <f t="shared" si="4"/>
        <v>0</v>
      </c>
      <c r="O16" s="13">
        <f t="shared" si="4"/>
        <v>0</v>
      </c>
      <c r="P16" s="13">
        <f t="shared" si="0"/>
        <v>104148200</v>
      </c>
    </row>
    <row r="17" spans="1:16" s="7" customFormat="1" ht="46.8">
      <c r="A17" s="14"/>
      <c r="B17" s="14"/>
      <c r="C17" s="14"/>
      <c r="D17" s="1" t="s">
        <v>20</v>
      </c>
      <c r="E17" s="15">
        <f>F17+I17</f>
        <v>93697400</v>
      </c>
      <c r="F17" s="15">
        <v>93697400</v>
      </c>
      <c r="G17" s="15">
        <f>69039000+15188600</f>
        <v>84227600</v>
      </c>
      <c r="H17" s="15">
        <f>1900000+150000+2200000+43100</f>
        <v>4293100</v>
      </c>
      <c r="I17" s="15"/>
      <c r="J17" s="15">
        <f>L17+O17</f>
        <v>117598</v>
      </c>
      <c r="K17" s="15"/>
      <c r="L17" s="15">
        <v>117598</v>
      </c>
      <c r="M17" s="15"/>
      <c r="N17" s="15"/>
      <c r="O17" s="15"/>
      <c r="P17" s="15">
        <f t="shared" si="0"/>
        <v>93814998</v>
      </c>
    </row>
    <row r="18" spans="1:16" s="7" customFormat="1" ht="46.8">
      <c r="A18" s="14"/>
      <c r="B18" s="14"/>
      <c r="C18" s="14"/>
      <c r="D18" s="1" t="s">
        <v>281</v>
      </c>
      <c r="E18" s="15">
        <f t="shared" ref="E18:E20" si="5">F18+I18</f>
        <v>4058100</v>
      </c>
      <c r="F18" s="15">
        <v>4058100</v>
      </c>
      <c r="G18" s="15">
        <f>2963900+652000</f>
        <v>3615900</v>
      </c>
      <c r="H18" s="15">
        <f>2500+58000+90000+5000</f>
        <v>155500</v>
      </c>
      <c r="I18" s="15"/>
      <c r="J18" s="15">
        <f t="shared" ref="J18:J20" si="6">L18+O18</f>
        <v>1</v>
      </c>
      <c r="K18" s="15"/>
      <c r="L18" s="15">
        <v>1</v>
      </c>
      <c r="M18" s="15"/>
      <c r="N18" s="15"/>
      <c r="O18" s="15"/>
      <c r="P18" s="15">
        <f t="shared" si="0"/>
        <v>4058101</v>
      </c>
    </row>
    <row r="19" spans="1:16" s="7" customFormat="1" ht="62.4">
      <c r="A19" s="14"/>
      <c r="B19" s="14"/>
      <c r="C19" s="14"/>
      <c r="D19" s="1" t="s">
        <v>282</v>
      </c>
      <c r="E19" s="15">
        <f t="shared" si="5"/>
        <v>2910600</v>
      </c>
      <c r="F19" s="15">
        <v>2910600</v>
      </c>
      <c r="G19" s="15">
        <f>2149400+472900</f>
        <v>2622300</v>
      </c>
      <c r="H19" s="15">
        <f>3200+38000+36600+10000</f>
        <v>87800</v>
      </c>
      <c r="I19" s="15"/>
      <c r="J19" s="15">
        <f t="shared" si="6"/>
        <v>0</v>
      </c>
      <c r="K19" s="15"/>
      <c r="L19" s="15"/>
      <c r="M19" s="15"/>
      <c r="N19" s="15"/>
      <c r="O19" s="15"/>
      <c r="P19" s="15">
        <f t="shared" si="0"/>
        <v>2910600</v>
      </c>
    </row>
    <row r="20" spans="1:16" s="7" customFormat="1" ht="46.8">
      <c r="A20" s="14"/>
      <c r="B20" s="14"/>
      <c r="C20" s="14"/>
      <c r="D20" s="1" t="s">
        <v>283</v>
      </c>
      <c r="E20" s="15">
        <f t="shared" si="5"/>
        <v>3364500</v>
      </c>
      <c r="F20" s="15">
        <v>3364500</v>
      </c>
      <c r="G20" s="15">
        <f>2482300+546100</f>
        <v>3028400</v>
      </c>
      <c r="H20" s="15">
        <f>3200+40000+55000+5000</f>
        <v>103200</v>
      </c>
      <c r="I20" s="15"/>
      <c r="J20" s="15">
        <f t="shared" si="6"/>
        <v>1</v>
      </c>
      <c r="K20" s="15"/>
      <c r="L20" s="15">
        <v>1</v>
      </c>
      <c r="M20" s="15"/>
      <c r="N20" s="15"/>
      <c r="O20" s="15"/>
      <c r="P20" s="15">
        <f t="shared" si="0"/>
        <v>3364501</v>
      </c>
    </row>
    <row r="21" spans="1:16" ht="46.8">
      <c r="A21" s="8" t="s">
        <v>26</v>
      </c>
      <c r="B21" s="8" t="s">
        <v>27</v>
      </c>
      <c r="C21" s="8" t="s">
        <v>28</v>
      </c>
      <c r="D21" s="12" t="s">
        <v>29</v>
      </c>
      <c r="E21" s="13">
        <f t="shared" ref="E21:E50" si="7">F21+I21</f>
        <v>50000</v>
      </c>
      <c r="F21" s="13">
        <v>50000</v>
      </c>
      <c r="G21" s="13">
        <v>0</v>
      </c>
      <c r="H21" s="13">
        <v>0</v>
      </c>
      <c r="I21" s="13">
        <v>0</v>
      </c>
      <c r="J21" s="13">
        <f t="shared" ref="J21:J50" si="8">L21+O21</f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f t="shared" si="0"/>
        <v>50000</v>
      </c>
    </row>
    <row r="22" spans="1:16" ht="31.2">
      <c r="A22" s="8" t="s">
        <v>30</v>
      </c>
      <c r="B22" s="8" t="s">
        <v>31</v>
      </c>
      <c r="C22" s="8" t="s">
        <v>32</v>
      </c>
      <c r="D22" s="12" t="s">
        <v>33</v>
      </c>
      <c r="E22" s="13">
        <f t="shared" si="7"/>
        <v>2589200</v>
      </c>
      <c r="F22" s="13">
        <v>2589200</v>
      </c>
      <c r="G22" s="13">
        <v>0</v>
      </c>
      <c r="H22" s="13">
        <v>0</v>
      </c>
      <c r="I22" s="13">
        <v>0</v>
      </c>
      <c r="J22" s="13">
        <f t="shared" si="8"/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f t="shared" si="0"/>
        <v>2589200</v>
      </c>
    </row>
    <row r="23" spans="1:16" ht="31.2">
      <c r="A23" s="8" t="s">
        <v>34</v>
      </c>
      <c r="B23" s="8" t="s">
        <v>35</v>
      </c>
      <c r="C23" s="8" t="s">
        <v>36</v>
      </c>
      <c r="D23" s="12" t="s">
        <v>37</v>
      </c>
      <c r="E23" s="13">
        <f t="shared" si="7"/>
        <v>34002900</v>
      </c>
      <c r="F23" s="13">
        <f>34002900</f>
        <v>34002900</v>
      </c>
      <c r="G23" s="13">
        <v>0</v>
      </c>
      <c r="H23" s="13">
        <v>0</v>
      </c>
      <c r="I23" s="13">
        <v>0</v>
      </c>
      <c r="J23" s="13">
        <f t="shared" si="8"/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f t="shared" si="0"/>
        <v>34002900</v>
      </c>
    </row>
    <row r="24" spans="1:16">
      <c r="A24" s="8" t="s">
        <v>38</v>
      </c>
      <c r="B24" s="8" t="s">
        <v>39</v>
      </c>
      <c r="C24" s="8" t="s">
        <v>40</v>
      </c>
      <c r="D24" s="12" t="s">
        <v>41</v>
      </c>
      <c r="E24" s="13">
        <f t="shared" si="7"/>
        <v>8701800</v>
      </c>
      <c r="F24" s="13">
        <v>8701800</v>
      </c>
      <c r="G24" s="13">
        <v>0</v>
      </c>
      <c r="H24" s="13">
        <v>0</v>
      </c>
      <c r="I24" s="13">
        <v>0</v>
      </c>
      <c r="J24" s="13">
        <f t="shared" si="8"/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f t="shared" si="0"/>
        <v>8701800</v>
      </c>
    </row>
    <row r="25" spans="1:16" ht="62.4">
      <c r="A25" s="8" t="s">
        <v>42</v>
      </c>
      <c r="B25" s="8" t="s">
        <v>43</v>
      </c>
      <c r="C25" s="8" t="s">
        <v>44</v>
      </c>
      <c r="D25" s="12" t="s">
        <v>45</v>
      </c>
      <c r="E25" s="13">
        <f t="shared" si="7"/>
        <v>4545400</v>
      </c>
      <c r="F25" s="13">
        <f>13402400-8857000</f>
        <v>4545400</v>
      </c>
      <c r="G25" s="13">
        <v>0</v>
      </c>
      <c r="H25" s="13">
        <v>0</v>
      </c>
      <c r="I25" s="13">
        <v>0</v>
      </c>
      <c r="J25" s="13">
        <f t="shared" si="8"/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f t="shared" si="0"/>
        <v>4545400</v>
      </c>
    </row>
    <row r="26" spans="1:16" ht="31.2">
      <c r="A26" s="8" t="s">
        <v>46</v>
      </c>
      <c r="B26" s="8" t="s">
        <v>47</v>
      </c>
      <c r="C26" s="8" t="s">
        <v>48</v>
      </c>
      <c r="D26" s="12" t="s">
        <v>49</v>
      </c>
      <c r="E26" s="13">
        <f t="shared" si="7"/>
        <v>10835900</v>
      </c>
      <c r="F26" s="13">
        <f>SUM(F27:F29)</f>
        <v>10835900</v>
      </c>
      <c r="G26" s="13">
        <v>0</v>
      </c>
      <c r="H26" s="13">
        <v>0</v>
      </c>
      <c r="I26" s="13">
        <v>0</v>
      </c>
      <c r="J26" s="13">
        <f t="shared" si="8"/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f t="shared" si="0"/>
        <v>10835900</v>
      </c>
    </row>
    <row r="27" spans="1:16" s="7" customFormat="1" ht="46.8">
      <c r="A27" s="14"/>
      <c r="B27" s="14"/>
      <c r="C27" s="14"/>
      <c r="D27" s="1" t="s">
        <v>313</v>
      </c>
      <c r="E27" s="15">
        <f t="shared" si="7"/>
        <v>718300</v>
      </c>
      <c r="F27" s="15">
        <f>718300</f>
        <v>718300</v>
      </c>
      <c r="G27" s="15"/>
      <c r="H27" s="15"/>
      <c r="I27" s="15"/>
      <c r="J27" s="15"/>
      <c r="K27" s="15"/>
      <c r="L27" s="15"/>
      <c r="M27" s="15"/>
      <c r="N27" s="15"/>
      <c r="O27" s="15"/>
      <c r="P27" s="15">
        <f t="shared" si="0"/>
        <v>718300</v>
      </c>
    </row>
    <row r="28" spans="1:16" s="7" customFormat="1" ht="62.4">
      <c r="A28" s="14"/>
      <c r="B28" s="14"/>
      <c r="C28" s="14"/>
      <c r="D28" s="1" t="s">
        <v>311</v>
      </c>
      <c r="E28" s="15">
        <f t="shared" si="7"/>
        <v>8857000</v>
      </c>
      <c r="F28" s="15">
        <v>8857000</v>
      </c>
      <c r="G28" s="15"/>
      <c r="H28" s="15"/>
      <c r="I28" s="15"/>
      <c r="J28" s="15"/>
      <c r="K28" s="15"/>
      <c r="L28" s="15"/>
      <c r="M28" s="15"/>
      <c r="N28" s="15"/>
      <c r="O28" s="15"/>
      <c r="P28" s="15">
        <f t="shared" si="0"/>
        <v>8857000</v>
      </c>
    </row>
    <row r="29" spans="1:16" s="7" customFormat="1" ht="62.4">
      <c r="A29" s="14"/>
      <c r="B29" s="14"/>
      <c r="C29" s="14"/>
      <c r="D29" s="1" t="s">
        <v>314</v>
      </c>
      <c r="E29" s="15">
        <f t="shared" si="7"/>
        <v>1260600</v>
      </c>
      <c r="F29" s="15">
        <v>1260600</v>
      </c>
      <c r="G29" s="15"/>
      <c r="H29" s="15"/>
      <c r="I29" s="15"/>
      <c r="J29" s="15"/>
      <c r="K29" s="15"/>
      <c r="L29" s="15"/>
      <c r="M29" s="15"/>
      <c r="N29" s="15"/>
      <c r="O29" s="15"/>
      <c r="P29" s="15">
        <f t="shared" si="0"/>
        <v>1260600</v>
      </c>
    </row>
    <row r="30" spans="1:16" ht="31.2">
      <c r="A30" s="8" t="s">
        <v>50</v>
      </c>
      <c r="B30" s="8" t="s">
        <v>51</v>
      </c>
      <c r="C30" s="8" t="s">
        <v>52</v>
      </c>
      <c r="D30" s="12" t="s">
        <v>53</v>
      </c>
      <c r="E30" s="13">
        <f t="shared" si="7"/>
        <v>5000000</v>
      </c>
      <c r="F30" s="13">
        <v>5000000</v>
      </c>
      <c r="G30" s="13">
        <v>0</v>
      </c>
      <c r="H30" s="13">
        <v>0</v>
      </c>
      <c r="I30" s="13">
        <v>0</v>
      </c>
      <c r="J30" s="13">
        <f t="shared" si="8"/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f t="shared" si="0"/>
        <v>5000000</v>
      </c>
    </row>
    <row r="31" spans="1:16" ht="31.2">
      <c r="A31" s="8" t="s">
        <v>54</v>
      </c>
      <c r="B31" s="8" t="s">
        <v>55</v>
      </c>
      <c r="C31" s="8" t="s">
        <v>56</v>
      </c>
      <c r="D31" s="12" t="s">
        <v>57</v>
      </c>
      <c r="E31" s="13">
        <f t="shared" si="7"/>
        <v>8141500</v>
      </c>
      <c r="F31" s="13">
        <f>SUM(F32:F34)</f>
        <v>8141500</v>
      </c>
      <c r="G31" s="13">
        <f t="shared" ref="G31:I31" si="9">SUM(G32:G34)</f>
        <v>0</v>
      </c>
      <c r="H31" s="13">
        <f t="shared" si="9"/>
        <v>0</v>
      </c>
      <c r="I31" s="13">
        <f t="shared" si="9"/>
        <v>0</v>
      </c>
      <c r="J31" s="13">
        <f t="shared" si="8"/>
        <v>0</v>
      </c>
      <c r="K31" s="13">
        <f>SUM(K32:K34)</f>
        <v>0</v>
      </c>
      <c r="L31" s="13">
        <f t="shared" ref="L31:O31" si="10">SUM(L32:L34)</f>
        <v>0</v>
      </c>
      <c r="M31" s="13">
        <f t="shared" si="10"/>
        <v>0</v>
      </c>
      <c r="N31" s="13">
        <f t="shared" si="10"/>
        <v>0</v>
      </c>
      <c r="O31" s="13">
        <f t="shared" si="10"/>
        <v>0</v>
      </c>
      <c r="P31" s="13">
        <f t="shared" si="0"/>
        <v>8141500</v>
      </c>
    </row>
    <row r="32" spans="1:16" s="7" customFormat="1" ht="46.8">
      <c r="A32" s="14"/>
      <c r="B32" s="14"/>
      <c r="C32" s="14"/>
      <c r="D32" s="1" t="s">
        <v>281</v>
      </c>
      <c r="E32" s="15">
        <f>F32+I32</f>
        <v>3978400</v>
      </c>
      <c r="F32" s="15">
        <v>3978400</v>
      </c>
      <c r="G32" s="15"/>
      <c r="H32" s="15"/>
      <c r="I32" s="15"/>
      <c r="J32" s="15">
        <f t="shared" si="8"/>
        <v>0</v>
      </c>
      <c r="K32" s="15"/>
      <c r="L32" s="15"/>
      <c r="M32" s="15"/>
      <c r="N32" s="15"/>
      <c r="O32" s="15"/>
      <c r="P32" s="15">
        <f t="shared" si="0"/>
        <v>3978400</v>
      </c>
    </row>
    <row r="33" spans="1:16" s="7" customFormat="1" ht="62.4">
      <c r="A33" s="14"/>
      <c r="B33" s="14"/>
      <c r="C33" s="14"/>
      <c r="D33" s="1" t="s">
        <v>282</v>
      </c>
      <c r="E33" s="15">
        <f t="shared" ref="E33:E35" si="11">F33+I33</f>
        <v>1888200</v>
      </c>
      <c r="F33" s="15">
        <v>1888200</v>
      </c>
      <c r="G33" s="15"/>
      <c r="H33" s="15"/>
      <c r="I33" s="15"/>
      <c r="J33" s="15">
        <f t="shared" si="8"/>
        <v>0</v>
      </c>
      <c r="K33" s="15"/>
      <c r="L33" s="15"/>
      <c r="M33" s="15"/>
      <c r="N33" s="15"/>
      <c r="O33" s="15"/>
      <c r="P33" s="15">
        <f t="shared" si="0"/>
        <v>1888200</v>
      </c>
    </row>
    <row r="34" spans="1:16" s="7" customFormat="1" ht="46.8">
      <c r="A34" s="14"/>
      <c r="B34" s="14"/>
      <c r="C34" s="14"/>
      <c r="D34" s="1" t="s">
        <v>283</v>
      </c>
      <c r="E34" s="15">
        <f t="shared" si="11"/>
        <v>2274900</v>
      </c>
      <c r="F34" s="15">
        <v>2274900</v>
      </c>
      <c r="G34" s="15"/>
      <c r="H34" s="15"/>
      <c r="I34" s="15"/>
      <c r="J34" s="15">
        <f t="shared" si="8"/>
        <v>0</v>
      </c>
      <c r="K34" s="15"/>
      <c r="L34" s="15"/>
      <c r="M34" s="15"/>
      <c r="N34" s="15"/>
      <c r="O34" s="15"/>
      <c r="P34" s="15">
        <f t="shared" si="0"/>
        <v>2274900</v>
      </c>
    </row>
    <row r="35" spans="1:16" s="21" customFormat="1" ht="31.2">
      <c r="A35" s="16" t="s">
        <v>316</v>
      </c>
      <c r="B35" s="20">
        <v>6090</v>
      </c>
      <c r="C35" s="16" t="s">
        <v>318</v>
      </c>
      <c r="D35" s="12" t="s">
        <v>317</v>
      </c>
      <c r="E35" s="13">
        <f t="shared" si="11"/>
        <v>84110784</v>
      </c>
      <c r="F35" s="13">
        <f>81509300+1081484+1500000+20000+1000000-1000000</f>
        <v>84110784</v>
      </c>
      <c r="G35" s="13"/>
      <c r="H35" s="13"/>
      <c r="I35" s="13"/>
      <c r="J35" s="13">
        <f t="shared" ref="J35" si="12">L35+O35</f>
        <v>170000</v>
      </c>
      <c r="K35" s="13">
        <v>170000</v>
      </c>
      <c r="L35" s="13"/>
      <c r="M35" s="13"/>
      <c r="N35" s="13"/>
      <c r="O35" s="13">
        <v>170000</v>
      </c>
      <c r="P35" s="13">
        <f t="shared" ref="P35" si="13">E35 + J35</f>
        <v>84280784</v>
      </c>
    </row>
    <row r="36" spans="1:16" ht="46.8">
      <c r="A36" s="16" t="s">
        <v>289</v>
      </c>
      <c r="B36" s="16" t="s">
        <v>258</v>
      </c>
      <c r="C36" s="16" t="s">
        <v>259</v>
      </c>
      <c r="D36" s="12" t="s">
        <v>260</v>
      </c>
      <c r="E36" s="13">
        <f t="shared" si="7"/>
        <v>0</v>
      </c>
      <c r="F36" s="13"/>
      <c r="G36" s="13"/>
      <c r="H36" s="13"/>
      <c r="I36" s="13"/>
      <c r="J36" s="13">
        <f t="shared" si="8"/>
        <v>7000000</v>
      </c>
      <c r="K36" s="13">
        <v>7000000</v>
      </c>
      <c r="L36" s="13"/>
      <c r="M36" s="13"/>
      <c r="N36" s="13"/>
      <c r="O36" s="13">
        <v>7000000</v>
      </c>
      <c r="P36" s="13">
        <f t="shared" si="0"/>
        <v>7000000</v>
      </c>
    </row>
    <row r="37" spans="1:16" ht="31.2">
      <c r="A37" s="16" t="s">
        <v>290</v>
      </c>
      <c r="B37" s="16" t="s">
        <v>291</v>
      </c>
      <c r="C37" s="16" t="s">
        <v>293</v>
      </c>
      <c r="D37" s="12" t="s">
        <v>292</v>
      </c>
      <c r="E37" s="13">
        <f t="shared" si="7"/>
        <v>1529300</v>
      </c>
      <c r="F37" s="13">
        <f>SUM(F38:F43)</f>
        <v>1383800</v>
      </c>
      <c r="G37" s="13">
        <f t="shared" ref="G37:I37" si="14">SUM(G38:G43)</f>
        <v>0</v>
      </c>
      <c r="H37" s="13">
        <f t="shared" si="14"/>
        <v>0</v>
      </c>
      <c r="I37" s="13">
        <f t="shared" si="14"/>
        <v>145500</v>
      </c>
      <c r="J37" s="13">
        <f t="shared" si="8"/>
        <v>0</v>
      </c>
      <c r="K37" s="13"/>
      <c r="L37" s="13"/>
      <c r="M37" s="13"/>
      <c r="N37" s="13"/>
      <c r="O37" s="13"/>
      <c r="P37" s="13">
        <f t="shared" si="0"/>
        <v>1529300</v>
      </c>
    </row>
    <row r="38" spans="1:16" ht="46.8">
      <c r="A38" s="16"/>
      <c r="B38" s="16"/>
      <c r="C38" s="16"/>
      <c r="D38" s="1" t="s">
        <v>20</v>
      </c>
      <c r="E38" s="15">
        <f t="shared" si="7"/>
        <v>1287300</v>
      </c>
      <c r="F38" s="15">
        <v>1287300</v>
      </c>
      <c r="G38" s="13"/>
      <c r="H38" s="13"/>
      <c r="I38" s="13"/>
      <c r="J38" s="13"/>
      <c r="K38" s="13"/>
      <c r="L38" s="13"/>
      <c r="M38" s="13"/>
      <c r="N38" s="13"/>
      <c r="O38" s="13"/>
      <c r="P38" s="15">
        <f t="shared" si="0"/>
        <v>1287300</v>
      </c>
    </row>
    <row r="39" spans="1:16" ht="46.8">
      <c r="A39" s="16"/>
      <c r="B39" s="16"/>
      <c r="C39" s="16"/>
      <c r="D39" s="1" t="s">
        <v>281</v>
      </c>
      <c r="E39" s="15">
        <f t="shared" si="7"/>
        <v>10400</v>
      </c>
      <c r="F39" s="15">
        <v>10400</v>
      </c>
      <c r="G39" s="13"/>
      <c r="H39" s="13"/>
      <c r="I39" s="13"/>
      <c r="J39" s="13"/>
      <c r="K39" s="13"/>
      <c r="L39" s="13"/>
      <c r="M39" s="13"/>
      <c r="N39" s="13"/>
      <c r="O39" s="13"/>
      <c r="P39" s="15">
        <f t="shared" si="0"/>
        <v>10400</v>
      </c>
    </row>
    <row r="40" spans="1:16" ht="62.4">
      <c r="A40" s="16"/>
      <c r="B40" s="16"/>
      <c r="C40" s="16"/>
      <c r="D40" s="1" t="s">
        <v>282</v>
      </c>
      <c r="E40" s="15">
        <f t="shared" si="7"/>
        <v>18800</v>
      </c>
      <c r="F40" s="15">
        <v>18800</v>
      </c>
      <c r="G40" s="13"/>
      <c r="H40" s="13"/>
      <c r="I40" s="13"/>
      <c r="J40" s="13"/>
      <c r="K40" s="13"/>
      <c r="L40" s="13"/>
      <c r="M40" s="13"/>
      <c r="N40" s="13"/>
      <c r="O40" s="13"/>
      <c r="P40" s="15">
        <f t="shared" si="0"/>
        <v>18800</v>
      </c>
    </row>
    <row r="41" spans="1:16" ht="46.8">
      <c r="A41" s="16"/>
      <c r="B41" s="16"/>
      <c r="C41" s="16"/>
      <c r="D41" s="1" t="s">
        <v>283</v>
      </c>
      <c r="E41" s="15">
        <f t="shared" si="7"/>
        <v>10400</v>
      </c>
      <c r="F41" s="15">
        <v>10400</v>
      </c>
      <c r="G41" s="13"/>
      <c r="H41" s="13"/>
      <c r="I41" s="13"/>
      <c r="J41" s="13">
        <f t="shared" ref="J41:J44" si="15">L41+O41</f>
        <v>0</v>
      </c>
      <c r="K41" s="13"/>
      <c r="L41" s="13"/>
      <c r="M41" s="13"/>
      <c r="N41" s="13"/>
      <c r="O41" s="13"/>
      <c r="P41" s="15">
        <f t="shared" si="0"/>
        <v>10400</v>
      </c>
    </row>
    <row r="42" spans="1:16" ht="62.4">
      <c r="A42" s="16"/>
      <c r="B42" s="16"/>
      <c r="C42" s="16"/>
      <c r="D42" s="1" t="s">
        <v>311</v>
      </c>
      <c r="E42" s="15">
        <f t="shared" si="7"/>
        <v>145500</v>
      </c>
      <c r="F42" s="15"/>
      <c r="G42" s="13"/>
      <c r="H42" s="13"/>
      <c r="I42" s="15">
        <v>145500</v>
      </c>
      <c r="J42" s="13">
        <f t="shared" si="15"/>
        <v>0</v>
      </c>
      <c r="K42" s="13"/>
      <c r="L42" s="13"/>
      <c r="M42" s="13"/>
      <c r="N42" s="13"/>
      <c r="O42" s="13"/>
      <c r="P42" s="15">
        <f t="shared" si="0"/>
        <v>145500</v>
      </c>
    </row>
    <row r="43" spans="1:16" ht="46.8">
      <c r="A43" s="16"/>
      <c r="B43" s="16"/>
      <c r="C43" s="16"/>
      <c r="D43" s="1" t="s">
        <v>312</v>
      </c>
      <c r="E43" s="15">
        <f t="shared" si="7"/>
        <v>56900</v>
      </c>
      <c r="F43" s="15">
        <v>56900</v>
      </c>
      <c r="G43" s="13"/>
      <c r="H43" s="13"/>
      <c r="I43" s="13"/>
      <c r="J43" s="13">
        <f t="shared" si="15"/>
        <v>0</v>
      </c>
      <c r="K43" s="13"/>
      <c r="L43" s="13"/>
      <c r="M43" s="13"/>
      <c r="N43" s="13"/>
      <c r="O43" s="13"/>
      <c r="P43" s="15">
        <f t="shared" si="0"/>
        <v>56900</v>
      </c>
    </row>
    <row r="44" spans="1:16">
      <c r="A44" s="16" t="s">
        <v>344</v>
      </c>
      <c r="B44" s="16" t="s">
        <v>345</v>
      </c>
      <c r="C44" s="16" t="s">
        <v>346</v>
      </c>
      <c r="D44" s="12" t="s">
        <v>347</v>
      </c>
      <c r="E44" s="13">
        <f t="shared" si="7"/>
        <v>0</v>
      </c>
      <c r="F44" s="15"/>
      <c r="G44" s="13"/>
      <c r="H44" s="13"/>
      <c r="I44" s="13"/>
      <c r="J44" s="13">
        <f t="shared" si="15"/>
        <v>1000000</v>
      </c>
      <c r="K44" s="13">
        <v>1000000</v>
      </c>
      <c r="L44" s="13"/>
      <c r="M44" s="13"/>
      <c r="N44" s="13"/>
      <c r="O44" s="13">
        <v>1000000</v>
      </c>
      <c r="P44" s="13">
        <f>E44 + J44</f>
        <v>1000000</v>
      </c>
    </row>
    <row r="45" spans="1:16" ht="31.2">
      <c r="A45" s="8" t="s">
        <v>58</v>
      </c>
      <c r="B45" s="8" t="s">
        <v>59</v>
      </c>
      <c r="C45" s="8" t="s">
        <v>60</v>
      </c>
      <c r="D45" s="12" t="s">
        <v>61</v>
      </c>
      <c r="E45" s="13">
        <f>F45+I45</f>
        <v>112000</v>
      </c>
      <c r="F45" s="13">
        <v>112000</v>
      </c>
      <c r="G45" s="13">
        <v>0</v>
      </c>
      <c r="H45" s="13">
        <v>0</v>
      </c>
      <c r="I45" s="13">
        <v>0</v>
      </c>
      <c r="J45" s="13">
        <f>L45+O45</f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f>E45 + J45</f>
        <v>112000</v>
      </c>
    </row>
    <row r="46" spans="1:16" ht="46.8">
      <c r="A46" s="16" t="s">
        <v>294</v>
      </c>
      <c r="B46" s="16">
        <v>8110</v>
      </c>
      <c r="C46" s="16" t="s">
        <v>242</v>
      </c>
      <c r="D46" s="12" t="s">
        <v>243</v>
      </c>
      <c r="E46" s="13">
        <f>F46+I46</f>
        <v>42000</v>
      </c>
      <c r="F46" s="13">
        <v>42000</v>
      </c>
      <c r="G46" s="13"/>
      <c r="H46" s="13"/>
      <c r="I46" s="13"/>
      <c r="J46" s="13"/>
      <c r="K46" s="13"/>
      <c r="L46" s="13"/>
      <c r="M46" s="13"/>
      <c r="N46" s="13"/>
      <c r="O46" s="13"/>
      <c r="P46" s="13">
        <f>E46 + J46</f>
        <v>42000</v>
      </c>
    </row>
    <row r="47" spans="1:16" ht="31.2">
      <c r="A47" s="8" t="s">
        <v>62</v>
      </c>
      <c r="B47" s="8" t="s">
        <v>63</v>
      </c>
      <c r="C47" s="8" t="s">
        <v>64</v>
      </c>
      <c r="D47" s="12" t="s">
        <v>65</v>
      </c>
      <c r="E47" s="13">
        <f t="shared" si="7"/>
        <v>24248400</v>
      </c>
      <c r="F47" s="13">
        <v>24248400</v>
      </c>
      <c r="G47" s="13">
        <f>17626300+3877000</f>
        <v>21503300</v>
      </c>
      <c r="H47" s="13">
        <f>53200+9300</f>
        <v>62500</v>
      </c>
      <c r="I47" s="13">
        <v>0</v>
      </c>
      <c r="J47" s="13">
        <f t="shared" si="8"/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f t="shared" si="0"/>
        <v>24248400</v>
      </c>
    </row>
    <row r="48" spans="1:16" ht="31.2">
      <c r="A48" s="8" t="s">
        <v>66</v>
      </c>
      <c r="B48" s="8" t="s">
        <v>67</v>
      </c>
      <c r="C48" s="8" t="s">
        <v>64</v>
      </c>
      <c r="D48" s="12" t="s">
        <v>68</v>
      </c>
      <c r="E48" s="13">
        <f t="shared" si="7"/>
        <v>2083400</v>
      </c>
      <c r="F48" s="13">
        <f>2103400-20000</f>
        <v>2083400</v>
      </c>
      <c r="G48" s="13">
        <v>0</v>
      </c>
      <c r="H48" s="13">
        <v>0</v>
      </c>
      <c r="I48" s="13">
        <v>0</v>
      </c>
      <c r="J48" s="13">
        <f t="shared" si="8"/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f t="shared" si="0"/>
        <v>2083400</v>
      </c>
    </row>
    <row r="49" spans="1:17" ht="31.2">
      <c r="A49" s="8" t="s">
        <v>69</v>
      </c>
      <c r="B49" s="8" t="s">
        <v>70</v>
      </c>
      <c r="C49" s="8" t="s">
        <v>64</v>
      </c>
      <c r="D49" s="12" t="s">
        <v>71</v>
      </c>
      <c r="E49" s="13">
        <f t="shared" si="7"/>
        <v>2673200</v>
      </c>
      <c r="F49" s="13">
        <v>2673200</v>
      </c>
      <c r="G49" s="13">
        <v>0</v>
      </c>
      <c r="H49" s="13">
        <v>0</v>
      </c>
      <c r="I49" s="13">
        <v>0</v>
      </c>
      <c r="J49" s="13">
        <f t="shared" si="8"/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f t="shared" si="0"/>
        <v>2673200</v>
      </c>
    </row>
    <row r="50" spans="1:17" ht="31.2">
      <c r="A50" s="16" t="s">
        <v>279</v>
      </c>
      <c r="B50" s="8">
        <v>8340</v>
      </c>
      <c r="C50" s="8" t="s">
        <v>277</v>
      </c>
      <c r="D50" s="12" t="s">
        <v>278</v>
      </c>
      <c r="E50" s="13">
        <f t="shared" si="7"/>
        <v>0</v>
      </c>
      <c r="F50" s="13"/>
      <c r="G50" s="13"/>
      <c r="H50" s="13"/>
      <c r="I50" s="13"/>
      <c r="J50" s="13">
        <f t="shared" si="8"/>
        <v>900000</v>
      </c>
      <c r="K50" s="13"/>
      <c r="L50" s="13">
        <v>900000</v>
      </c>
      <c r="M50" s="13"/>
      <c r="N50" s="13"/>
      <c r="O50" s="13"/>
      <c r="P50" s="13">
        <f t="shared" si="0"/>
        <v>900000</v>
      </c>
    </row>
    <row r="51" spans="1:17" ht="46.8">
      <c r="A51" s="9" t="s">
        <v>72</v>
      </c>
      <c r="B51" s="9" t="s">
        <v>19</v>
      </c>
      <c r="C51" s="9" t="s">
        <v>19</v>
      </c>
      <c r="D51" s="10" t="s">
        <v>73</v>
      </c>
      <c r="E51" s="11">
        <f>F51+I51</f>
        <v>398428500</v>
      </c>
      <c r="F51" s="11">
        <f>F52</f>
        <v>398428500</v>
      </c>
      <c r="G51" s="11">
        <f>G52</f>
        <v>294627100</v>
      </c>
      <c r="H51" s="11">
        <f>H52</f>
        <v>36013400</v>
      </c>
      <c r="I51" s="11">
        <f>I52</f>
        <v>0</v>
      </c>
      <c r="J51" s="11">
        <f>L51+O51</f>
        <v>11784700</v>
      </c>
      <c r="K51" s="11">
        <f>K52</f>
        <v>2000000</v>
      </c>
      <c r="L51" s="11">
        <f t="shared" ref="L51:O51" si="16">L52</f>
        <v>9784700</v>
      </c>
      <c r="M51" s="11">
        <f t="shared" si="16"/>
        <v>0</v>
      </c>
      <c r="N51" s="11">
        <f t="shared" si="16"/>
        <v>0</v>
      </c>
      <c r="O51" s="11">
        <f t="shared" si="16"/>
        <v>2000000</v>
      </c>
      <c r="P51" s="11">
        <f t="shared" si="0"/>
        <v>410213200</v>
      </c>
      <c r="Q51" s="5">
        <f>297417000-E51-K54-K55+E57+E58</f>
        <v>200000</v>
      </c>
    </row>
    <row r="52" spans="1:17" ht="46.8">
      <c r="A52" s="9" t="s">
        <v>74</v>
      </c>
      <c r="B52" s="9" t="s">
        <v>19</v>
      </c>
      <c r="C52" s="9" t="s">
        <v>19</v>
      </c>
      <c r="D52" s="10" t="s">
        <v>73</v>
      </c>
      <c r="E52" s="11">
        <f>F52+I52</f>
        <v>398428500</v>
      </c>
      <c r="F52" s="11">
        <f>SUM(F53:F68)</f>
        <v>398428500</v>
      </c>
      <c r="G52" s="11">
        <f>SUM(G53:G68)</f>
        <v>294627100</v>
      </c>
      <c r="H52" s="11">
        <f>SUM(H53:H68)</f>
        <v>36013400</v>
      </c>
      <c r="I52" s="11">
        <f>SUM(I53:I68)</f>
        <v>0</v>
      </c>
      <c r="J52" s="11">
        <f>L52+O52</f>
        <v>11784700</v>
      </c>
      <c r="K52" s="11">
        <f>SUM(K53:K68)</f>
        <v>2000000</v>
      </c>
      <c r="L52" s="11">
        <f>SUM(L53:L68)</f>
        <v>9784700</v>
      </c>
      <c r="M52" s="11">
        <f>SUM(M53:M68)</f>
        <v>0</v>
      </c>
      <c r="N52" s="11">
        <f>SUM(N53:N68)</f>
        <v>0</v>
      </c>
      <c r="O52" s="11">
        <f>SUM(O53:O68)</f>
        <v>2000000</v>
      </c>
      <c r="P52" s="11">
        <f>E52 + J52</f>
        <v>410213200</v>
      </c>
    </row>
    <row r="53" spans="1:17" ht="46.8">
      <c r="A53" s="8" t="s">
        <v>75</v>
      </c>
      <c r="B53" s="8" t="s">
        <v>76</v>
      </c>
      <c r="C53" s="8" t="s">
        <v>24</v>
      </c>
      <c r="D53" s="12" t="s">
        <v>77</v>
      </c>
      <c r="E53" s="13">
        <f>F53+I53</f>
        <v>5954600</v>
      </c>
      <c r="F53" s="13">
        <v>5954600</v>
      </c>
      <c r="G53" s="13">
        <f>4429700+974500</f>
        <v>5404200</v>
      </c>
      <c r="H53" s="13">
        <f>222100+10400+210000+8800</f>
        <v>451300</v>
      </c>
      <c r="I53" s="13">
        <v>0</v>
      </c>
      <c r="J53" s="13">
        <f>L53+O53</f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f t="shared" si="0"/>
        <v>5954600</v>
      </c>
    </row>
    <row r="54" spans="1:17">
      <c r="A54" s="8" t="s">
        <v>78</v>
      </c>
      <c r="B54" s="8" t="s">
        <v>79</v>
      </c>
      <c r="C54" s="8" t="s">
        <v>80</v>
      </c>
      <c r="D54" s="12" t="s">
        <v>81</v>
      </c>
      <c r="E54" s="13">
        <f t="shared" ref="E54:E67" si="17">F54+I54</f>
        <v>101843700</v>
      </c>
      <c r="F54" s="13">
        <v>101843700</v>
      </c>
      <c r="G54" s="13">
        <f>65000000+14300000</f>
        <v>79300000</v>
      </c>
      <c r="H54" s="13">
        <f>8000000+660000+3656100+157600+320000</f>
        <v>12793700</v>
      </c>
      <c r="I54" s="13">
        <v>0</v>
      </c>
      <c r="J54" s="13">
        <f t="shared" ref="J54:J68" si="18">L54+O54</f>
        <v>9387650</v>
      </c>
      <c r="K54" s="13"/>
      <c r="L54" s="13">
        <v>9387650</v>
      </c>
      <c r="M54" s="13">
        <v>0</v>
      </c>
      <c r="N54" s="13">
        <v>0</v>
      </c>
      <c r="O54" s="13"/>
      <c r="P54" s="13">
        <f t="shared" si="0"/>
        <v>111231350</v>
      </c>
    </row>
    <row r="55" spans="1:17" ht="46.8">
      <c r="A55" s="8" t="s">
        <v>82</v>
      </c>
      <c r="B55" s="8" t="s">
        <v>83</v>
      </c>
      <c r="C55" s="8" t="s">
        <v>84</v>
      </c>
      <c r="D55" s="12" t="s">
        <v>85</v>
      </c>
      <c r="E55" s="13">
        <f t="shared" si="17"/>
        <v>95351700</v>
      </c>
      <c r="F55" s="13">
        <v>95351700</v>
      </c>
      <c r="G55" s="13">
        <f>38229200+8410300</f>
        <v>46639500</v>
      </c>
      <c r="H55" s="13">
        <f>10200000+608000+4800000+900000+675000</f>
        <v>17183000</v>
      </c>
      <c r="I55" s="13">
        <v>0</v>
      </c>
      <c r="J55" s="13">
        <f t="shared" si="18"/>
        <v>2007689</v>
      </c>
      <c r="K55" s="13">
        <v>1800000</v>
      </c>
      <c r="L55" s="13">
        <v>207689</v>
      </c>
      <c r="M55" s="13">
        <v>0</v>
      </c>
      <c r="N55" s="13">
        <v>0</v>
      </c>
      <c r="O55" s="13">
        <v>1800000</v>
      </c>
      <c r="P55" s="13">
        <f t="shared" si="0"/>
        <v>97359389</v>
      </c>
      <c r="Q55" s="5">
        <f>F55+K55</f>
        <v>97151700</v>
      </c>
    </row>
    <row r="56" spans="1:17" ht="93.6">
      <c r="A56" s="8" t="s">
        <v>86</v>
      </c>
      <c r="B56" s="8" t="s">
        <v>87</v>
      </c>
      <c r="C56" s="8" t="s">
        <v>88</v>
      </c>
      <c r="D56" s="12" t="s">
        <v>89</v>
      </c>
      <c r="E56" s="13">
        <f t="shared" si="17"/>
        <v>14574000</v>
      </c>
      <c r="F56" s="13">
        <v>14574000</v>
      </c>
      <c r="G56" s="13">
        <f>7769100+1735200</f>
        <v>9504300</v>
      </c>
      <c r="H56" s="13">
        <f>871200+80500+661100+37300</f>
        <v>1650100</v>
      </c>
      <c r="I56" s="13">
        <v>0</v>
      </c>
      <c r="J56" s="13">
        <f t="shared" si="18"/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f t="shared" si="0"/>
        <v>14574000</v>
      </c>
    </row>
    <row r="57" spans="1:17" s="21" customFormat="1" ht="46.8">
      <c r="A57" s="20" t="s">
        <v>90</v>
      </c>
      <c r="B57" s="20" t="s">
        <v>91</v>
      </c>
      <c r="C57" s="20" t="s">
        <v>84</v>
      </c>
      <c r="D57" s="12" t="s">
        <v>92</v>
      </c>
      <c r="E57" s="13">
        <f t="shared" si="17"/>
        <v>92366200</v>
      </c>
      <c r="F57" s="13">
        <v>92366200</v>
      </c>
      <c r="G57" s="13">
        <v>92366200</v>
      </c>
      <c r="H57" s="13">
        <v>0</v>
      </c>
      <c r="I57" s="13">
        <v>0</v>
      </c>
      <c r="J57" s="13">
        <f t="shared" si="18"/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f t="shared" si="0"/>
        <v>92366200</v>
      </c>
    </row>
    <row r="58" spans="1:17" s="21" customFormat="1" ht="93.6">
      <c r="A58" s="20" t="s">
        <v>93</v>
      </c>
      <c r="B58" s="20" t="s">
        <v>94</v>
      </c>
      <c r="C58" s="20" t="s">
        <v>88</v>
      </c>
      <c r="D58" s="12" t="s">
        <v>95</v>
      </c>
      <c r="E58" s="13">
        <f t="shared" si="17"/>
        <v>10645300</v>
      </c>
      <c r="F58" s="13">
        <v>10645300</v>
      </c>
      <c r="G58" s="13">
        <v>10645300</v>
      </c>
      <c r="H58" s="13">
        <v>0</v>
      </c>
      <c r="I58" s="13">
        <v>0</v>
      </c>
      <c r="J58" s="13">
        <f t="shared" si="18"/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f t="shared" si="0"/>
        <v>10645300</v>
      </c>
    </row>
    <row r="59" spans="1:17" ht="46.8">
      <c r="A59" s="8" t="s">
        <v>96</v>
      </c>
      <c r="B59" s="8" t="s">
        <v>97</v>
      </c>
      <c r="C59" s="8" t="s">
        <v>98</v>
      </c>
      <c r="D59" s="12" t="s">
        <v>99</v>
      </c>
      <c r="E59" s="13">
        <f t="shared" si="17"/>
        <v>22476900</v>
      </c>
      <c r="F59" s="13">
        <v>22476900</v>
      </c>
      <c r="G59" s="13">
        <f>15583500+3428400</f>
        <v>19011900</v>
      </c>
      <c r="H59" s="13">
        <f>217600+352800+674300+79100</f>
        <v>1323800</v>
      </c>
      <c r="I59" s="13">
        <v>0</v>
      </c>
      <c r="J59" s="13">
        <f t="shared" si="18"/>
        <v>189360</v>
      </c>
      <c r="K59" s="13">
        <v>0</v>
      </c>
      <c r="L59" s="13">
        <v>189360</v>
      </c>
      <c r="M59" s="13">
        <v>0</v>
      </c>
      <c r="N59" s="13">
        <v>0</v>
      </c>
      <c r="O59" s="13">
        <v>0</v>
      </c>
      <c r="P59" s="13">
        <f t="shared" si="0"/>
        <v>22666260</v>
      </c>
    </row>
    <row r="60" spans="1:17" ht="46.8">
      <c r="A60" s="8" t="s">
        <v>100</v>
      </c>
      <c r="B60" s="8" t="s">
        <v>101</v>
      </c>
      <c r="C60" s="8" t="s">
        <v>102</v>
      </c>
      <c r="D60" s="12" t="s">
        <v>103</v>
      </c>
      <c r="E60" s="13">
        <f t="shared" si="17"/>
        <v>15000</v>
      </c>
      <c r="F60" s="13">
        <v>15000</v>
      </c>
      <c r="G60" s="13">
        <v>0</v>
      </c>
      <c r="H60" s="13">
        <v>0</v>
      </c>
      <c r="I60" s="13">
        <v>0</v>
      </c>
      <c r="J60" s="13">
        <f t="shared" si="18"/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f t="shared" si="0"/>
        <v>15000</v>
      </c>
    </row>
    <row r="61" spans="1:17" ht="31.2">
      <c r="A61" s="8" t="s">
        <v>104</v>
      </c>
      <c r="B61" s="8" t="s">
        <v>105</v>
      </c>
      <c r="C61" s="8" t="s">
        <v>106</v>
      </c>
      <c r="D61" s="12" t="s">
        <v>107</v>
      </c>
      <c r="E61" s="13">
        <f t="shared" si="17"/>
        <v>27706400</v>
      </c>
      <c r="F61" s="13">
        <f>27706400</f>
        <v>27706400</v>
      </c>
      <c r="G61" s="13">
        <f>13803000+3036500</f>
        <v>16839500</v>
      </c>
      <c r="H61" s="13">
        <f>605500+60000+850000+111400</f>
        <v>1626900</v>
      </c>
      <c r="I61" s="13"/>
      <c r="J61" s="13">
        <f t="shared" si="18"/>
        <v>1</v>
      </c>
      <c r="K61" s="13">
        <v>0</v>
      </c>
      <c r="L61" s="13">
        <v>1</v>
      </c>
      <c r="M61" s="13">
        <v>0</v>
      </c>
      <c r="N61" s="13">
        <v>0</v>
      </c>
      <c r="O61" s="13">
        <v>0</v>
      </c>
      <c r="P61" s="13">
        <f t="shared" si="0"/>
        <v>27706401</v>
      </c>
    </row>
    <row r="62" spans="1:17" ht="46.8">
      <c r="A62" s="8" t="s">
        <v>108</v>
      </c>
      <c r="B62" s="8" t="s">
        <v>109</v>
      </c>
      <c r="C62" s="8" t="s">
        <v>106</v>
      </c>
      <c r="D62" s="12" t="s">
        <v>110</v>
      </c>
      <c r="E62" s="13">
        <f t="shared" si="17"/>
        <v>703000</v>
      </c>
      <c r="F62" s="13">
        <v>703000</v>
      </c>
      <c r="G62" s="13">
        <f>349500+76200</f>
        <v>425700</v>
      </c>
      <c r="H62" s="13">
        <f>50000+6500+58900+7900</f>
        <v>123300</v>
      </c>
      <c r="I62" s="13">
        <v>0</v>
      </c>
      <c r="J62" s="13">
        <f t="shared" si="18"/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f t="shared" si="0"/>
        <v>703000</v>
      </c>
    </row>
    <row r="63" spans="1:17" ht="46.8">
      <c r="A63" s="8" t="s">
        <v>111</v>
      </c>
      <c r="B63" s="8" t="s">
        <v>112</v>
      </c>
      <c r="C63" s="8" t="s">
        <v>106</v>
      </c>
      <c r="D63" s="12" t="s">
        <v>113</v>
      </c>
      <c r="E63" s="13">
        <f t="shared" si="17"/>
        <v>4125500</v>
      </c>
      <c r="F63" s="13">
        <v>4125500</v>
      </c>
      <c r="G63" s="13">
        <f>3167900+696900</f>
        <v>3864800</v>
      </c>
      <c r="H63" s="13">
        <f>18400+4300+15700+1800</f>
        <v>40200</v>
      </c>
      <c r="I63" s="13">
        <v>0</v>
      </c>
      <c r="J63" s="13">
        <f t="shared" si="18"/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f t="shared" si="0"/>
        <v>4125500</v>
      </c>
    </row>
    <row r="64" spans="1:17" ht="93.6">
      <c r="A64" s="8" t="s">
        <v>114</v>
      </c>
      <c r="B64" s="8" t="s">
        <v>115</v>
      </c>
      <c r="C64" s="8" t="s">
        <v>116</v>
      </c>
      <c r="D64" s="12" t="s">
        <v>117</v>
      </c>
      <c r="E64" s="13">
        <f t="shared" si="17"/>
        <v>4638400</v>
      </c>
      <c r="F64" s="13">
        <v>4638400</v>
      </c>
      <c r="G64" s="13">
        <v>0</v>
      </c>
      <c r="H64" s="13">
        <v>0</v>
      </c>
      <c r="I64" s="13">
        <v>0</v>
      </c>
      <c r="J64" s="13">
        <f t="shared" si="18"/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f t="shared" si="0"/>
        <v>4638400</v>
      </c>
    </row>
    <row r="65" spans="1:17" ht="31.2">
      <c r="A65" s="8" t="s">
        <v>118</v>
      </c>
      <c r="B65" s="8" t="s">
        <v>51</v>
      </c>
      <c r="C65" s="8" t="s">
        <v>52</v>
      </c>
      <c r="D65" s="12" t="s">
        <v>53</v>
      </c>
      <c r="E65" s="13">
        <f t="shared" si="17"/>
        <v>4101000</v>
      </c>
      <c r="F65" s="13">
        <v>4101000</v>
      </c>
      <c r="G65" s="13">
        <v>0</v>
      </c>
      <c r="H65" s="13">
        <v>0</v>
      </c>
      <c r="I65" s="13">
        <v>0</v>
      </c>
      <c r="J65" s="13">
        <f t="shared" si="18"/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f t="shared" si="0"/>
        <v>4101000</v>
      </c>
    </row>
    <row r="66" spans="1:17" ht="46.8">
      <c r="A66" s="8" t="s">
        <v>119</v>
      </c>
      <c r="B66" s="8" t="s">
        <v>120</v>
      </c>
      <c r="C66" s="8" t="s">
        <v>121</v>
      </c>
      <c r="D66" s="12" t="s">
        <v>122</v>
      </c>
      <c r="E66" s="13">
        <f t="shared" si="17"/>
        <v>12646800</v>
      </c>
      <c r="F66" s="13">
        <v>12646800</v>
      </c>
      <c r="G66" s="13">
        <f>8709600+1916100</f>
        <v>10625700</v>
      </c>
      <c r="H66" s="13">
        <f>657600+21600+127000+14900</f>
        <v>821100</v>
      </c>
      <c r="I66" s="13">
        <v>0</v>
      </c>
      <c r="J66" s="13">
        <f t="shared" si="18"/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f t="shared" ref="P66:P103" si="19">E66 + J66</f>
        <v>12646800</v>
      </c>
    </row>
    <row r="67" spans="1:17" ht="31.2">
      <c r="A67" s="16" t="s">
        <v>296</v>
      </c>
      <c r="B67" s="16" t="s">
        <v>291</v>
      </c>
      <c r="C67" s="16" t="s">
        <v>293</v>
      </c>
      <c r="D67" s="12" t="s">
        <v>292</v>
      </c>
      <c r="E67" s="13">
        <f t="shared" si="17"/>
        <v>500000</v>
      </c>
      <c r="F67" s="13">
        <v>500000</v>
      </c>
      <c r="G67" s="13"/>
      <c r="H67" s="13"/>
      <c r="I67" s="13"/>
      <c r="J67" s="13">
        <f t="shared" si="18"/>
        <v>0</v>
      </c>
      <c r="K67" s="13"/>
      <c r="L67" s="13"/>
      <c r="M67" s="13"/>
      <c r="N67" s="13"/>
      <c r="O67" s="13"/>
      <c r="P67" s="13">
        <f t="shared" si="19"/>
        <v>500000</v>
      </c>
    </row>
    <row r="68" spans="1:17" ht="46.8">
      <c r="A68" s="16" t="s">
        <v>297</v>
      </c>
      <c r="B68" s="16">
        <v>8110</v>
      </c>
      <c r="C68" s="16" t="s">
        <v>242</v>
      </c>
      <c r="D68" s="12" t="s">
        <v>243</v>
      </c>
      <c r="E68" s="13">
        <f>F68+I68</f>
        <v>780000</v>
      </c>
      <c r="F68" s="13">
        <v>780000</v>
      </c>
      <c r="G68" s="13"/>
      <c r="H68" s="13"/>
      <c r="I68" s="13"/>
      <c r="J68" s="13">
        <f t="shared" si="18"/>
        <v>200000</v>
      </c>
      <c r="K68" s="13">
        <v>200000</v>
      </c>
      <c r="L68" s="13"/>
      <c r="M68" s="13"/>
      <c r="N68" s="13"/>
      <c r="O68" s="13">
        <v>200000</v>
      </c>
      <c r="P68" s="13">
        <f>E68 + J68</f>
        <v>980000</v>
      </c>
    </row>
    <row r="69" spans="1:17" ht="46.8">
      <c r="A69" s="9" t="s">
        <v>123</v>
      </c>
      <c r="B69" s="9" t="s">
        <v>19</v>
      </c>
      <c r="C69" s="9" t="s">
        <v>19</v>
      </c>
      <c r="D69" s="10" t="s">
        <v>124</v>
      </c>
      <c r="E69" s="11">
        <f>F69+I69</f>
        <v>83276855</v>
      </c>
      <c r="F69" s="11">
        <f>F70</f>
        <v>83276855</v>
      </c>
      <c r="G69" s="11">
        <f>G70</f>
        <v>46095500</v>
      </c>
      <c r="H69" s="11">
        <f>H70</f>
        <v>1477200</v>
      </c>
      <c r="I69" s="11">
        <f>I70</f>
        <v>0</v>
      </c>
      <c r="J69" s="11">
        <f>L69+O69</f>
        <v>182000</v>
      </c>
      <c r="K69" s="11">
        <f>K70</f>
        <v>0</v>
      </c>
      <c r="L69" s="11">
        <f t="shared" ref="L69:O69" si="20">L70</f>
        <v>57000</v>
      </c>
      <c r="M69" s="11">
        <f t="shared" si="20"/>
        <v>0</v>
      </c>
      <c r="N69" s="11">
        <f t="shared" si="20"/>
        <v>0</v>
      </c>
      <c r="O69" s="11">
        <f t="shared" si="20"/>
        <v>125000</v>
      </c>
      <c r="P69" s="11">
        <f t="shared" si="19"/>
        <v>83458855</v>
      </c>
      <c r="Q69" s="5">
        <f>81520500-E69+Q70+1200000</f>
        <v>0</v>
      </c>
    </row>
    <row r="70" spans="1:17" ht="46.8">
      <c r="A70" s="9" t="s">
        <v>125</v>
      </c>
      <c r="B70" s="9" t="s">
        <v>19</v>
      </c>
      <c r="C70" s="9" t="s">
        <v>19</v>
      </c>
      <c r="D70" s="10" t="s">
        <v>124</v>
      </c>
      <c r="E70" s="11">
        <f>F70+I70</f>
        <v>83276855</v>
      </c>
      <c r="F70" s="11">
        <f>SUM(F71:F87)</f>
        <v>83276855</v>
      </c>
      <c r="G70" s="11">
        <f t="shared" ref="G70:K70" si="21">SUM(G71:G87)</f>
        <v>46095500</v>
      </c>
      <c r="H70" s="11">
        <f t="shared" si="21"/>
        <v>1477200</v>
      </c>
      <c r="I70" s="11">
        <f t="shared" si="21"/>
        <v>0</v>
      </c>
      <c r="J70" s="11">
        <f>L70+O70</f>
        <v>182000</v>
      </c>
      <c r="K70" s="11">
        <f t="shared" si="21"/>
        <v>0</v>
      </c>
      <c r="L70" s="11">
        <f t="shared" ref="L70" si="22">SUM(L71:L87)</f>
        <v>57000</v>
      </c>
      <c r="M70" s="11">
        <f t="shared" ref="M70" si="23">SUM(M71:M87)</f>
        <v>0</v>
      </c>
      <c r="N70" s="11">
        <f t="shared" ref="N70" si="24">SUM(N71:N87)</f>
        <v>0</v>
      </c>
      <c r="O70" s="11">
        <f t="shared" ref="O70" si="25">SUM(O71:O87)</f>
        <v>125000</v>
      </c>
      <c r="P70" s="11">
        <f t="shared" si="19"/>
        <v>83458855</v>
      </c>
      <c r="Q70" s="5">
        <f>F75+F76+F82</f>
        <v>556355</v>
      </c>
    </row>
    <row r="71" spans="1:17" ht="46.8">
      <c r="A71" s="8" t="s">
        <v>126</v>
      </c>
      <c r="B71" s="8" t="s">
        <v>76</v>
      </c>
      <c r="C71" s="8" t="s">
        <v>24</v>
      </c>
      <c r="D71" s="12" t="s">
        <v>77</v>
      </c>
      <c r="E71" s="13">
        <f>F71+I71</f>
        <v>22512700</v>
      </c>
      <c r="F71" s="13">
        <v>22512700</v>
      </c>
      <c r="G71" s="13">
        <f>17437500+3836200</f>
        <v>21273700</v>
      </c>
      <c r="H71" s="13">
        <f>500000+20000+300000</f>
        <v>820000</v>
      </c>
      <c r="I71" s="13">
        <v>0</v>
      </c>
      <c r="J71" s="13">
        <f>L71+O71</f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f t="shared" si="19"/>
        <v>22512700</v>
      </c>
    </row>
    <row r="72" spans="1:17" ht="31.2">
      <c r="A72" s="8" t="s">
        <v>127</v>
      </c>
      <c r="B72" s="8" t="s">
        <v>31</v>
      </c>
      <c r="C72" s="8" t="s">
        <v>32</v>
      </c>
      <c r="D72" s="12" t="s">
        <v>33</v>
      </c>
      <c r="E72" s="13">
        <f t="shared" ref="E72:E90" si="26">F72+I72</f>
        <v>50000</v>
      </c>
      <c r="F72" s="13">
        <v>50000</v>
      </c>
      <c r="G72" s="13">
        <v>0</v>
      </c>
      <c r="H72" s="13">
        <v>0</v>
      </c>
      <c r="I72" s="13">
        <v>0</v>
      </c>
      <c r="J72" s="13">
        <f t="shared" ref="J72:J141" si="27">L72+O72</f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f t="shared" si="19"/>
        <v>50000</v>
      </c>
    </row>
    <row r="73" spans="1:17" ht="46.8">
      <c r="A73" s="8" t="s">
        <v>128</v>
      </c>
      <c r="B73" s="8" t="s">
        <v>129</v>
      </c>
      <c r="C73" s="8" t="s">
        <v>130</v>
      </c>
      <c r="D73" s="12" t="s">
        <v>131</v>
      </c>
      <c r="E73" s="13">
        <f t="shared" si="26"/>
        <v>3161000</v>
      </c>
      <c r="F73" s="13">
        <v>3161000</v>
      </c>
      <c r="G73" s="13">
        <v>0</v>
      </c>
      <c r="H73" s="13">
        <v>0</v>
      </c>
      <c r="I73" s="13">
        <v>0</v>
      </c>
      <c r="J73" s="13">
        <f t="shared" si="27"/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f t="shared" si="19"/>
        <v>3161000</v>
      </c>
    </row>
    <row r="74" spans="1:17" ht="31.2">
      <c r="A74" s="8" t="s">
        <v>132</v>
      </c>
      <c r="B74" s="8" t="s">
        <v>133</v>
      </c>
      <c r="C74" s="8" t="s">
        <v>97</v>
      </c>
      <c r="D74" s="12" t="s">
        <v>134</v>
      </c>
      <c r="E74" s="13">
        <f t="shared" si="26"/>
        <v>5000</v>
      </c>
      <c r="F74" s="13">
        <v>5000</v>
      </c>
      <c r="G74" s="13">
        <v>0</v>
      </c>
      <c r="H74" s="13">
        <v>0</v>
      </c>
      <c r="I74" s="13">
        <v>0</v>
      </c>
      <c r="J74" s="13">
        <f t="shared" si="27"/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f t="shared" si="19"/>
        <v>5000</v>
      </c>
    </row>
    <row r="75" spans="1:17" s="21" customFormat="1" ht="46.8">
      <c r="A75" s="20" t="s">
        <v>135</v>
      </c>
      <c r="B75" s="20" t="s">
        <v>136</v>
      </c>
      <c r="C75" s="20" t="s">
        <v>97</v>
      </c>
      <c r="D75" s="12" t="s">
        <v>137</v>
      </c>
      <c r="E75" s="13">
        <f t="shared" si="26"/>
        <v>444119</v>
      </c>
      <c r="F75" s="13">
        <v>444119</v>
      </c>
      <c r="G75" s="13">
        <v>0</v>
      </c>
      <c r="H75" s="13">
        <v>0</v>
      </c>
      <c r="I75" s="13">
        <v>0</v>
      </c>
      <c r="J75" s="13">
        <f t="shared" si="27"/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f t="shared" si="19"/>
        <v>444119</v>
      </c>
    </row>
    <row r="76" spans="1:17" s="21" customFormat="1" ht="46.8">
      <c r="A76" s="20" t="s">
        <v>138</v>
      </c>
      <c r="B76" s="20" t="s">
        <v>139</v>
      </c>
      <c r="C76" s="20" t="s">
        <v>130</v>
      </c>
      <c r="D76" s="12" t="s">
        <v>140</v>
      </c>
      <c r="E76" s="13">
        <f t="shared" si="26"/>
        <v>83516</v>
      </c>
      <c r="F76" s="13">
        <v>83516</v>
      </c>
      <c r="G76" s="13">
        <v>0</v>
      </c>
      <c r="H76" s="13">
        <v>0</v>
      </c>
      <c r="I76" s="13">
        <v>0</v>
      </c>
      <c r="J76" s="13">
        <f t="shared" si="27"/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f t="shared" si="19"/>
        <v>83516</v>
      </c>
    </row>
    <row r="77" spans="1:17" ht="62.4">
      <c r="A77" s="8" t="s">
        <v>141</v>
      </c>
      <c r="B77" s="8" t="s">
        <v>142</v>
      </c>
      <c r="C77" s="8" t="s">
        <v>143</v>
      </c>
      <c r="D77" s="12" t="s">
        <v>144</v>
      </c>
      <c r="E77" s="13">
        <f t="shared" si="26"/>
        <v>18680300</v>
      </c>
      <c r="F77" s="13">
        <f>17480300+1200000</f>
        <v>18680300</v>
      </c>
      <c r="G77" s="13">
        <f>13304500+2932600+1200000</f>
        <v>17437100</v>
      </c>
      <c r="H77" s="13">
        <f>190000+6000+140000</f>
        <v>336000</v>
      </c>
      <c r="I77" s="13">
        <v>0</v>
      </c>
      <c r="J77" s="13">
        <f t="shared" si="27"/>
        <v>182000</v>
      </c>
      <c r="K77" s="13">
        <v>0</v>
      </c>
      <c r="L77" s="13">
        <v>57000</v>
      </c>
      <c r="M77" s="13">
        <v>0</v>
      </c>
      <c r="N77" s="13">
        <v>0</v>
      </c>
      <c r="O77" s="13">
        <v>125000</v>
      </c>
      <c r="P77" s="13">
        <f t="shared" si="19"/>
        <v>18862300</v>
      </c>
    </row>
    <row r="78" spans="1:17" ht="31.2">
      <c r="A78" s="8" t="s">
        <v>145</v>
      </c>
      <c r="B78" s="8" t="s">
        <v>146</v>
      </c>
      <c r="C78" s="8" t="s">
        <v>116</v>
      </c>
      <c r="D78" s="12" t="s">
        <v>147</v>
      </c>
      <c r="E78" s="13">
        <f t="shared" si="26"/>
        <v>9208500</v>
      </c>
      <c r="F78" s="13">
        <v>9208500</v>
      </c>
      <c r="G78" s="13">
        <f>6040000+1344700</f>
        <v>7384700</v>
      </c>
      <c r="H78" s="13">
        <f>123600+18800+178800</f>
        <v>321200</v>
      </c>
      <c r="I78" s="13">
        <v>0</v>
      </c>
      <c r="J78" s="13">
        <f t="shared" si="27"/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f t="shared" si="19"/>
        <v>9208500</v>
      </c>
    </row>
    <row r="79" spans="1:17" ht="31.2">
      <c r="A79" s="8" t="s">
        <v>148</v>
      </c>
      <c r="B79" s="8" t="s">
        <v>149</v>
      </c>
      <c r="C79" s="8" t="s">
        <v>116</v>
      </c>
      <c r="D79" s="12" t="s">
        <v>150</v>
      </c>
      <c r="E79" s="13">
        <f t="shared" si="26"/>
        <v>707500</v>
      </c>
      <c r="F79" s="13">
        <v>707500</v>
      </c>
      <c r="G79" s="13">
        <v>0</v>
      </c>
      <c r="H79" s="13">
        <v>0</v>
      </c>
      <c r="I79" s="13">
        <v>0</v>
      </c>
      <c r="J79" s="13">
        <f t="shared" si="27"/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f t="shared" si="19"/>
        <v>707500</v>
      </c>
    </row>
    <row r="80" spans="1:17" ht="93.6">
      <c r="A80" s="16" t="s">
        <v>298</v>
      </c>
      <c r="B80" s="8" t="s">
        <v>115</v>
      </c>
      <c r="C80" s="8" t="s">
        <v>116</v>
      </c>
      <c r="D80" s="12" t="s">
        <v>117</v>
      </c>
      <c r="E80" s="13">
        <f t="shared" si="26"/>
        <v>200000</v>
      </c>
      <c r="F80" s="13">
        <v>200000</v>
      </c>
      <c r="G80" s="13">
        <v>0</v>
      </c>
      <c r="H80" s="13">
        <v>0</v>
      </c>
      <c r="I80" s="13">
        <v>0</v>
      </c>
      <c r="J80" s="13">
        <f t="shared" si="27"/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f t="shared" si="19"/>
        <v>200000</v>
      </c>
    </row>
    <row r="81" spans="1:17" ht="109.2">
      <c r="A81" s="8" t="s">
        <v>151</v>
      </c>
      <c r="B81" s="8" t="s">
        <v>152</v>
      </c>
      <c r="C81" s="8" t="s">
        <v>79</v>
      </c>
      <c r="D81" s="12" t="s">
        <v>153</v>
      </c>
      <c r="E81" s="13">
        <f t="shared" si="26"/>
        <v>3300000</v>
      </c>
      <c r="F81" s="13">
        <v>3300000</v>
      </c>
      <c r="G81" s="13">
        <v>0</v>
      </c>
      <c r="H81" s="13">
        <v>0</v>
      </c>
      <c r="I81" s="13">
        <v>0</v>
      </c>
      <c r="J81" s="13">
        <f t="shared" si="27"/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f t="shared" si="19"/>
        <v>3300000</v>
      </c>
    </row>
    <row r="82" spans="1:17" s="21" customFormat="1" ht="78">
      <c r="A82" s="20" t="s">
        <v>154</v>
      </c>
      <c r="B82" s="20" t="s">
        <v>155</v>
      </c>
      <c r="C82" s="20" t="s">
        <v>79</v>
      </c>
      <c r="D82" s="12" t="s">
        <v>156</v>
      </c>
      <c r="E82" s="13">
        <f t="shared" si="26"/>
        <v>28720</v>
      </c>
      <c r="F82" s="13">
        <v>28720</v>
      </c>
      <c r="G82" s="13">
        <v>0</v>
      </c>
      <c r="H82" s="13">
        <v>0</v>
      </c>
      <c r="I82" s="13">
        <v>0</v>
      </c>
      <c r="J82" s="13">
        <f t="shared" si="27"/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19"/>
        <v>28720</v>
      </c>
    </row>
    <row r="83" spans="1:17" ht="93.6">
      <c r="A83" s="8" t="s">
        <v>157</v>
      </c>
      <c r="B83" s="8" t="s">
        <v>158</v>
      </c>
      <c r="C83" s="8" t="s">
        <v>159</v>
      </c>
      <c r="D83" s="12" t="s">
        <v>160</v>
      </c>
      <c r="E83" s="13">
        <f t="shared" si="26"/>
        <v>1000000</v>
      </c>
      <c r="F83" s="13">
        <v>1000000</v>
      </c>
      <c r="G83" s="13">
        <v>0</v>
      </c>
      <c r="H83" s="13">
        <v>0</v>
      </c>
      <c r="I83" s="13">
        <v>0</v>
      </c>
      <c r="J83" s="13">
        <f t="shared" si="27"/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f t="shared" si="19"/>
        <v>1000000</v>
      </c>
    </row>
    <row r="84" spans="1:17" ht="62.4">
      <c r="A84" s="8" t="s">
        <v>161</v>
      </c>
      <c r="B84" s="8" t="s">
        <v>162</v>
      </c>
      <c r="C84" s="8" t="s">
        <v>130</v>
      </c>
      <c r="D84" s="12" t="s">
        <v>163</v>
      </c>
      <c r="E84" s="13">
        <f t="shared" si="26"/>
        <v>71000</v>
      </c>
      <c r="F84" s="13">
        <v>71000</v>
      </c>
      <c r="G84" s="13">
        <v>0</v>
      </c>
      <c r="H84" s="13">
        <v>0</v>
      </c>
      <c r="I84" s="13">
        <v>0</v>
      </c>
      <c r="J84" s="13">
        <f t="shared" si="27"/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f t="shared" si="19"/>
        <v>71000</v>
      </c>
    </row>
    <row r="85" spans="1:17" ht="62.4">
      <c r="A85" s="8" t="s">
        <v>164</v>
      </c>
      <c r="B85" s="8" t="s">
        <v>165</v>
      </c>
      <c r="C85" s="8" t="s">
        <v>97</v>
      </c>
      <c r="D85" s="12" t="s">
        <v>166</v>
      </c>
      <c r="E85" s="13">
        <f t="shared" si="26"/>
        <v>497600</v>
      </c>
      <c r="F85" s="13">
        <v>497600</v>
      </c>
      <c r="G85" s="13">
        <v>0</v>
      </c>
      <c r="H85" s="13">
        <v>0</v>
      </c>
      <c r="I85" s="13">
        <v>0</v>
      </c>
      <c r="J85" s="13">
        <f t="shared" si="27"/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f t="shared" si="19"/>
        <v>497600</v>
      </c>
    </row>
    <row r="86" spans="1:17" ht="31.2">
      <c r="A86" s="8" t="s">
        <v>167</v>
      </c>
      <c r="B86" s="8" t="s">
        <v>51</v>
      </c>
      <c r="C86" s="8" t="s">
        <v>52</v>
      </c>
      <c r="D86" s="12" t="s">
        <v>53</v>
      </c>
      <c r="E86" s="13">
        <f t="shared" si="26"/>
        <v>23048400</v>
      </c>
      <c r="F86" s="13">
        <f>57048400-35000000+1000000</f>
        <v>23048400</v>
      </c>
      <c r="G86" s="13">
        <v>0</v>
      </c>
      <c r="H86" s="13">
        <v>0</v>
      </c>
      <c r="I86" s="13">
        <v>0</v>
      </c>
      <c r="J86" s="13">
        <f t="shared" si="27"/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f t="shared" si="19"/>
        <v>23048400</v>
      </c>
    </row>
    <row r="87" spans="1:17" ht="31.2">
      <c r="A87" s="16" t="s">
        <v>299</v>
      </c>
      <c r="B87" s="16" t="s">
        <v>291</v>
      </c>
      <c r="C87" s="16" t="s">
        <v>293</v>
      </c>
      <c r="D87" s="12" t="s">
        <v>292</v>
      </c>
      <c r="E87" s="13">
        <f t="shared" si="26"/>
        <v>278500</v>
      </c>
      <c r="F87" s="13">
        <f>SUM(F88:F90)</f>
        <v>278500</v>
      </c>
      <c r="G87" s="13"/>
      <c r="H87" s="13"/>
      <c r="I87" s="13"/>
      <c r="J87" s="13">
        <f t="shared" si="27"/>
        <v>0</v>
      </c>
      <c r="K87" s="13"/>
      <c r="L87" s="13"/>
      <c r="M87" s="13"/>
      <c r="N87" s="13"/>
      <c r="O87" s="13"/>
      <c r="P87" s="13">
        <f t="shared" ref="P87:P90" si="28">E87 + J87</f>
        <v>278500</v>
      </c>
    </row>
    <row r="88" spans="1:17" s="7" customFormat="1" ht="46.8">
      <c r="A88" s="19"/>
      <c r="B88" s="19"/>
      <c r="C88" s="19"/>
      <c r="D88" s="1" t="s">
        <v>315</v>
      </c>
      <c r="E88" s="15">
        <f t="shared" si="26"/>
        <v>96200</v>
      </c>
      <c r="F88" s="15">
        <v>96200</v>
      </c>
      <c r="G88" s="15"/>
      <c r="H88" s="15"/>
      <c r="I88" s="15"/>
      <c r="J88" s="15"/>
      <c r="K88" s="15"/>
      <c r="L88" s="15"/>
      <c r="M88" s="15"/>
      <c r="N88" s="15"/>
      <c r="O88" s="15"/>
      <c r="P88" s="15">
        <f t="shared" si="28"/>
        <v>96200</v>
      </c>
    </row>
    <row r="89" spans="1:17" s="7" customFormat="1" ht="62.4">
      <c r="A89" s="19"/>
      <c r="B89" s="19"/>
      <c r="C89" s="19"/>
      <c r="D89" s="1" t="s">
        <v>322</v>
      </c>
      <c r="E89" s="15">
        <f t="shared" si="26"/>
        <v>126900</v>
      </c>
      <c r="F89" s="15">
        <v>126900</v>
      </c>
      <c r="G89" s="15"/>
      <c r="H89" s="15"/>
      <c r="I89" s="15"/>
      <c r="J89" s="15"/>
      <c r="K89" s="15"/>
      <c r="L89" s="15"/>
      <c r="M89" s="15"/>
      <c r="N89" s="15"/>
      <c r="O89" s="15"/>
      <c r="P89" s="15">
        <f t="shared" si="28"/>
        <v>126900</v>
      </c>
    </row>
    <row r="90" spans="1:17" s="7" customFormat="1" ht="78">
      <c r="A90" s="19"/>
      <c r="B90" s="19"/>
      <c r="C90" s="19"/>
      <c r="D90" s="1" t="s">
        <v>321</v>
      </c>
      <c r="E90" s="15">
        <f t="shared" si="26"/>
        <v>55400</v>
      </c>
      <c r="F90" s="15">
        <v>55400</v>
      </c>
      <c r="G90" s="15"/>
      <c r="H90" s="15"/>
      <c r="I90" s="15"/>
      <c r="J90" s="15"/>
      <c r="K90" s="15"/>
      <c r="L90" s="15"/>
      <c r="M90" s="15"/>
      <c r="N90" s="15"/>
      <c r="O90" s="15"/>
      <c r="P90" s="15">
        <f t="shared" si="28"/>
        <v>55400</v>
      </c>
    </row>
    <row r="91" spans="1:17" ht="46.8">
      <c r="A91" s="9" t="s">
        <v>168</v>
      </c>
      <c r="B91" s="9" t="s">
        <v>19</v>
      </c>
      <c r="C91" s="9" t="s">
        <v>19</v>
      </c>
      <c r="D91" s="10" t="s">
        <v>169</v>
      </c>
      <c r="E91" s="11">
        <f t="shared" ref="E91:E98" si="29">F91+I91</f>
        <v>3720800</v>
      </c>
      <c r="F91" s="11">
        <f>F92</f>
        <v>3720800</v>
      </c>
      <c r="G91" s="11">
        <f t="shared" ref="G91:I91" si="30">G92</f>
        <v>3224300</v>
      </c>
      <c r="H91" s="11">
        <f t="shared" si="30"/>
        <v>0</v>
      </c>
      <c r="I91" s="11">
        <f t="shared" si="30"/>
        <v>0</v>
      </c>
      <c r="J91" s="11">
        <f t="shared" si="27"/>
        <v>0</v>
      </c>
      <c r="K91" s="11">
        <f>K92</f>
        <v>0</v>
      </c>
      <c r="L91" s="11">
        <f t="shared" ref="L91:O91" si="31">L92</f>
        <v>0</v>
      </c>
      <c r="M91" s="11">
        <f t="shared" si="31"/>
        <v>0</v>
      </c>
      <c r="N91" s="11">
        <f t="shared" si="31"/>
        <v>0</v>
      </c>
      <c r="O91" s="11">
        <f t="shared" si="31"/>
        <v>0</v>
      </c>
      <c r="P91" s="11">
        <f t="shared" si="19"/>
        <v>3720800</v>
      </c>
      <c r="Q91" s="5">
        <f>3720800-E91</f>
        <v>0</v>
      </c>
    </row>
    <row r="92" spans="1:17" ht="46.8">
      <c r="A92" s="9" t="s">
        <v>170</v>
      </c>
      <c r="B92" s="9" t="s">
        <v>19</v>
      </c>
      <c r="C92" s="9" t="s">
        <v>19</v>
      </c>
      <c r="D92" s="10" t="s">
        <v>169</v>
      </c>
      <c r="E92" s="11">
        <f t="shared" si="29"/>
        <v>3720800</v>
      </c>
      <c r="F92" s="11">
        <f>SUM(F93:F95)</f>
        <v>3720800</v>
      </c>
      <c r="G92" s="11">
        <f t="shared" ref="G92:K92" si="32">SUM(G93:G95)</f>
        <v>3224300</v>
      </c>
      <c r="H92" s="11">
        <f t="shared" si="32"/>
        <v>0</v>
      </c>
      <c r="I92" s="11">
        <f t="shared" si="32"/>
        <v>0</v>
      </c>
      <c r="J92" s="11">
        <f t="shared" si="27"/>
        <v>0</v>
      </c>
      <c r="K92" s="11">
        <f t="shared" si="32"/>
        <v>0</v>
      </c>
      <c r="L92" s="11">
        <f t="shared" ref="L92" si="33">SUM(L93:L95)</f>
        <v>0</v>
      </c>
      <c r="M92" s="11">
        <f t="shared" ref="M92" si="34">SUM(M93:M95)</f>
        <v>0</v>
      </c>
      <c r="N92" s="11">
        <f t="shared" ref="N92" si="35">SUM(N93:N95)</f>
        <v>0</v>
      </c>
      <c r="O92" s="11">
        <f t="shared" ref="O92" si="36">SUM(O93:O95)</f>
        <v>0</v>
      </c>
      <c r="P92" s="11">
        <f t="shared" si="19"/>
        <v>3720800</v>
      </c>
    </row>
    <row r="93" spans="1:17" ht="46.8">
      <c r="A93" s="8" t="s">
        <v>171</v>
      </c>
      <c r="B93" s="8" t="s">
        <v>76</v>
      </c>
      <c r="C93" s="8" t="s">
        <v>24</v>
      </c>
      <c r="D93" s="12" t="s">
        <v>77</v>
      </c>
      <c r="E93" s="13">
        <f t="shared" si="29"/>
        <v>3342500</v>
      </c>
      <c r="F93" s="13">
        <v>3342500</v>
      </c>
      <c r="G93" s="13">
        <f>2642900+581400</f>
        <v>3224300</v>
      </c>
      <c r="H93" s="13">
        <v>0</v>
      </c>
      <c r="I93" s="13">
        <v>0</v>
      </c>
      <c r="J93" s="13">
        <f t="shared" si="27"/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f t="shared" si="19"/>
        <v>3342500</v>
      </c>
    </row>
    <row r="94" spans="1:17" ht="31.2">
      <c r="A94" s="8" t="s">
        <v>172</v>
      </c>
      <c r="B94" s="8" t="s">
        <v>173</v>
      </c>
      <c r="C94" s="8" t="s">
        <v>116</v>
      </c>
      <c r="D94" s="12" t="s">
        <v>174</v>
      </c>
      <c r="E94" s="13">
        <f t="shared" si="29"/>
        <v>278000</v>
      </c>
      <c r="F94" s="13">
        <v>278000</v>
      </c>
      <c r="G94" s="13">
        <v>0</v>
      </c>
      <c r="H94" s="13">
        <v>0</v>
      </c>
      <c r="I94" s="13">
        <v>0</v>
      </c>
      <c r="J94" s="13">
        <f t="shared" si="27"/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f t="shared" si="19"/>
        <v>278000</v>
      </c>
    </row>
    <row r="95" spans="1:17" ht="31.2">
      <c r="A95" s="16" t="s">
        <v>300</v>
      </c>
      <c r="B95" s="16" t="s">
        <v>291</v>
      </c>
      <c r="C95" s="16" t="s">
        <v>293</v>
      </c>
      <c r="D95" s="12" t="s">
        <v>292</v>
      </c>
      <c r="E95" s="13">
        <f t="shared" si="29"/>
        <v>100300</v>
      </c>
      <c r="F95" s="13">
        <v>100300</v>
      </c>
      <c r="G95" s="13"/>
      <c r="H95" s="13"/>
      <c r="I95" s="13"/>
      <c r="J95" s="13">
        <f t="shared" ref="J95" si="37">L95+O95</f>
        <v>0</v>
      </c>
      <c r="K95" s="13"/>
      <c r="L95" s="13"/>
      <c r="M95" s="13"/>
      <c r="N95" s="13"/>
      <c r="O95" s="13"/>
      <c r="P95" s="13">
        <f t="shared" si="19"/>
        <v>100300</v>
      </c>
    </row>
    <row r="96" spans="1:17" ht="46.8">
      <c r="A96" s="9" t="s">
        <v>175</v>
      </c>
      <c r="B96" s="9" t="s">
        <v>19</v>
      </c>
      <c r="C96" s="9" t="s">
        <v>19</v>
      </c>
      <c r="D96" s="10" t="s">
        <v>176</v>
      </c>
      <c r="E96" s="11">
        <f t="shared" si="29"/>
        <v>56061500</v>
      </c>
      <c r="F96" s="11">
        <f>F97</f>
        <v>56061500</v>
      </c>
      <c r="G96" s="11">
        <f t="shared" ref="G96:I96" si="38">G97</f>
        <v>48890200</v>
      </c>
      <c r="H96" s="11">
        <f t="shared" si="38"/>
        <v>3759100</v>
      </c>
      <c r="I96" s="11">
        <f t="shared" si="38"/>
        <v>0</v>
      </c>
      <c r="J96" s="11">
        <f t="shared" si="27"/>
        <v>1366000</v>
      </c>
      <c r="K96" s="11">
        <f>K97</f>
        <v>0</v>
      </c>
      <c r="L96" s="11">
        <f t="shared" ref="L96:O96" si="39">L97</f>
        <v>1136000</v>
      </c>
      <c r="M96" s="11">
        <f t="shared" si="39"/>
        <v>507100</v>
      </c>
      <c r="N96" s="11">
        <f t="shared" si="39"/>
        <v>0</v>
      </c>
      <c r="O96" s="11">
        <f t="shared" si="39"/>
        <v>230000</v>
      </c>
      <c r="P96" s="11">
        <f t="shared" si="19"/>
        <v>57427500</v>
      </c>
      <c r="Q96" s="5">
        <f>56061500-E96</f>
        <v>0</v>
      </c>
    </row>
    <row r="97" spans="1:17" ht="46.8">
      <c r="A97" s="9" t="s">
        <v>177</v>
      </c>
      <c r="B97" s="9" t="s">
        <v>19</v>
      </c>
      <c r="C97" s="9" t="s">
        <v>19</v>
      </c>
      <c r="D97" s="10" t="s">
        <v>176</v>
      </c>
      <c r="E97" s="11">
        <f t="shared" si="29"/>
        <v>56061500</v>
      </c>
      <c r="F97" s="11">
        <f>SUM(F98:F106)</f>
        <v>56061500</v>
      </c>
      <c r="G97" s="11">
        <f t="shared" ref="G97:K97" si="40">SUM(G98:G106)</f>
        <v>48890200</v>
      </c>
      <c r="H97" s="11">
        <f t="shared" si="40"/>
        <v>3759100</v>
      </c>
      <c r="I97" s="11">
        <f t="shared" si="40"/>
        <v>0</v>
      </c>
      <c r="J97" s="11">
        <f t="shared" si="27"/>
        <v>1366000</v>
      </c>
      <c r="K97" s="11">
        <f t="shared" si="40"/>
        <v>0</v>
      </c>
      <c r="L97" s="11">
        <f t="shared" ref="L97" si="41">SUM(L98:L106)</f>
        <v>1136000</v>
      </c>
      <c r="M97" s="11">
        <f t="shared" ref="M97" si="42">SUM(M98:M106)</f>
        <v>507100</v>
      </c>
      <c r="N97" s="11">
        <f t="shared" ref="N97" si="43">SUM(N98:N106)</f>
        <v>0</v>
      </c>
      <c r="O97" s="11">
        <f t="shared" ref="O97" si="44">SUM(O98:O106)</f>
        <v>230000</v>
      </c>
      <c r="P97" s="11">
        <f t="shared" si="19"/>
        <v>57427500</v>
      </c>
    </row>
    <row r="98" spans="1:17" ht="46.8">
      <c r="A98" s="8" t="s">
        <v>178</v>
      </c>
      <c r="B98" s="8" t="s">
        <v>76</v>
      </c>
      <c r="C98" s="8" t="s">
        <v>24</v>
      </c>
      <c r="D98" s="12" t="s">
        <v>77</v>
      </c>
      <c r="E98" s="13">
        <f t="shared" si="29"/>
        <v>1352500</v>
      </c>
      <c r="F98" s="13">
        <v>1352500</v>
      </c>
      <c r="G98" s="13">
        <f>1085700+238900</f>
        <v>1324600</v>
      </c>
      <c r="H98" s="13">
        <v>0</v>
      </c>
      <c r="I98" s="13">
        <v>0</v>
      </c>
      <c r="J98" s="13">
        <f t="shared" si="27"/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f t="shared" si="19"/>
        <v>1352500</v>
      </c>
    </row>
    <row r="99" spans="1:17" ht="31.2">
      <c r="A99" s="8" t="s">
        <v>179</v>
      </c>
      <c r="B99" s="8" t="s">
        <v>180</v>
      </c>
      <c r="C99" s="8" t="s">
        <v>98</v>
      </c>
      <c r="D99" s="12" t="s">
        <v>181</v>
      </c>
      <c r="E99" s="13">
        <f t="shared" ref="E99:E106" si="45">F99+I99</f>
        <v>25258300</v>
      </c>
      <c r="F99" s="13">
        <v>25258300</v>
      </c>
      <c r="G99" s="13">
        <f>19980300+4395600</f>
        <v>24375900</v>
      </c>
      <c r="H99" s="13">
        <f>24500+399000+292900+34000</f>
        <v>750400</v>
      </c>
      <c r="I99" s="13">
        <v>0</v>
      </c>
      <c r="J99" s="13">
        <f t="shared" si="27"/>
        <v>1086000</v>
      </c>
      <c r="K99" s="13">
        <v>0</v>
      </c>
      <c r="L99" s="13">
        <v>886000</v>
      </c>
      <c r="M99" s="13">
        <f>405800+89300</f>
        <v>495100</v>
      </c>
      <c r="N99" s="13">
        <v>0</v>
      </c>
      <c r="O99" s="13">
        <v>200000</v>
      </c>
      <c r="P99" s="13">
        <f t="shared" si="19"/>
        <v>26344300</v>
      </c>
    </row>
    <row r="100" spans="1:17" ht="93.6">
      <c r="A100" s="8" t="s">
        <v>182</v>
      </c>
      <c r="B100" s="8" t="s">
        <v>115</v>
      </c>
      <c r="C100" s="8" t="s">
        <v>116</v>
      </c>
      <c r="D100" s="12" t="s">
        <v>117</v>
      </c>
      <c r="E100" s="13">
        <f t="shared" si="45"/>
        <v>150000</v>
      </c>
      <c r="F100" s="13">
        <v>150000</v>
      </c>
      <c r="G100" s="13">
        <v>0</v>
      </c>
      <c r="H100" s="13">
        <v>0</v>
      </c>
      <c r="I100" s="13">
        <v>0</v>
      </c>
      <c r="J100" s="13">
        <f t="shared" si="27"/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f t="shared" si="19"/>
        <v>150000</v>
      </c>
    </row>
    <row r="101" spans="1:17">
      <c r="A101" s="8" t="s">
        <v>183</v>
      </c>
      <c r="B101" s="8" t="s">
        <v>184</v>
      </c>
      <c r="C101" s="8" t="s">
        <v>185</v>
      </c>
      <c r="D101" s="12" t="s">
        <v>186</v>
      </c>
      <c r="E101" s="13">
        <f t="shared" si="45"/>
        <v>9205700</v>
      </c>
      <c r="F101" s="13">
        <v>9205700</v>
      </c>
      <c r="G101" s="13">
        <f>6059000+1332900</f>
        <v>7391900</v>
      </c>
      <c r="H101" s="13">
        <f>741700+20200+410400+36800+4700</f>
        <v>1213800</v>
      </c>
      <c r="I101" s="13">
        <v>0</v>
      </c>
      <c r="J101" s="13">
        <f t="shared" si="27"/>
        <v>80000</v>
      </c>
      <c r="K101" s="13">
        <v>0</v>
      </c>
      <c r="L101" s="13">
        <f>80000</f>
        <v>80000</v>
      </c>
      <c r="M101" s="13">
        <v>0</v>
      </c>
      <c r="N101" s="13">
        <v>0</v>
      </c>
      <c r="O101" s="13">
        <v>0</v>
      </c>
      <c r="P101" s="13">
        <f t="shared" si="19"/>
        <v>9285700</v>
      </c>
    </row>
    <row r="102" spans="1:17" ht="31.2">
      <c r="A102" s="8" t="s">
        <v>187</v>
      </c>
      <c r="B102" s="8" t="s">
        <v>188</v>
      </c>
      <c r="C102" s="8" t="s">
        <v>185</v>
      </c>
      <c r="D102" s="12" t="s">
        <v>189</v>
      </c>
      <c r="E102" s="13">
        <f t="shared" si="45"/>
        <v>3595900</v>
      </c>
      <c r="F102" s="13">
        <f>3595900</f>
        <v>3595900</v>
      </c>
      <c r="G102" s="13">
        <f>2170200+477400</f>
        <v>2647600</v>
      </c>
      <c r="H102" s="13">
        <f>370700+10100+125400+3100</f>
        <v>509300</v>
      </c>
      <c r="I102" s="13">
        <v>0</v>
      </c>
      <c r="J102" s="13">
        <f t="shared" si="27"/>
        <v>40000</v>
      </c>
      <c r="K102" s="13">
        <v>0</v>
      </c>
      <c r="L102" s="13">
        <v>40000</v>
      </c>
      <c r="M102" s="13">
        <v>0</v>
      </c>
      <c r="N102" s="13">
        <v>0</v>
      </c>
      <c r="O102" s="13">
        <v>0</v>
      </c>
      <c r="P102" s="13">
        <f t="shared" si="19"/>
        <v>3635900</v>
      </c>
    </row>
    <row r="103" spans="1:17" ht="46.8">
      <c r="A103" s="8" t="s">
        <v>190</v>
      </c>
      <c r="B103" s="8" t="s">
        <v>191</v>
      </c>
      <c r="C103" s="8" t="s">
        <v>192</v>
      </c>
      <c r="D103" s="12" t="s">
        <v>193</v>
      </c>
      <c r="E103" s="13">
        <f t="shared" si="45"/>
        <v>13136300</v>
      </c>
      <c r="F103" s="13">
        <f>13136300</f>
        <v>13136300</v>
      </c>
      <c r="G103" s="13">
        <f>8756500+1926400</f>
        <v>10682900</v>
      </c>
      <c r="H103" s="13">
        <f>44400+535800+392900+241000</f>
        <v>1214100</v>
      </c>
      <c r="I103" s="13">
        <v>0</v>
      </c>
      <c r="J103" s="13">
        <f t="shared" si="27"/>
        <v>160000</v>
      </c>
      <c r="K103" s="13">
        <v>0</v>
      </c>
      <c r="L103" s="13">
        <v>130000</v>
      </c>
      <c r="M103" s="13">
        <f>10000+2000</f>
        <v>12000</v>
      </c>
      <c r="N103" s="13">
        <v>0</v>
      </c>
      <c r="O103" s="13">
        <v>30000</v>
      </c>
      <c r="P103" s="13">
        <f t="shared" si="19"/>
        <v>13296300</v>
      </c>
    </row>
    <row r="104" spans="1:17" ht="31.2">
      <c r="A104" s="8" t="s">
        <v>194</v>
      </c>
      <c r="B104" s="8" t="s">
        <v>195</v>
      </c>
      <c r="C104" s="8" t="s">
        <v>196</v>
      </c>
      <c r="D104" s="12" t="s">
        <v>197</v>
      </c>
      <c r="E104" s="13">
        <f t="shared" si="45"/>
        <v>2595800</v>
      </c>
      <c r="F104" s="13">
        <v>2595800</v>
      </c>
      <c r="G104" s="13">
        <f>2022400+444900</f>
        <v>2467300</v>
      </c>
      <c r="H104" s="13">
        <f>24400+1500+45600</f>
        <v>71500</v>
      </c>
      <c r="I104" s="13">
        <v>0</v>
      </c>
      <c r="J104" s="13">
        <f t="shared" si="27"/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f t="shared" ref="P104:P138" si="46">E104 + J104</f>
        <v>2595800</v>
      </c>
    </row>
    <row r="105" spans="1:17" ht="31.2">
      <c r="A105" s="8" t="s">
        <v>198</v>
      </c>
      <c r="B105" s="8" t="s">
        <v>199</v>
      </c>
      <c r="C105" s="8" t="s">
        <v>196</v>
      </c>
      <c r="D105" s="12" t="s">
        <v>200</v>
      </c>
      <c r="E105" s="13">
        <f t="shared" si="45"/>
        <v>600000</v>
      </c>
      <c r="F105" s="13">
        <v>600000</v>
      </c>
      <c r="G105" s="13">
        <v>0</v>
      </c>
      <c r="H105" s="13">
        <v>0</v>
      </c>
      <c r="I105" s="13">
        <v>0</v>
      </c>
      <c r="J105" s="13">
        <f t="shared" si="27"/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f t="shared" si="46"/>
        <v>600000</v>
      </c>
    </row>
    <row r="106" spans="1:17" ht="31.2">
      <c r="A106" s="16" t="s">
        <v>301</v>
      </c>
      <c r="B106" s="16" t="s">
        <v>291</v>
      </c>
      <c r="C106" s="16" t="s">
        <v>293</v>
      </c>
      <c r="D106" s="12" t="s">
        <v>292</v>
      </c>
      <c r="E106" s="13">
        <f t="shared" si="45"/>
        <v>167000</v>
      </c>
      <c r="F106" s="13">
        <v>167000</v>
      </c>
      <c r="G106" s="13"/>
      <c r="H106" s="13"/>
      <c r="I106" s="13"/>
      <c r="J106" s="13">
        <f t="shared" si="27"/>
        <v>0</v>
      </c>
      <c r="K106" s="13"/>
      <c r="L106" s="13"/>
      <c r="M106" s="13"/>
      <c r="N106" s="13"/>
      <c r="O106" s="13"/>
      <c r="P106" s="13">
        <f t="shared" si="46"/>
        <v>167000</v>
      </c>
    </row>
    <row r="107" spans="1:17" ht="46.8">
      <c r="A107" s="9" t="s">
        <v>201</v>
      </c>
      <c r="B107" s="9" t="s">
        <v>19</v>
      </c>
      <c r="C107" s="9" t="s">
        <v>19</v>
      </c>
      <c r="D107" s="10" t="s">
        <v>202</v>
      </c>
      <c r="E107" s="11">
        <f t="shared" ref="E107:E117" si="47">F107+I107</f>
        <v>10374900</v>
      </c>
      <c r="F107" s="11">
        <f>F108</f>
        <v>10374900</v>
      </c>
      <c r="G107" s="11">
        <f t="shared" ref="G107:I107" si="48">G108</f>
        <v>3241400</v>
      </c>
      <c r="H107" s="11">
        <f t="shared" si="48"/>
        <v>70800</v>
      </c>
      <c r="I107" s="11">
        <f t="shared" si="48"/>
        <v>0</v>
      </c>
      <c r="J107" s="11">
        <f t="shared" si="27"/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f t="shared" si="46"/>
        <v>10374900</v>
      </c>
      <c r="Q107" s="5">
        <f>10374900-E107</f>
        <v>0</v>
      </c>
    </row>
    <row r="108" spans="1:17" ht="46.8">
      <c r="A108" s="9" t="s">
        <v>203</v>
      </c>
      <c r="B108" s="9" t="s">
        <v>19</v>
      </c>
      <c r="C108" s="9" t="s">
        <v>19</v>
      </c>
      <c r="D108" s="10" t="s">
        <v>202</v>
      </c>
      <c r="E108" s="11">
        <f t="shared" si="47"/>
        <v>10374900</v>
      </c>
      <c r="F108" s="11">
        <f>SUM(F109:F114)</f>
        <v>10374900</v>
      </c>
      <c r="G108" s="11">
        <f t="shared" ref="G108:K108" si="49">SUM(G109:G114)</f>
        <v>3241400</v>
      </c>
      <c r="H108" s="11">
        <f t="shared" si="49"/>
        <v>70800</v>
      </c>
      <c r="I108" s="11">
        <f t="shared" si="49"/>
        <v>0</v>
      </c>
      <c r="J108" s="11">
        <f t="shared" si="27"/>
        <v>0</v>
      </c>
      <c r="K108" s="11">
        <f t="shared" si="49"/>
        <v>0</v>
      </c>
      <c r="L108" s="11">
        <f t="shared" ref="L108" si="50">SUM(L109:L114)</f>
        <v>0</v>
      </c>
      <c r="M108" s="11">
        <f t="shared" ref="M108" si="51">SUM(M109:M114)</f>
        <v>0</v>
      </c>
      <c r="N108" s="11">
        <f t="shared" ref="N108" si="52">SUM(N109:N114)</f>
        <v>0</v>
      </c>
      <c r="O108" s="11">
        <f t="shared" ref="O108" si="53">SUM(O109:O114)</f>
        <v>0</v>
      </c>
      <c r="P108" s="11">
        <f t="shared" si="46"/>
        <v>10374900</v>
      </c>
    </row>
    <row r="109" spans="1:17" ht="46.8">
      <c r="A109" s="8" t="s">
        <v>204</v>
      </c>
      <c r="B109" s="8" t="s">
        <v>76</v>
      </c>
      <c r="C109" s="8" t="s">
        <v>24</v>
      </c>
      <c r="D109" s="12" t="s">
        <v>77</v>
      </c>
      <c r="E109" s="13">
        <f t="shared" si="47"/>
        <v>2778600</v>
      </c>
      <c r="F109" s="13">
        <v>2778600</v>
      </c>
      <c r="G109" s="13">
        <f>2183700+480400</f>
        <v>2664100</v>
      </c>
      <c r="H109" s="13">
        <v>0</v>
      </c>
      <c r="I109" s="13">
        <v>0</v>
      </c>
      <c r="J109" s="13">
        <f t="shared" si="27"/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f t="shared" si="46"/>
        <v>2778600</v>
      </c>
    </row>
    <row r="110" spans="1:17" ht="31.2">
      <c r="A110" s="8" t="s">
        <v>205</v>
      </c>
      <c r="B110" s="8" t="s">
        <v>206</v>
      </c>
      <c r="C110" s="8" t="s">
        <v>116</v>
      </c>
      <c r="D110" s="12" t="s">
        <v>207</v>
      </c>
      <c r="E110" s="13">
        <f t="shared" si="47"/>
        <v>1956300</v>
      </c>
      <c r="F110" s="13">
        <f>1956300</f>
        <v>1956300</v>
      </c>
      <c r="G110" s="13">
        <f>473200+104100</f>
        <v>577300</v>
      </c>
      <c r="H110" s="13">
        <f>54600+1600+14600</f>
        <v>70800</v>
      </c>
      <c r="I110" s="13">
        <v>0</v>
      </c>
      <c r="J110" s="13">
        <f t="shared" si="27"/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f t="shared" si="46"/>
        <v>1956300</v>
      </c>
    </row>
    <row r="111" spans="1:17" ht="46.8">
      <c r="A111" s="8" t="s">
        <v>208</v>
      </c>
      <c r="B111" s="8" t="s">
        <v>209</v>
      </c>
      <c r="C111" s="8" t="s">
        <v>121</v>
      </c>
      <c r="D111" s="12" t="s">
        <v>210</v>
      </c>
      <c r="E111" s="13">
        <f t="shared" si="47"/>
        <v>1400000</v>
      </c>
      <c r="F111" s="13">
        <v>1400000</v>
      </c>
      <c r="G111" s="13">
        <v>0</v>
      </c>
      <c r="H111" s="13">
        <v>0</v>
      </c>
      <c r="I111" s="13">
        <v>0</v>
      </c>
      <c r="J111" s="13">
        <f t="shared" si="27"/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f t="shared" si="46"/>
        <v>1400000</v>
      </c>
    </row>
    <row r="112" spans="1:17" ht="46.8">
      <c r="A112" s="8" t="s">
        <v>211</v>
      </c>
      <c r="B112" s="8" t="s">
        <v>212</v>
      </c>
      <c r="C112" s="8" t="s">
        <v>121</v>
      </c>
      <c r="D112" s="12" t="s">
        <v>213</v>
      </c>
      <c r="E112" s="13">
        <f t="shared" si="47"/>
        <v>990000</v>
      </c>
      <c r="F112" s="13">
        <v>990000</v>
      </c>
      <c r="G112" s="13">
        <v>0</v>
      </c>
      <c r="H112" s="13">
        <v>0</v>
      </c>
      <c r="I112" s="13">
        <v>0</v>
      </c>
      <c r="J112" s="13">
        <f t="shared" si="27"/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f t="shared" si="46"/>
        <v>990000</v>
      </c>
    </row>
    <row r="113" spans="1:17" ht="78">
      <c r="A113" s="8" t="s">
        <v>214</v>
      </c>
      <c r="B113" s="8" t="s">
        <v>215</v>
      </c>
      <c r="C113" s="8" t="s">
        <v>121</v>
      </c>
      <c r="D113" s="12" t="s">
        <v>216</v>
      </c>
      <c r="E113" s="13">
        <f t="shared" si="47"/>
        <v>3185000</v>
      </c>
      <c r="F113" s="13">
        <v>3185000</v>
      </c>
      <c r="G113" s="13">
        <v>0</v>
      </c>
      <c r="H113" s="13">
        <v>0</v>
      </c>
      <c r="I113" s="13">
        <v>0</v>
      </c>
      <c r="J113" s="13">
        <f t="shared" si="27"/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f t="shared" si="46"/>
        <v>3185000</v>
      </c>
    </row>
    <row r="114" spans="1:17" ht="31.2">
      <c r="A114" s="16" t="s">
        <v>302</v>
      </c>
      <c r="B114" s="16" t="s">
        <v>291</v>
      </c>
      <c r="C114" s="16" t="s">
        <v>293</v>
      </c>
      <c r="D114" s="12" t="s">
        <v>292</v>
      </c>
      <c r="E114" s="13">
        <f t="shared" si="47"/>
        <v>65000</v>
      </c>
      <c r="F114" s="13">
        <v>65000</v>
      </c>
      <c r="G114" s="13"/>
      <c r="H114" s="13"/>
      <c r="I114" s="13"/>
      <c r="J114" s="13">
        <f t="shared" ref="J114" si="54">L114+O114</f>
        <v>0</v>
      </c>
      <c r="K114" s="13"/>
      <c r="L114" s="13"/>
      <c r="M114" s="13"/>
      <c r="N114" s="13"/>
      <c r="O114" s="13"/>
      <c r="P114" s="13">
        <f t="shared" ref="P114" si="55">E114 + J114</f>
        <v>65000</v>
      </c>
    </row>
    <row r="115" spans="1:17" ht="62.4">
      <c r="A115" s="9" t="s">
        <v>217</v>
      </c>
      <c r="B115" s="9" t="s">
        <v>19</v>
      </c>
      <c r="C115" s="9" t="s">
        <v>19</v>
      </c>
      <c r="D115" s="10" t="s">
        <v>218</v>
      </c>
      <c r="E115" s="11">
        <f t="shared" si="47"/>
        <v>168240600</v>
      </c>
      <c r="F115" s="11">
        <f>F116</f>
        <v>62450600</v>
      </c>
      <c r="G115" s="11">
        <f t="shared" ref="G115:I115" si="56">G116</f>
        <v>5315400</v>
      </c>
      <c r="H115" s="11">
        <f t="shared" si="56"/>
        <v>15700</v>
      </c>
      <c r="I115" s="11">
        <f t="shared" si="56"/>
        <v>105790000</v>
      </c>
      <c r="J115" s="11">
        <f t="shared" si="27"/>
        <v>0</v>
      </c>
      <c r="K115" s="11">
        <f>K116</f>
        <v>0</v>
      </c>
      <c r="L115" s="11">
        <f t="shared" ref="L115:O115" si="57">L116</f>
        <v>0</v>
      </c>
      <c r="M115" s="11">
        <f t="shared" si="57"/>
        <v>0</v>
      </c>
      <c r="N115" s="11">
        <f t="shared" si="57"/>
        <v>0</v>
      </c>
      <c r="O115" s="11">
        <f t="shared" si="57"/>
        <v>0</v>
      </c>
      <c r="P115" s="11">
        <f t="shared" si="46"/>
        <v>168240600</v>
      </c>
      <c r="Q115" s="5">
        <f>168240600-E115</f>
        <v>0</v>
      </c>
    </row>
    <row r="116" spans="1:17" ht="62.4">
      <c r="A116" s="9" t="s">
        <v>219</v>
      </c>
      <c r="B116" s="9" t="s">
        <v>19</v>
      </c>
      <c r="C116" s="9" t="s">
        <v>19</v>
      </c>
      <c r="D116" s="10" t="s">
        <v>218</v>
      </c>
      <c r="E116" s="11">
        <f t="shared" si="47"/>
        <v>168240600</v>
      </c>
      <c r="F116" s="11">
        <f>SUM(F117:F126)</f>
        <v>62450600</v>
      </c>
      <c r="G116" s="11">
        <f t="shared" ref="G116:K116" si="58">SUM(G117:G126)</f>
        <v>5315400</v>
      </c>
      <c r="H116" s="11">
        <f t="shared" si="58"/>
        <v>15700</v>
      </c>
      <c r="I116" s="11">
        <f t="shared" si="58"/>
        <v>105790000</v>
      </c>
      <c r="J116" s="11">
        <f t="shared" si="27"/>
        <v>0</v>
      </c>
      <c r="K116" s="11">
        <f t="shared" si="58"/>
        <v>0</v>
      </c>
      <c r="L116" s="11">
        <f t="shared" ref="L116" si="59">SUM(L117:L126)</f>
        <v>0</v>
      </c>
      <c r="M116" s="11">
        <f t="shared" ref="M116" si="60">SUM(M117:M126)</f>
        <v>0</v>
      </c>
      <c r="N116" s="11">
        <f t="shared" ref="N116" si="61">SUM(N117:N126)</f>
        <v>0</v>
      </c>
      <c r="O116" s="11">
        <f t="shared" ref="O116" si="62">SUM(O117:O126)</f>
        <v>0</v>
      </c>
      <c r="P116" s="11">
        <f>E116 + J116</f>
        <v>168240600</v>
      </c>
    </row>
    <row r="117" spans="1:17" ht="46.8">
      <c r="A117" s="8" t="s">
        <v>220</v>
      </c>
      <c r="B117" s="8" t="s">
        <v>76</v>
      </c>
      <c r="C117" s="8" t="s">
        <v>24</v>
      </c>
      <c r="D117" s="12" t="s">
        <v>77</v>
      </c>
      <c r="E117" s="13">
        <f t="shared" si="47"/>
        <v>5665100</v>
      </c>
      <c r="F117" s="13">
        <v>5665100</v>
      </c>
      <c r="G117" s="13">
        <f>4356900+958500</f>
        <v>5315400</v>
      </c>
      <c r="H117" s="13">
        <f>7200+900+7600</f>
        <v>15700</v>
      </c>
      <c r="I117" s="13">
        <v>0</v>
      </c>
      <c r="J117" s="13">
        <f t="shared" si="27"/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f t="shared" si="46"/>
        <v>5665100</v>
      </c>
    </row>
    <row r="118" spans="1:17" ht="46.8">
      <c r="A118" s="8" t="s">
        <v>221</v>
      </c>
      <c r="B118" s="8" t="s">
        <v>27</v>
      </c>
      <c r="C118" s="8" t="s">
        <v>28</v>
      </c>
      <c r="D118" s="12" t="s">
        <v>29</v>
      </c>
      <c r="E118" s="13">
        <f t="shared" ref="E118:E126" si="63">F118+I118</f>
        <v>10000</v>
      </c>
      <c r="F118" s="13">
        <v>10000</v>
      </c>
      <c r="G118" s="13">
        <v>0</v>
      </c>
      <c r="H118" s="13">
        <v>0</v>
      </c>
      <c r="I118" s="13">
        <v>0</v>
      </c>
      <c r="J118" s="13">
        <f t="shared" si="27"/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f t="shared" si="46"/>
        <v>10000</v>
      </c>
    </row>
    <row r="119" spans="1:17" ht="31.2">
      <c r="A119" s="8" t="s">
        <v>222</v>
      </c>
      <c r="B119" s="8" t="s">
        <v>223</v>
      </c>
      <c r="C119" s="8" t="s">
        <v>224</v>
      </c>
      <c r="D119" s="12" t="s">
        <v>225</v>
      </c>
      <c r="E119" s="13">
        <f t="shared" si="63"/>
        <v>50000</v>
      </c>
      <c r="F119" s="13">
        <v>50000</v>
      </c>
      <c r="G119" s="13">
        <v>0</v>
      </c>
      <c r="H119" s="13">
        <v>0</v>
      </c>
      <c r="I119" s="13">
        <v>0</v>
      </c>
      <c r="J119" s="13">
        <f t="shared" si="27"/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f t="shared" si="46"/>
        <v>50000</v>
      </c>
    </row>
    <row r="120" spans="1:17" ht="31.2">
      <c r="A120" s="8" t="s">
        <v>226</v>
      </c>
      <c r="B120" s="8" t="s">
        <v>227</v>
      </c>
      <c r="C120" s="8" t="s">
        <v>56</v>
      </c>
      <c r="D120" s="12" t="s">
        <v>228</v>
      </c>
      <c r="E120" s="13">
        <f t="shared" si="63"/>
        <v>300000</v>
      </c>
      <c r="F120" s="13">
        <v>0</v>
      </c>
      <c r="G120" s="13">
        <v>0</v>
      </c>
      <c r="H120" s="13">
        <v>0</v>
      </c>
      <c r="I120" s="13">
        <v>300000</v>
      </c>
      <c r="J120" s="13">
        <f t="shared" si="27"/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f t="shared" si="46"/>
        <v>300000</v>
      </c>
    </row>
    <row r="121" spans="1:17" ht="46.8">
      <c r="A121" s="8" t="s">
        <v>229</v>
      </c>
      <c r="B121" s="8" t="s">
        <v>230</v>
      </c>
      <c r="C121" s="8" t="s">
        <v>56</v>
      </c>
      <c r="D121" s="12" t="s">
        <v>231</v>
      </c>
      <c r="E121" s="13">
        <f t="shared" si="63"/>
        <v>1720000</v>
      </c>
      <c r="F121" s="13">
        <v>0</v>
      </c>
      <c r="G121" s="13">
        <v>0</v>
      </c>
      <c r="H121" s="13">
        <v>0</v>
      </c>
      <c r="I121" s="13">
        <v>1720000</v>
      </c>
      <c r="J121" s="13">
        <f t="shared" si="27"/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f t="shared" si="46"/>
        <v>1720000</v>
      </c>
    </row>
    <row r="122" spans="1:17" ht="31.2">
      <c r="A122" s="8" t="s">
        <v>232</v>
      </c>
      <c r="B122" s="8" t="s">
        <v>55</v>
      </c>
      <c r="C122" s="8" t="s">
        <v>56</v>
      </c>
      <c r="D122" s="12" t="s">
        <v>57</v>
      </c>
      <c r="E122" s="13">
        <f t="shared" si="63"/>
        <v>84160000</v>
      </c>
      <c r="F122" s="13">
        <f>12500000+11000000+15000+195000</f>
        <v>23710000</v>
      </c>
      <c r="G122" s="13">
        <v>0</v>
      </c>
      <c r="H122" s="13">
        <v>0</v>
      </c>
      <c r="I122" s="13">
        <f>60450000</f>
        <v>60450000</v>
      </c>
      <c r="J122" s="13">
        <f t="shared" si="27"/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f t="shared" si="46"/>
        <v>84160000</v>
      </c>
    </row>
    <row r="123" spans="1:17" ht="46.8">
      <c r="A123" s="8" t="s">
        <v>233</v>
      </c>
      <c r="B123" s="8" t="s">
        <v>234</v>
      </c>
      <c r="C123" s="8" t="s">
        <v>235</v>
      </c>
      <c r="D123" s="12" t="s">
        <v>236</v>
      </c>
      <c r="E123" s="13">
        <f t="shared" si="63"/>
        <v>30000000</v>
      </c>
      <c r="F123" s="13">
        <v>30000000</v>
      </c>
      <c r="G123" s="13">
        <v>0</v>
      </c>
      <c r="H123" s="13">
        <v>0</v>
      </c>
      <c r="I123" s="13">
        <v>0</v>
      </c>
      <c r="J123" s="13">
        <f t="shared" si="27"/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f t="shared" si="46"/>
        <v>30000000</v>
      </c>
    </row>
    <row r="124" spans="1:17" ht="31.2">
      <c r="A124" s="16" t="s">
        <v>303</v>
      </c>
      <c r="B124" s="16" t="s">
        <v>291</v>
      </c>
      <c r="C124" s="16" t="s">
        <v>293</v>
      </c>
      <c r="D124" s="12" t="s">
        <v>292</v>
      </c>
      <c r="E124" s="13">
        <f t="shared" si="63"/>
        <v>488300</v>
      </c>
      <c r="F124" s="13">
        <v>488300</v>
      </c>
      <c r="G124" s="13"/>
      <c r="H124" s="13"/>
      <c r="I124" s="13"/>
      <c r="J124" s="13">
        <f t="shared" si="27"/>
        <v>0</v>
      </c>
      <c r="K124" s="13"/>
      <c r="L124" s="13"/>
      <c r="M124" s="13"/>
      <c r="N124" s="13"/>
      <c r="O124" s="13"/>
      <c r="P124" s="13">
        <f t="shared" si="46"/>
        <v>488300</v>
      </c>
    </row>
    <row r="125" spans="1:17" ht="31.2">
      <c r="A125" s="8" t="s">
        <v>237</v>
      </c>
      <c r="B125" s="8" t="s">
        <v>238</v>
      </c>
      <c r="C125" s="8" t="s">
        <v>60</v>
      </c>
      <c r="D125" s="12" t="s">
        <v>239</v>
      </c>
      <c r="E125" s="13">
        <f t="shared" si="63"/>
        <v>43320000</v>
      </c>
      <c r="F125" s="13">
        <v>0</v>
      </c>
      <c r="G125" s="13">
        <v>0</v>
      </c>
      <c r="H125" s="13">
        <v>0</v>
      </c>
      <c r="I125" s="13">
        <v>43320000</v>
      </c>
      <c r="J125" s="13">
        <f t="shared" si="27"/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f t="shared" si="46"/>
        <v>43320000</v>
      </c>
    </row>
    <row r="126" spans="1:17" ht="46.8">
      <c r="A126" s="8" t="s">
        <v>240</v>
      </c>
      <c r="B126" s="8" t="s">
        <v>241</v>
      </c>
      <c r="C126" s="8" t="s">
        <v>242</v>
      </c>
      <c r="D126" s="12" t="s">
        <v>243</v>
      </c>
      <c r="E126" s="13">
        <f t="shared" si="63"/>
        <v>2527200</v>
      </c>
      <c r="F126" s="13">
        <v>2527200</v>
      </c>
      <c r="G126" s="13">
        <v>0</v>
      </c>
      <c r="H126" s="13">
        <v>0</v>
      </c>
      <c r="I126" s="13">
        <v>0</v>
      </c>
      <c r="J126" s="13">
        <f t="shared" si="27"/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f t="shared" si="46"/>
        <v>2527200</v>
      </c>
    </row>
    <row r="127" spans="1:17" ht="62.4">
      <c r="A127" s="9" t="s">
        <v>244</v>
      </c>
      <c r="B127" s="9" t="s">
        <v>19</v>
      </c>
      <c r="C127" s="9" t="s">
        <v>19</v>
      </c>
      <c r="D127" s="10" t="s">
        <v>245</v>
      </c>
      <c r="E127" s="11">
        <f t="shared" ref="E127:E133" si="64">F127+I127</f>
        <v>6373600</v>
      </c>
      <c r="F127" s="11">
        <f>F128</f>
        <v>6373600</v>
      </c>
      <c r="G127" s="11">
        <f t="shared" ref="G127:I127" si="65">G128</f>
        <v>6211800</v>
      </c>
      <c r="H127" s="11">
        <f t="shared" si="65"/>
        <v>0</v>
      </c>
      <c r="I127" s="11">
        <f t="shared" si="65"/>
        <v>0</v>
      </c>
      <c r="J127" s="11">
        <f t="shared" si="27"/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f t="shared" si="46"/>
        <v>6373600</v>
      </c>
      <c r="Q127" s="5">
        <f>6373600-E127</f>
        <v>0</v>
      </c>
    </row>
    <row r="128" spans="1:17" ht="62.4">
      <c r="A128" s="9" t="s">
        <v>246</v>
      </c>
      <c r="B128" s="9" t="s">
        <v>19</v>
      </c>
      <c r="C128" s="9" t="s">
        <v>19</v>
      </c>
      <c r="D128" s="10" t="s">
        <v>245</v>
      </c>
      <c r="E128" s="11">
        <f t="shared" si="64"/>
        <v>6373600</v>
      </c>
      <c r="F128" s="11">
        <f>SUM(F129:F130)</f>
        <v>6373600</v>
      </c>
      <c r="G128" s="11">
        <f t="shared" ref="G128:I128" si="66">SUM(G129:G130)</f>
        <v>6211800</v>
      </c>
      <c r="H128" s="11">
        <f t="shared" si="66"/>
        <v>0</v>
      </c>
      <c r="I128" s="11">
        <f t="shared" si="66"/>
        <v>0</v>
      </c>
      <c r="J128" s="11">
        <f t="shared" si="27"/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f t="shared" si="46"/>
        <v>6373600</v>
      </c>
    </row>
    <row r="129" spans="1:17" ht="46.8">
      <c r="A129" s="8" t="s">
        <v>247</v>
      </c>
      <c r="B129" s="8" t="s">
        <v>76</v>
      </c>
      <c r="C129" s="8" t="s">
        <v>24</v>
      </c>
      <c r="D129" s="12" t="s">
        <v>77</v>
      </c>
      <c r="E129" s="13">
        <f t="shared" si="64"/>
        <v>6327300</v>
      </c>
      <c r="F129" s="13">
        <v>6327300</v>
      </c>
      <c r="G129" s="13">
        <f>5091700+1120100</f>
        <v>6211800</v>
      </c>
      <c r="H129" s="13">
        <v>0</v>
      </c>
      <c r="I129" s="13">
        <v>0</v>
      </c>
      <c r="J129" s="13">
        <f t="shared" si="27"/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f t="shared" si="46"/>
        <v>6327300</v>
      </c>
    </row>
    <row r="130" spans="1:17" ht="31.2">
      <c r="A130" s="16" t="s">
        <v>304</v>
      </c>
      <c r="B130" s="16" t="s">
        <v>291</v>
      </c>
      <c r="C130" s="16" t="s">
        <v>293</v>
      </c>
      <c r="D130" s="12" t="s">
        <v>292</v>
      </c>
      <c r="E130" s="13">
        <f t="shared" si="64"/>
        <v>46300</v>
      </c>
      <c r="F130" s="13">
        <v>46300</v>
      </c>
      <c r="G130" s="13"/>
      <c r="H130" s="13"/>
      <c r="I130" s="13"/>
      <c r="J130" s="13">
        <f t="shared" ref="J130" si="67">L130+O130</f>
        <v>0</v>
      </c>
      <c r="K130" s="13"/>
      <c r="L130" s="13"/>
      <c r="M130" s="13"/>
      <c r="N130" s="13"/>
      <c r="O130" s="13"/>
      <c r="P130" s="13">
        <f t="shared" ref="P130" si="68">E130 + J130</f>
        <v>46300</v>
      </c>
    </row>
    <row r="131" spans="1:17" ht="62.4">
      <c r="A131" s="9" t="s">
        <v>248</v>
      </c>
      <c r="B131" s="9" t="s">
        <v>19</v>
      </c>
      <c r="C131" s="9" t="s">
        <v>19</v>
      </c>
      <c r="D131" s="10" t="s">
        <v>249</v>
      </c>
      <c r="E131" s="11">
        <f t="shared" si="64"/>
        <v>28701300</v>
      </c>
      <c r="F131" s="11">
        <f>F132</f>
        <v>8680300</v>
      </c>
      <c r="G131" s="11">
        <f t="shared" ref="G131:I131" si="69">G132</f>
        <v>5521700</v>
      </c>
      <c r="H131" s="11">
        <f t="shared" si="69"/>
        <v>0</v>
      </c>
      <c r="I131" s="11">
        <f t="shared" si="69"/>
        <v>20021000</v>
      </c>
      <c r="J131" s="11">
        <f t="shared" si="27"/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f t="shared" si="46"/>
        <v>28701300</v>
      </c>
      <c r="Q131" s="5">
        <f>28701300-E131</f>
        <v>0</v>
      </c>
    </row>
    <row r="132" spans="1:17" ht="62.4">
      <c r="A132" s="9" t="s">
        <v>250</v>
      </c>
      <c r="B132" s="9" t="s">
        <v>19</v>
      </c>
      <c r="C132" s="9" t="s">
        <v>19</v>
      </c>
      <c r="D132" s="10" t="s">
        <v>249</v>
      </c>
      <c r="E132" s="11">
        <f t="shared" si="64"/>
        <v>28701300</v>
      </c>
      <c r="F132" s="11">
        <f>SUM(F133:F140)</f>
        <v>8680300</v>
      </c>
      <c r="G132" s="11">
        <f t="shared" ref="G132:K132" si="70">SUM(G133:G140)</f>
        <v>5521700</v>
      </c>
      <c r="H132" s="11">
        <f t="shared" si="70"/>
        <v>0</v>
      </c>
      <c r="I132" s="11">
        <f t="shared" si="70"/>
        <v>20021000</v>
      </c>
      <c r="J132" s="11">
        <f t="shared" si="27"/>
        <v>0</v>
      </c>
      <c r="K132" s="11">
        <f t="shared" si="70"/>
        <v>0</v>
      </c>
      <c r="L132" s="11">
        <f t="shared" ref="L132" si="71">SUM(L133:L140)</f>
        <v>0</v>
      </c>
      <c r="M132" s="11">
        <f t="shared" ref="M132" si="72">SUM(M133:M140)</f>
        <v>0</v>
      </c>
      <c r="N132" s="11">
        <f t="shared" ref="N132" si="73">SUM(N133:N140)</f>
        <v>0</v>
      </c>
      <c r="O132" s="11">
        <f t="shared" ref="O132" si="74">SUM(O133:O140)</f>
        <v>0</v>
      </c>
      <c r="P132" s="11">
        <f t="shared" si="46"/>
        <v>28701300</v>
      </c>
    </row>
    <row r="133" spans="1:17" ht="46.8">
      <c r="A133" s="8" t="s">
        <v>251</v>
      </c>
      <c r="B133" s="8" t="s">
        <v>76</v>
      </c>
      <c r="C133" s="8" t="s">
        <v>24</v>
      </c>
      <c r="D133" s="12" t="s">
        <v>77</v>
      </c>
      <c r="E133" s="13">
        <f t="shared" si="64"/>
        <v>5601700</v>
      </c>
      <c r="F133" s="13">
        <v>5601700</v>
      </c>
      <c r="G133" s="13">
        <f>4526000+995700</f>
        <v>5521700</v>
      </c>
      <c r="H133" s="13">
        <v>0</v>
      </c>
      <c r="I133" s="13">
        <v>0</v>
      </c>
      <c r="J133" s="13">
        <f t="shared" si="27"/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f t="shared" si="46"/>
        <v>5601700</v>
      </c>
    </row>
    <row r="134" spans="1:17" ht="31.2">
      <c r="A134" s="8" t="s">
        <v>252</v>
      </c>
      <c r="B134" s="8" t="s">
        <v>31</v>
      </c>
      <c r="C134" s="8" t="s">
        <v>32</v>
      </c>
      <c r="D134" s="12" t="s">
        <v>33</v>
      </c>
      <c r="E134" s="13">
        <f t="shared" ref="E134:E140" si="75">F134+I134</f>
        <v>65000</v>
      </c>
      <c r="F134" s="13">
        <v>65000</v>
      </c>
      <c r="G134" s="13">
        <v>0</v>
      </c>
      <c r="H134" s="13">
        <v>0</v>
      </c>
      <c r="I134" s="13">
        <v>0</v>
      </c>
      <c r="J134" s="13">
        <f t="shared" si="27"/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f t="shared" si="46"/>
        <v>65000</v>
      </c>
    </row>
    <row r="135" spans="1:17" ht="46.8">
      <c r="A135" s="8" t="s">
        <v>253</v>
      </c>
      <c r="B135" s="8" t="s">
        <v>230</v>
      </c>
      <c r="C135" s="8" t="s">
        <v>56</v>
      </c>
      <c r="D135" s="12" t="s">
        <v>231</v>
      </c>
      <c r="E135" s="13">
        <f t="shared" si="75"/>
        <v>200000</v>
      </c>
      <c r="F135" s="13">
        <v>200000</v>
      </c>
      <c r="G135" s="13">
        <v>0</v>
      </c>
      <c r="H135" s="13">
        <v>0</v>
      </c>
      <c r="I135" s="13">
        <v>0</v>
      </c>
      <c r="J135" s="13">
        <f t="shared" si="27"/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f t="shared" si="46"/>
        <v>200000</v>
      </c>
    </row>
    <row r="136" spans="1:17" s="21" customFormat="1" ht="31.2">
      <c r="A136" s="16" t="s">
        <v>319</v>
      </c>
      <c r="B136" s="20">
        <v>6090</v>
      </c>
      <c r="C136" s="16" t="s">
        <v>318</v>
      </c>
      <c r="D136" s="12" t="s">
        <v>317</v>
      </c>
      <c r="E136" s="13">
        <f t="shared" ref="E136" si="76">F136+I136</f>
        <v>1500000</v>
      </c>
      <c r="F136" s="13">
        <v>1500000</v>
      </c>
      <c r="G136" s="13">
        <v>0</v>
      </c>
      <c r="H136" s="13">
        <v>0</v>
      </c>
      <c r="I136" s="13">
        <v>0</v>
      </c>
      <c r="J136" s="13">
        <f t="shared" ref="J136" si="77">L136+O136</f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f t="shared" si="46"/>
        <v>1500000</v>
      </c>
    </row>
    <row r="137" spans="1:17">
      <c r="A137" s="8" t="s">
        <v>254</v>
      </c>
      <c r="B137" s="8" t="s">
        <v>255</v>
      </c>
      <c r="C137" s="8" t="s">
        <v>256</v>
      </c>
      <c r="D137" s="12" t="s">
        <v>257</v>
      </c>
      <c r="E137" s="13">
        <f t="shared" si="75"/>
        <v>1160000</v>
      </c>
      <c r="F137" s="13">
        <v>1160000</v>
      </c>
      <c r="G137" s="13">
        <v>0</v>
      </c>
      <c r="H137" s="13">
        <v>0</v>
      </c>
      <c r="I137" s="13">
        <v>0</v>
      </c>
      <c r="J137" s="13">
        <f t="shared" si="27"/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f t="shared" si="46"/>
        <v>1160000</v>
      </c>
    </row>
    <row r="138" spans="1:17" ht="31.2">
      <c r="A138" s="16" t="s">
        <v>305</v>
      </c>
      <c r="B138" s="16" t="s">
        <v>291</v>
      </c>
      <c r="C138" s="16" t="s">
        <v>293</v>
      </c>
      <c r="D138" s="12" t="s">
        <v>292</v>
      </c>
      <c r="E138" s="13">
        <f t="shared" si="75"/>
        <v>8600</v>
      </c>
      <c r="F138" s="13">
        <v>8600</v>
      </c>
      <c r="G138" s="13"/>
      <c r="H138" s="13"/>
      <c r="I138" s="13"/>
      <c r="J138" s="13">
        <f t="shared" si="27"/>
        <v>0</v>
      </c>
      <c r="K138" s="13"/>
      <c r="L138" s="13"/>
      <c r="M138" s="13"/>
      <c r="N138" s="13"/>
      <c r="O138" s="13"/>
      <c r="P138" s="13">
        <f t="shared" si="46"/>
        <v>8600</v>
      </c>
    </row>
    <row r="139" spans="1:17" ht="31.2">
      <c r="A139" s="8" t="s">
        <v>261</v>
      </c>
      <c r="B139" s="8" t="s">
        <v>238</v>
      </c>
      <c r="C139" s="8" t="s">
        <v>60</v>
      </c>
      <c r="D139" s="12" t="s">
        <v>239</v>
      </c>
      <c r="E139" s="13">
        <f t="shared" si="75"/>
        <v>20021000</v>
      </c>
      <c r="F139" s="13">
        <v>0</v>
      </c>
      <c r="G139" s="13">
        <v>0</v>
      </c>
      <c r="H139" s="13">
        <v>0</v>
      </c>
      <c r="I139" s="13">
        <v>20021000</v>
      </c>
      <c r="J139" s="13">
        <f t="shared" si="27"/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f t="shared" ref="P139:P151" si="78">E139 + J139</f>
        <v>20021000</v>
      </c>
    </row>
    <row r="140" spans="1:17" ht="31.2">
      <c r="A140" s="8" t="s">
        <v>262</v>
      </c>
      <c r="B140" s="8" t="s">
        <v>263</v>
      </c>
      <c r="C140" s="8" t="s">
        <v>64</v>
      </c>
      <c r="D140" s="12" t="s">
        <v>264</v>
      </c>
      <c r="E140" s="13">
        <f t="shared" si="75"/>
        <v>145000</v>
      </c>
      <c r="F140" s="13">
        <v>145000</v>
      </c>
      <c r="G140" s="13">
        <v>0</v>
      </c>
      <c r="H140" s="13">
        <v>0</v>
      </c>
      <c r="I140" s="13">
        <v>0</v>
      </c>
      <c r="J140" s="13">
        <f t="shared" si="27"/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f t="shared" si="78"/>
        <v>145000</v>
      </c>
    </row>
    <row r="141" spans="1:17" ht="46.8">
      <c r="A141" s="9" t="s">
        <v>265</v>
      </c>
      <c r="B141" s="9" t="s">
        <v>19</v>
      </c>
      <c r="C141" s="9" t="s">
        <v>19</v>
      </c>
      <c r="D141" s="10" t="s">
        <v>266</v>
      </c>
      <c r="E141" s="11">
        <f>E142</f>
        <v>86515100</v>
      </c>
      <c r="F141" s="11">
        <f>F142</f>
        <v>76515100</v>
      </c>
      <c r="G141" s="11">
        <f t="shared" ref="G141:I141" si="79">G142</f>
        <v>7756900</v>
      </c>
      <c r="H141" s="11">
        <f t="shared" si="79"/>
        <v>0</v>
      </c>
      <c r="I141" s="11">
        <f t="shared" si="79"/>
        <v>0</v>
      </c>
      <c r="J141" s="11">
        <f t="shared" si="27"/>
        <v>0</v>
      </c>
      <c r="K141" s="11">
        <f>K142</f>
        <v>0</v>
      </c>
      <c r="L141" s="11">
        <f t="shared" ref="L141:O141" si="80">L142</f>
        <v>0</v>
      </c>
      <c r="M141" s="11">
        <f t="shared" si="80"/>
        <v>0</v>
      </c>
      <c r="N141" s="11">
        <f t="shared" si="80"/>
        <v>0</v>
      </c>
      <c r="O141" s="11">
        <f t="shared" si="80"/>
        <v>0</v>
      </c>
      <c r="P141" s="11">
        <f t="shared" si="78"/>
        <v>86515100</v>
      </c>
      <c r="Q141" s="5">
        <f>87515100-E141-J141</f>
        <v>1000000</v>
      </c>
    </row>
    <row r="142" spans="1:17" ht="46.8">
      <c r="A142" s="9" t="s">
        <v>267</v>
      </c>
      <c r="B142" s="9" t="s">
        <v>19</v>
      </c>
      <c r="C142" s="9" t="s">
        <v>19</v>
      </c>
      <c r="D142" s="10" t="s">
        <v>266</v>
      </c>
      <c r="E142" s="11">
        <f>F142+I142+E145</f>
        <v>86515100</v>
      </c>
      <c r="F142" s="11">
        <f>F143+F144+F145+F146+F147</f>
        <v>76515100</v>
      </c>
      <c r="G142" s="11">
        <f t="shared" ref="G142:K142" si="81">G143+G144+G145+G146+G147</f>
        <v>7756900</v>
      </c>
      <c r="H142" s="11">
        <f t="shared" si="81"/>
        <v>0</v>
      </c>
      <c r="I142" s="11">
        <f t="shared" si="81"/>
        <v>0</v>
      </c>
      <c r="J142" s="11">
        <f t="shared" ref="J142:J150" si="82">L142+O142</f>
        <v>0</v>
      </c>
      <c r="K142" s="11">
        <f t="shared" si="81"/>
        <v>0</v>
      </c>
      <c r="L142" s="11">
        <f t="shared" ref="L142" si="83">L143+L144+L145+L146+L147</f>
        <v>0</v>
      </c>
      <c r="M142" s="11">
        <f t="shared" ref="M142" si="84">M143+M144+M145+M146+M147</f>
        <v>0</v>
      </c>
      <c r="N142" s="11">
        <f t="shared" ref="N142" si="85">N143+N144+N145+N146+N147</f>
        <v>0</v>
      </c>
      <c r="O142" s="11">
        <f t="shared" ref="O142" si="86">O143+O144+O145+O146+O147</f>
        <v>0</v>
      </c>
      <c r="P142" s="11">
        <f t="shared" si="78"/>
        <v>86515100</v>
      </c>
    </row>
    <row r="143" spans="1:17" ht="46.8">
      <c r="A143" s="8" t="s">
        <v>268</v>
      </c>
      <c r="B143" s="8" t="s">
        <v>76</v>
      </c>
      <c r="C143" s="8" t="s">
        <v>24</v>
      </c>
      <c r="D143" s="12" t="s">
        <v>77</v>
      </c>
      <c r="E143" s="13">
        <f>F143+I143</f>
        <v>8035900</v>
      </c>
      <c r="F143" s="13">
        <v>8035900</v>
      </c>
      <c r="G143" s="13">
        <f>6358000+1398900</f>
        <v>7756900</v>
      </c>
      <c r="H143" s="13">
        <v>0</v>
      </c>
      <c r="I143" s="13">
        <v>0</v>
      </c>
      <c r="J143" s="13">
        <f t="shared" si="82"/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f t="shared" si="78"/>
        <v>8035900</v>
      </c>
    </row>
    <row r="144" spans="1:17" ht="31.2">
      <c r="A144" s="16" t="s">
        <v>306</v>
      </c>
      <c r="B144" s="16" t="s">
        <v>291</v>
      </c>
      <c r="C144" s="16" t="s">
        <v>293</v>
      </c>
      <c r="D144" s="12" t="s">
        <v>292</v>
      </c>
      <c r="E144" s="13">
        <f t="shared" ref="E144" si="87">F144+I144</f>
        <v>92500</v>
      </c>
      <c r="F144" s="13">
        <v>92500</v>
      </c>
      <c r="G144" s="13"/>
      <c r="H144" s="13"/>
      <c r="I144" s="13"/>
      <c r="J144" s="13">
        <f t="shared" si="82"/>
        <v>0</v>
      </c>
      <c r="K144" s="13"/>
      <c r="L144" s="13"/>
      <c r="M144" s="13"/>
      <c r="N144" s="13"/>
      <c r="O144" s="13"/>
      <c r="P144" s="13">
        <f t="shared" si="78"/>
        <v>92500</v>
      </c>
    </row>
    <row r="145" spans="1:16" ht="23.4" customHeight="1">
      <c r="A145" s="8" t="s">
        <v>269</v>
      </c>
      <c r="B145" s="8" t="s">
        <v>270</v>
      </c>
      <c r="C145" s="8" t="s">
        <v>32</v>
      </c>
      <c r="D145" s="12" t="s">
        <v>271</v>
      </c>
      <c r="E145" s="13">
        <v>10000000</v>
      </c>
      <c r="F145" s="13">
        <v>0</v>
      </c>
      <c r="G145" s="13">
        <v>0</v>
      </c>
      <c r="H145" s="13">
        <v>0</v>
      </c>
      <c r="I145" s="13">
        <v>0</v>
      </c>
      <c r="J145" s="13">
        <f t="shared" si="82"/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f t="shared" si="78"/>
        <v>10000000</v>
      </c>
    </row>
    <row r="146" spans="1:16" ht="23.4" customHeight="1">
      <c r="A146" s="8">
        <v>3719110</v>
      </c>
      <c r="B146" s="8">
        <v>9110</v>
      </c>
      <c r="C146" s="16" t="s">
        <v>31</v>
      </c>
      <c r="D146" s="12" t="s">
        <v>307</v>
      </c>
      <c r="E146" s="13">
        <f>F146+I146</f>
        <v>63874800</v>
      </c>
      <c r="F146" s="13">
        <v>63874800</v>
      </c>
      <c r="G146" s="13"/>
      <c r="H146" s="13"/>
      <c r="I146" s="13"/>
      <c r="J146" s="13">
        <f t="shared" si="82"/>
        <v>0</v>
      </c>
      <c r="K146" s="13"/>
      <c r="L146" s="13"/>
      <c r="M146" s="13"/>
      <c r="N146" s="13"/>
      <c r="O146" s="13"/>
      <c r="P146" s="13">
        <f t="shared" si="78"/>
        <v>63874800</v>
      </c>
    </row>
    <row r="147" spans="1:16" ht="23.4" customHeight="1">
      <c r="A147" s="8" t="s">
        <v>272</v>
      </c>
      <c r="B147" s="8" t="s">
        <v>273</v>
      </c>
      <c r="C147" s="8" t="s">
        <v>31</v>
      </c>
      <c r="D147" s="12" t="s">
        <v>274</v>
      </c>
      <c r="E147" s="13">
        <f>F147+I147</f>
        <v>4511900</v>
      </c>
      <c r="F147" s="13">
        <f>SUM(F148:F150)</f>
        <v>4511900</v>
      </c>
      <c r="G147" s="13">
        <v>0</v>
      </c>
      <c r="H147" s="13">
        <v>0</v>
      </c>
      <c r="I147" s="13">
        <v>0</v>
      </c>
      <c r="J147" s="13">
        <f t="shared" si="82"/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f t="shared" si="78"/>
        <v>4511900</v>
      </c>
    </row>
    <row r="148" spans="1:16" s="7" customFormat="1" ht="124.8">
      <c r="A148" s="14"/>
      <c r="B148" s="14"/>
      <c r="C148" s="14"/>
      <c r="D148" s="18" t="s">
        <v>309</v>
      </c>
      <c r="E148" s="15">
        <f>F148+I148</f>
        <v>1760700</v>
      </c>
      <c r="F148" s="15">
        <v>1760700</v>
      </c>
      <c r="G148" s="15"/>
      <c r="H148" s="15"/>
      <c r="I148" s="15"/>
      <c r="J148" s="15">
        <f t="shared" si="82"/>
        <v>0</v>
      </c>
      <c r="K148" s="15"/>
      <c r="L148" s="15"/>
      <c r="M148" s="15"/>
      <c r="N148" s="15"/>
      <c r="O148" s="15"/>
      <c r="P148" s="15">
        <f t="shared" si="78"/>
        <v>1760700</v>
      </c>
    </row>
    <row r="149" spans="1:16" s="7" customFormat="1" ht="62.4">
      <c r="A149" s="14"/>
      <c r="B149" s="14"/>
      <c r="C149" s="14"/>
      <c r="D149" s="1" t="s">
        <v>310</v>
      </c>
      <c r="E149" s="15">
        <f t="shared" ref="E149:E150" si="88">F149+I149</f>
        <v>500000</v>
      </c>
      <c r="F149" s="15">
        <v>500000</v>
      </c>
      <c r="G149" s="15"/>
      <c r="H149" s="15"/>
      <c r="I149" s="15"/>
      <c r="J149" s="15">
        <f t="shared" si="82"/>
        <v>0</v>
      </c>
      <c r="K149" s="15"/>
      <c r="L149" s="15"/>
      <c r="M149" s="15"/>
      <c r="N149" s="15"/>
      <c r="O149" s="15"/>
      <c r="P149" s="15">
        <f t="shared" si="78"/>
        <v>500000</v>
      </c>
    </row>
    <row r="150" spans="1:16" s="7" customFormat="1" ht="78">
      <c r="A150" s="14"/>
      <c r="B150" s="14"/>
      <c r="C150" s="14"/>
      <c r="D150" s="18" t="s">
        <v>308</v>
      </c>
      <c r="E150" s="15">
        <f t="shared" si="88"/>
        <v>2251200</v>
      </c>
      <c r="F150" s="15">
        <f>2237000+14200</f>
        <v>2251200</v>
      </c>
      <c r="G150" s="15"/>
      <c r="H150" s="15"/>
      <c r="I150" s="15"/>
      <c r="J150" s="15">
        <f t="shared" si="82"/>
        <v>0</v>
      </c>
      <c r="K150" s="15"/>
      <c r="L150" s="15"/>
      <c r="M150" s="15"/>
      <c r="N150" s="15"/>
      <c r="O150" s="15"/>
      <c r="P150" s="15">
        <f t="shared" si="78"/>
        <v>2251200</v>
      </c>
    </row>
    <row r="151" spans="1:16" ht="19.8" customHeight="1">
      <c r="A151" s="9" t="s">
        <v>276</v>
      </c>
      <c r="B151" s="9" t="s">
        <v>276</v>
      </c>
      <c r="C151" s="9" t="s">
        <v>276</v>
      </c>
      <c r="D151" s="17" t="s">
        <v>275</v>
      </c>
      <c r="E151" s="11">
        <f>E14+E51+E69+E91+E96+E107+E115+E127+E131+E141</f>
        <v>1134389539</v>
      </c>
      <c r="F151" s="11">
        <f>F14+F51+F69+F91+F96+F107+F115+F127+F131+F141</f>
        <v>998433039</v>
      </c>
      <c r="G151" s="11">
        <f>G14+G51+G69+G91+G96+G107+G115+G127+G131+G141</f>
        <v>535881800</v>
      </c>
      <c r="H151" s="11">
        <f>H14+H51+H69+H91+H96+H107+H115+H127+H131+H141</f>
        <v>46038300</v>
      </c>
      <c r="I151" s="11">
        <f>I14+I51+I69+I91+I96+I107+I115+I127+I131+I141</f>
        <v>125956500</v>
      </c>
      <c r="J151" s="11">
        <f>L151+O151</f>
        <v>22520300</v>
      </c>
      <c r="K151" s="11">
        <f>K14+K51+K69+K91+K96+K107+K115+K127+K131+K141</f>
        <v>10170000</v>
      </c>
      <c r="L151" s="11">
        <f>L14+L51+L69+L91+L96+L107+L115+L127+L131+L141</f>
        <v>11995300</v>
      </c>
      <c r="M151" s="11">
        <f>M14+M51+M69+M91+M96+M107+M115+M127+M131+M141</f>
        <v>507100</v>
      </c>
      <c r="N151" s="11">
        <f>N14+N51+N69+N91+N96+N107+N115+N127+N131+N141</f>
        <v>0</v>
      </c>
      <c r="O151" s="11">
        <f>O14+O51+O69+O91+O96+O107+O115+O127+O131+O141</f>
        <v>10525000</v>
      </c>
      <c r="P151" s="11">
        <f t="shared" si="78"/>
        <v>1156909839</v>
      </c>
    </row>
    <row r="152" spans="1:16" ht="19.8" customHeight="1">
      <c r="A152" s="22"/>
      <c r="B152" s="22"/>
      <c r="C152" s="22"/>
      <c r="D152" s="23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</row>
    <row r="153" spans="1:16" s="29" customFormat="1" ht="18">
      <c r="A153" s="25"/>
      <c r="B153" s="25"/>
      <c r="C153" s="26" t="s">
        <v>323</v>
      </c>
      <c r="D153" s="27" t="s">
        <v>324</v>
      </c>
      <c r="E153" s="28">
        <f t="shared" ref="E153:O153" si="89">E16+E21+E22+E53+E71+E72+E93+E98+E109+E117+E118+E129+E133+E134+E143</f>
        <v>168365700</v>
      </c>
      <c r="F153" s="28">
        <f t="shared" si="89"/>
        <v>168365700</v>
      </c>
      <c r="G153" s="28">
        <f t="shared" si="89"/>
        <v>152190900</v>
      </c>
      <c r="H153" s="28">
        <f t="shared" si="89"/>
        <v>5926600</v>
      </c>
      <c r="I153" s="28">
        <f t="shared" si="89"/>
        <v>0</v>
      </c>
      <c r="J153" s="28">
        <f t="shared" si="89"/>
        <v>117600</v>
      </c>
      <c r="K153" s="28">
        <f t="shared" si="89"/>
        <v>0</v>
      </c>
      <c r="L153" s="28">
        <f t="shared" si="89"/>
        <v>117600</v>
      </c>
      <c r="M153" s="28">
        <f t="shared" si="89"/>
        <v>0</v>
      </c>
      <c r="N153" s="28">
        <f t="shared" si="89"/>
        <v>0</v>
      </c>
      <c r="O153" s="28">
        <f t="shared" si="89"/>
        <v>0</v>
      </c>
      <c r="P153" s="28">
        <f>E153+J153</f>
        <v>168483300</v>
      </c>
    </row>
    <row r="154" spans="1:16" s="29" customFormat="1" ht="18">
      <c r="A154" s="25"/>
      <c r="B154" s="25"/>
      <c r="C154" s="26" t="s">
        <v>325</v>
      </c>
      <c r="D154" s="27" t="s">
        <v>326</v>
      </c>
      <c r="E154" s="28">
        <f t="shared" ref="E154:O154" si="90">E54+E55+E56+E57+E58+E59+E60+E61+E62+E63+E99</f>
        <v>395066000</v>
      </c>
      <c r="F154" s="28">
        <f t="shared" si="90"/>
        <v>395066000</v>
      </c>
      <c r="G154" s="28">
        <f t="shared" si="90"/>
        <v>302973100</v>
      </c>
      <c r="H154" s="28">
        <f t="shared" si="90"/>
        <v>35491400</v>
      </c>
      <c r="I154" s="28">
        <f t="shared" si="90"/>
        <v>0</v>
      </c>
      <c r="J154" s="28">
        <f t="shared" si="90"/>
        <v>12670700</v>
      </c>
      <c r="K154" s="28">
        <f t="shared" si="90"/>
        <v>1800000</v>
      </c>
      <c r="L154" s="28">
        <f t="shared" si="90"/>
        <v>10670700</v>
      </c>
      <c r="M154" s="28">
        <f t="shared" si="90"/>
        <v>495100</v>
      </c>
      <c r="N154" s="28">
        <f t="shared" si="90"/>
        <v>0</v>
      </c>
      <c r="O154" s="28">
        <f t="shared" si="90"/>
        <v>2000000</v>
      </c>
      <c r="P154" s="28">
        <f t="shared" ref="P154:P162" si="91">E154+J154</f>
        <v>407736700</v>
      </c>
    </row>
    <row r="155" spans="1:16" s="29" customFormat="1" ht="18">
      <c r="A155" s="25"/>
      <c r="B155" s="25"/>
      <c r="C155" s="26" t="s">
        <v>327</v>
      </c>
      <c r="D155" s="27" t="s">
        <v>328</v>
      </c>
      <c r="E155" s="28">
        <f t="shared" ref="E155:O155" si="92">E23+E24+E25+E26</f>
        <v>58086000</v>
      </c>
      <c r="F155" s="28">
        <f t="shared" si="92"/>
        <v>58086000</v>
      </c>
      <c r="G155" s="28">
        <f t="shared" si="92"/>
        <v>0</v>
      </c>
      <c r="H155" s="28">
        <f t="shared" si="92"/>
        <v>0</v>
      </c>
      <c r="I155" s="28">
        <f t="shared" si="92"/>
        <v>0</v>
      </c>
      <c r="J155" s="28">
        <f t="shared" si="92"/>
        <v>0</v>
      </c>
      <c r="K155" s="28">
        <f t="shared" si="92"/>
        <v>0</v>
      </c>
      <c r="L155" s="28">
        <f t="shared" si="92"/>
        <v>0</v>
      </c>
      <c r="M155" s="28">
        <f t="shared" si="92"/>
        <v>0</v>
      </c>
      <c r="N155" s="28">
        <f t="shared" si="92"/>
        <v>0</v>
      </c>
      <c r="O155" s="28">
        <f t="shared" si="92"/>
        <v>0</v>
      </c>
      <c r="P155" s="28">
        <f t="shared" si="91"/>
        <v>58086000</v>
      </c>
    </row>
    <row r="156" spans="1:16" s="29" customFormat="1" ht="31.8">
      <c r="A156" s="25"/>
      <c r="B156" s="25"/>
      <c r="C156" s="26" t="s">
        <v>329</v>
      </c>
      <c r="D156" s="27" t="s">
        <v>330</v>
      </c>
      <c r="E156" s="28">
        <f t="shared" ref="E156:O156" si="93">E30+E64+E65+E73+E74+E75+E76+E77+E78+E79+E80+E81+E82+E83+E84+E85+E86+E94+E100+E110+E119</f>
        <v>76609355</v>
      </c>
      <c r="F156" s="28">
        <f t="shared" si="93"/>
        <v>76609355</v>
      </c>
      <c r="G156" s="28">
        <f t="shared" si="93"/>
        <v>25399100</v>
      </c>
      <c r="H156" s="28">
        <f t="shared" si="93"/>
        <v>728000</v>
      </c>
      <c r="I156" s="28">
        <f t="shared" si="93"/>
        <v>0</v>
      </c>
      <c r="J156" s="28">
        <f t="shared" si="93"/>
        <v>182000</v>
      </c>
      <c r="K156" s="28">
        <f t="shared" si="93"/>
        <v>0</v>
      </c>
      <c r="L156" s="28">
        <f t="shared" si="93"/>
        <v>57000</v>
      </c>
      <c r="M156" s="28">
        <f t="shared" si="93"/>
        <v>0</v>
      </c>
      <c r="N156" s="28">
        <f t="shared" si="93"/>
        <v>0</v>
      </c>
      <c r="O156" s="28">
        <f t="shared" si="93"/>
        <v>125000</v>
      </c>
      <c r="P156" s="28">
        <f t="shared" si="91"/>
        <v>76791355</v>
      </c>
    </row>
    <row r="157" spans="1:16" s="29" customFormat="1" ht="18">
      <c r="A157" s="25"/>
      <c r="B157" s="25"/>
      <c r="C157" s="26" t="s">
        <v>331</v>
      </c>
      <c r="D157" s="27" t="s">
        <v>332</v>
      </c>
      <c r="E157" s="28">
        <f>E101+E102+E103+E104+E105</f>
        <v>29133700</v>
      </c>
      <c r="F157" s="28">
        <f t="shared" ref="F157:O157" si="94">F101+F102+F103+F104+F105</f>
        <v>29133700</v>
      </c>
      <c r="G157" s="28">
        <f t="shared" si="94"/>
        <v>23189700</v>
      </c>
      <c r="H157" s="28">
        <f t="shared" si="94"/>
        <v>3008700</v>
      </c>
      <c r="I157" s="28">
        <f t="shared" si="94"/>
        <v>0</v>
      </c>
      <c r="J157" s="28">
        <f t="shared" si="94"/>
        <v>280000</v>
      </c>
      <c r="K157" s="28">
        <f t="shared" si="94"/>
        <v>0</v>
      </c>
      <c r="L157" s="28">
        <f t="shared" si="94"/>
        <v>250000</v>
      </c>
      <c r="M157" s="28">
        <f t="shared" si="94"/>
        <v>12000</v>
      </c>
      <c r="N157" s="28">
        <f t="shared" si="94"/>
        <v>0</v>
      </c>
      <c r="O157" s="28">
        <f t="shared" si="94"/>
        <v>30000</v>
      </c>
      <c r="P157" s="28">
        <f t="shared" si="91"/>
        <v>29413700</v>
      </c>
    </row>
    <row r="158" spans="1:16" s="29" customFormat="1" ht="18">
      <c r="A158" s="25"/>
      <c r="B158" s="25"/>
      <c r="C158" s="26" t="s">
        <v>333</v>
      </c>
      <c r="D158" s="27" t="s">
        <v>334</v>
      </c>
      <c r="E158" s="28">
        <f>E66+E111+E112+E113</f>
        <v>18221800</v>
      </c>
      <c r="F158" s="28">
        <f t="shared" ref="F158:O158" si="95">F66+F111+F112+F113</f>
        <v>18221800</v>
      </c>
      <c r="G158" s="28">
        <f t="shared" si="95"/>
        <v>10625700</v>
      </c>
      <c r="H158" s="28">
        <f t="shared" si="95"/>
        <v>821100</v>
      </c>
      <c r="I158" s="28">
        <f t="shared" si="95"/>
        <v>0</v>
      </c>
      <c r="J158" s="28">
        <f t="shared" si="95"/>
        <v>0</v>
      </c>
      <c r="K158" s="28">
        <f t="shared" si="95"/>
        <v>0</v>
      </c>
      <c r="L158" s="28">
        <f t="shared" si="95"/>
        <v>0</v>
      </c>
      <c r="M158" s="28">
        <f t="shared" si="95"/>
        <v>0</v>
      </c>
      <c r="N158" s="28">
        <f t="shared" si="95"/>
        <v>0</v>
      </c>
      <c r="O158" s="28">
        <f t="shared" si="95"/>
        <v>0</v>
      </c>
      <c r="P158" s="28">
        <f t="shared" si="91"/>
        <v>18221800</v>
      </c>
    </row>
    <row r="159" spans="1:16" s="29" customFormat="1" ht="18">
      <c r="A159" s="25"/>
      <c r="B159" s="25"/>
      <c r="C159" s="26" t="s">
        <v>335</v>
      </c>
      <c r="D159" s="27" t="s">
        <v>336</v>
      </c>
      <c r="E159" s="28">
        <f t="shared" ref="E159:O159" si="96">E31+E35+E120+E121+E122+E135+E136</f>
        <v>180132284</v>
      </c>
      <c r="F159" s="28">
        <f t="shared" si="96"/>
        <v>117662284</v>
      </c>
      <c r="G159" s="28">
        <f t="shared" si="96"/>
        <v>0</v>
      </c>
      <c r="H159" s="28">
        <f t="shared" si="96"/>
        <v>0</v>
      </c>
      <c r="I159" s="28">
        <f t="shared" si="96"/>
        <v>62470000</v>
      </c>
      <c r="J159" s="28">
        <f t="shared" si="96"/>
        <v>170000</v>
      </c>
      <c r="K159" s="28">
        <f t="shared" si="96"/>
        <v>170000</v>
      </c>
      <c r="L159" s="28">
        <f t="shared" si="96"/>
        <v>0</v>
      </c>
      <c r="M159" s="28">
        <f t="shared" si="96"/>
        <v>0</v>
      </c>
      <c r="N159" s="28">
        <f t="shared" si="96"/>
        <v>0</v>
      </c>
      <c r="O159" s="28">
        <f t="shared" si="96"/>
        <v>170000</v>
      </c>
      <c r="P159" s="28">
        <f t="shared" si="91"/>
        <v>180302284</v>
      </c>
    </row>
    <row r="160" spans="1:16" s="29" customFormat="1" ht="18">
      <c r="A160" s="25"/>
      <c r="B160" s="25"/>
      <c r="C160" s="26" t="s">
        <v>337</v>
      </c>
      <c r="D160" s="27" t="s">
        <v>338</v>
      </c>
      <c r="E160" s="28">
        <f>E36+E37+E44+E45+E67+E87+E95+E106+E114+E123+E124+E125+E130+E137+E138+E139+E144</f>
        <v>97888800</v>
      </c>
      <c r="F160" s="28">
        <f t="shared" ref="F160:O160" si="97">F36+F37+F44+F45+F67+F87+F95+F106+F114+F123+F124+F125+F130+F137+F138+F139+F144</f>
        <v>34402300</v>
      </c>
      <c r="G160" s="28">
        <f t="shared" si="97"/>
        <v>0</v>
      </c>
      <c r="H160" s="28">
        <f t="shared" si="97"/>
        <v>0</v>
      </c>
      <c r="I160" s="28">
        <f t="shared" si="97"/>
        <v>63486500</v>
      </c>
      <c r="J160" s="28">
        <f t="shared" si="97"/>
        <v>8000000</v>
      </c>
      <c r="K160" s="28">
        <f t="shared" si="97"/>
        <v>8000000</v>
      </c>
      <c r="L160" s="28">
        <f t="shared" si="97"/>
        <v>0</v>
      </c>
      <c r="M160" s="28">
        <f t="shared" si="97"/>
        <v>0</v>
      </c>
      <c r="N160" s="28">
        <f t="shared" si="97"/>
        <v>0</v>
      </c>
      <c r="O160" s="28">
        <f t="shared" si="97"/>
        <v>8000000</v>
      </c>
      <c r="P160" s="28">
        <f>E160+J160</f>
        <v>105888800</v>
      </c>
    </row>
    <row r="161" spans="1:16" s="30" customFormat="1" ht="18">
      <c r="A161" s="25"/>
      <c r="B161" s="25"/>
      <c r="C161" s="26" t="s">
        <v>339</v>
      </c>
      <c r="D161" s="27" t="s">
        <v>340</v>
      </c>
      <c r="E161" s="28">
        <f t="shared" ref="E161:O161" si="98">E46+E47+E48+E49+E50+E68+E126+E140+E145</f>
        <v>42499200</v>
      </c>
      <c r="F161" s="28">
        <f t="shared" si="98"/>
        <v>32499200</v>
      </c>
      <c r="G161" s="28">
        <f t="shared" si="98"/>
        <v>21503300</v>
      </c>
      <c r="H161" s="28">
        <f t="shared" si="98"/>
        <v>62500</v>
      </c>
      <c r="I161" s="28">
        <f t="shared" si="98"/>
        <v>0</v>
      </c>
      <c r="J161" s="28">
        <f t="shared" si="98"/>
        <v>1100000</v>
      </c>
      <c r="K161" s="28">
        <f t="shared" si="98"/>
        <v>200000</v>
      </c>
      <c r="L161" s="28">
        <f t="shared" si="98"/>
        <v>900000</v>
      </c>
      <c r="M161" s="28">
        <f t="shared" si="98"/>
        <v>0</v>
      </c>
      <c r="N161" s="28">
        <f t="shared" si="98"/>
        <v>0</v>
      </c>
      <c r="O161" s="28">
        <f t="shared" si="98"/>
        <v>200000</v>
      </c>
      <c r="P161" s="28">
        <f t="shared" si="91"/>
        <v>43599200</v>
      </c>
    </row>
    <row r="162" spans="1:16" s="21" customFormat="1" ht="18">
      <c r="A162" s="25"/>
      <c r="B162" s="25"/>
      <c r="C162" s="26" t="s">
        <v>341</v>
      </c>
      <c r="D162" s="27" t="s">
        <v>342</v>
      </c>
      <c r="E162" s="28">
        <f>E146+E147</f>
        <v>68386700</v>
      </c>
      <c r="F162" s="28">
        <f t="shared" ref="F162:O162" si="99">F146+F147</f>
        <v>68386700</v>
      </c>
      <c r="G162" s="28">
        <f t="shared" si="99"/>
        <v>0</v>
      </c>
      <c r="H162" s="28">
        <f t="shared" si="99"/>
        <v>0</v>
      </c>
      <c r="I162" s="28">
        <f t="shared" si="99"/>
        <v>0</v>
      </c>
      <c r="J162" s="28">
        <f t="shared" si="99"/>
        <v>0</v>
      </c>
      <c r="K162" s="28">
        <f t="shared" si="99"/>
        <v>0</v>
      </c>
      <c r="L162" s="28">
        <f t="shared" si="99"/>
        <v>0</v>
      </c>
      <c r="M162" s="28">
        <f t="shared" si="99"/>
        <v>0</v>
      </c>
      <c r="N162" s="28">
        <f t="shared" si="99"/>
        <v>0</v>
      </c>
      <c r="O162" s="28">
        <f t="shared" si="99"/>
        <v>0</v>
      </c>
      <c r="P162" s="28">
        <f t="shared" si="91"/>
        <v>68386700</v>
      </c>
    </row>
    <row r="163" spans="1:16" s="21" customFormat="1">
      <c r="A163" s="31"/>
      <c r="B163" s="31"/>
      <c r="C163" s="31"/>
      <c r="D163" s="31" t="s">
        <v>17</v>
      </c>
      <c r="E163" s="32">
        <f>SUM(E153:E162)</f>
        <v>1134389539</v>
      </c>
      <c r="F163" s="32">
        <f>SUM(F153:F162)</f>
        <v>998433039</v>
      </c>
      <c r="G163" s="32">
        <f>SUM(G153:G162)</f>
        <v>535881800</v>
      </c>
      <c r="H163" s="32">
        <f t="shared" ref="H163:O163" si="100">SUM(H153:H162)</f>
        <v>46038300</v>
      </c>
      <c r="I163" s="32">
        <f t="shared" si="100"/>
        <v>125956500</v>
      </c>
      <c r="J163" s="32">
        <f t="shared" si="100"/>
        <v>22520300</v>
      </c>
      <c r="K163" s="32">
        <f>SUM(K153:K162)</f>
        <v>10170000</v>
      </c>
      <c r="L163" s="32">
        <f t="shared" si="100"/>
        <v>11995300</v>
      </c>
      <c r="M163" s="32">
        <f t="shared" si="100"/>
        <v>507100</v>
      </c>
      <c r="N163" s="32">
        <f t="shared" si="100"/>
        <v>0</v>
      </c>
      <c r="O163" s="32">
        <f t="shared" si="100"/>
        <v>10525000</v>
      </c>
      <c r="P163" s="32">
        <f>E163+J163</f>
        <v>1156909839</v>
      </c>
    </row>
    <row r="164" spans="1:16"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>
      <c r="D165" s="2" t="s">
        <v>286</v>
      </c>
      <c r="J165" s="2" t="s">
        <v>287</v>
      </c>
    </row>
    <row r="166" spans="1:16">
      <c r="H166" s="6">
        <f>'[1]2024'!$P$70</f>
        <v>46038300</v>
      </c>
    </row>
    <row r="167" spans="1:16">
      <c r="D167" s="2" t="s">
        <v>284</v>
      </c>
      <c r="E167" s="6">
        <f>[2]Аркуш1!$D$70</f>
        <v>1037040200</v>
      </c>
      <c r="J167" s="2">
        <f>[2]Аркуш1!$E$70</f>
        <v>12520300</v>
      </c>
      <c r="P167" s="6">
        <f>E167+J167</f>
        <v>1049560500</v>
      </c>
    </row>
    <row r="168" spans="1:16">
      <c r="D168" s="2" t="s">
        <v>285</v>
      </c>
      <c r="E168" s="6">
        <f>[2]Аркуш1!$D$71</f>
        <v>107349339</v>
      </c>
      <c r="P168" s="6">
        <f>E168+J168</f>
        <v>107349339</v>
      </c>
    </row>
    <row r="169" spans="1:16">
      <c r="D169" s="4" t="s">
        <v>280</v>
      </c>
      <c r="E169" s="6">
        <f>E167+E168</f>
        <v>1144389539</v>
      </c>
      <c r="F169" s="6"/>
      <c r="G169" s="6"/>
      <c r="H169" s="6"/>
      <c r="I169" s="6"/>
      <c r="J169" s="6">
        <f>J167+J168</f>
        <v>12520300</v>
      </c>
      <c r="K169" s="6"/>
      <c r="L169" s="6"/>
      <c r="M169" s="6"/>
      <c r="N169" s="6"/>
      <c r="O169" s="6"/>
      <c r="P169" s="6">
        <f>E169+J169</f>
        <v>1156909839</v>
      </c>
    </row>
    <row r="170" spans="1:16">
      <c r="E170" s="5">
        <f>E151-E169</f>
        <v>-10000000</v>
      </c>
      <c r="G170" s="5">
        <f>355300200+78212500+103011500+1200000</f>
        <v>537724200</v>
      </c>
      <c r="H170" s="5">
        <f>25007800+2161100+26747800+1976800+3576000</f>
        <v>59469500</v>
      </c>
      <c r="J170" s="5">
        <f>J151-J169</f>
        <v>10000000</v>
      </c>
      <c r="P170" s="5">
        <f>P151-P169</f>
        <v>0</v>
      </c>
    </row>
    <row r="171" spans="1:16">
      <c r="G171" s="5">
        <f>G151-G170</f>
        <v>-1842400</v>
      </c>
      <c r="H171" s="5">
        <f>H151-H170</f>
        <v>-13431200</v>
      </c>
    </row>
    <row r="172" spans="1:16">
      <c r="D172" s="4" t="s">
        <v>320</v>
      </c>
      <c r="E172" s="5">
        <f>E37+E67+E87+E95+E106+E114+E124+E130+E138+E144</f>
        <v>3275800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41" right="0.19685039370078741" top="0.59055118110236227" bottom="0.39370078740157483" header="0" footer="0"/>
  <pageSetup paperSize="9" scale="54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220FU11</cp:lastModifiedBy>
  <cp:lastPrinted>2024-12-16T16:32:53Z</cp:lastPrinted>
  <dcterms:created xsi:type="dcterms:W3CDTF">2023-12-16T13:37:11Z</dcterms:created>
  <dcterms:modified xsi:type="dcterms:W3CDTF">2024-12-18T07:44:15Z</dcterms:modified>
</cp:coreProperties>
</file>