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ВИКОНАННЯ\2024 рік\"/>
    </mc:Choice>
  </mc:AlternateContent>
  <bookViews>
    <workbookView xWindow="120" yWindow="156" windowWidth="15240" windowHeight="7608"/>
  </bookViews>
  <sheets>
    <sheet name="2024" sheetId="4" r:id="rId1"/>
  </sheets>
  <definedNames>
    <definedName name="Z_22648713_93C4_4BCC_9593_E6D578C36006_.wvu.PrintArea" localSheetId="0" hidden="1">'2024'!$A$1:$P$156</definedName>
    <definedName name="Z_22648713_93C4_4BCC_9593_E6D578C36006_.wvu.PrintTitles" localSheetId="0" hidden="1">'2024'!$10:$15</definedName>
    <definedName name="Z_22648713_93C4_4BCC_9593_E6D578C36006_.wvu.Rows" localSheetId="0" hidden="1">'2024'!$27:$27,'2024'!#REF!</definedName>
    <definedName name="_xlnm.Print_Titles" localSheetId="0">'2024'!$10:$15</definedName>
    <definedName name="_xlnm.Print_Area" localSheetId="0">'2024'!$A$1:$P$222</definedName>
  </definedNames>
  <calcPr calcId="152511"/>
  <customWorkbookViews>
    <customWorkbookView name="Администратор - Личное представление" guid="{22648713-93C4-4BCC-9593-E6D578C36006}" mergeInterval="0" personalView="1" maximized="1" xWindow="1" yWindow="1" windowWidth="1276" windowHeight="767" activeSheetId="4" showComments="commIndAndComment"/>
  </customWorkbookViews>
</workbook>
</file>

<file path=xl/calcChain.xml><?xml version="1.0" encoding="utf-8"?>
<calcChain xmlns="http://schemas.openxmlformats.org/spreadsheetml/2006/main">
  <c r="P19" i="4" l="1"/>
  <c r="M69" i="4" l="1"/>
  <c r="I17" i="4" l="1"/>
  <c r="I202" i="4" l="1"/>
  <c r="M202" i="4" s="1"/>
  <c r="I203" i="4"/>
  <c r="M203" i="4" s="1"/>
  <c r="I204" i="4"/>
  <c r="E202" i="4"/>
  <c r="E203" i="4"/>
  <c r="E204" i="4"/>
  <c r="M204" i="4" s="1"/>
  <c r="P203" i="4"/>
  <c r="P204" i="4"/>
  <c r="O203" i="4"/>
  <c r="O204" i="4"/>
  <c r="N202" i="4"/>
  <c r="N203" i="4"/>
  <c r="N204" i="4"/>
  <c r="P202" i="4"/>
  <c r="O202" i="4"/>
  <c r="P168" i="4"/>
  <c r="O168" i="4"/>
  <c r="M168" i="4"/>
  <c r="I168" i="4" l="1"/>
  <c r="I162" i="4" s="1"/>
  <c r="I127" i="4"/>
  <c r="I54" i="4"/>
  <c r="E54" i="4"/>
  <c r="P210" i="4"/>
  <c r="P211" i="4"/>
  <c r="P212" i="4"/>
  <c r="P213" i="4"/>
  <c r="P214" i="4"/>
  <c r="P215" i="4"/>
  <c r="P216" i="4"/>
  <c r="P217" i="4"/>
  <c r="P218" i="4"/>
  <c r="P219" i="4"/>
  <c r="P220" i="4"/>
  <c r="O211" i="4"/>
  <c r="O212" i="4"/>
  <c r="O213" i="4"/>
  <c r="O214" i="4"/>
  <c r="O216" i="4"/>
  <c r="O217" i="4"/>
  <c r="O218" i="4"/>
  <c r="O219" i="4"/>
  <c r="O220" i="4"/>
  <c r="K215" i="4"/>
  <c r="G19" i="4"/>
  <c r="K146" i="4"/>
  <c r="K121" i="4"/>
  <c r="K120" i="4"/>
  <c r="K118" i="4"/>
  <c r="K96" i="4"/>
  <c r="K84" i="4"/>
  <c r="K64" i="4"/>
  <c r="K62" i="4"/>
  <c r="K59" i="4"/>
  <c r="K58" i="4"/>
  <c r="K57" i="4"/>
  <c r="G121" i="4"/>
  <c r="G64" i="4"/>
  <c r="G58" i="4"/>
  <c r="G57" i="4"/>
  <c r="K20" i="4"/>
  <c r="K19" i="4"/>
  <c r="G20" i="4"/>
  <c r="H173" i="4"/>
  <c r="G211" i="4"/>
  <c r="G216" i="4" l="1"/>
  <c r="H216" i="4"/>
  <c r="L218" i="4"/>
  <c r="K218" i="4"/>
  <c r="H218" i="4"/>
  <c r="G218" i="4"/>
  <c r="L216" i="4"/>
  <c r="K216" i="4"/>
  <c r="L219" i="4"/>
  <c r="L217" i="4"/>
  <c r="L214" i="4"/>
  <c r="L213" i="4"/>
  <c r="L212" i="4"/>
  <c r="L211" i="4"/>
  <c r="L210" i="4"/>
  <c r="H219" i="4"/>
  <c r="H217" i="4"/>
  <c r="H214" i="4"/>
  <c r="H213" i="4"/>
  <c r="H212" i="4"/>
  <c r="H211" i="4"/>
  <c r="H210" i="4"/>
  <c r="K219" i="4"/>
  <c r="K217" i="4"/>
  <c r="K214" i="4"/>
  <c r="K213" i="4"/>
  <c r="K212" i="4"/>
  <c r="K211" i="4"/>
  <c r="G217" i="4"/>
  <c r="G213" i="4"/>
  <c r="G173" i="4"/>
  <c r="G162" i="4" s="1"/>
  <c r="L162" i="4"/>
  <c r="K162" i="4"/>
  <c r="J162" i="4"/>
  <c r="H162" i="4"/>
  <c r="F162" i="4"/>
  <c r="P177" i="4"/>
  <c r="O177" i="4"/>
  <c r="N177" i="4"/>
  <c r="M177" i="4"/>
  <c r="I177" i="4"/>
  <c r="E177" i="4"/>
  <c r="L176" i="4"/>
  <c r="K176" i="4"/>
  <c r="I176" i="4" s="1"/>
  <c r="H176" i="4"/>
  <c r="G176" i="4"/>
  <c r="I174" i="4"/>
  <c r="I175" i="4"/>
  <c r="E174" i="4"/>
  <c r="E175" i="4"/>
  <c r="E176" i="4"/>
  <c r="L170" i="4"/>
  <c r="K170" i="4"/>
  <c r="H170" i="4"/>
  <c r="G170" i="4"/>
  <c r="E168" i="4"/>
  <c r="H167" i="4"/>
  <c r="L167" i="4"/>
  <c r="K167" i="4"/>
  <c r="G167" i="4"/>
  <c r="P151" i="4"/>
  <c r="P152" i="4"/>
  <c r="P153" i="4"/>
  <c r="P154" i="4"/>
  <c r="P155" i="4"/>
  <c r="P156" i="4"/>
  <c r="P157" i="4"/>
  <c r="P158" i="4"/>
  <c r="O151" i="4"/>
  <c r="O152" i="4"/>
  <c r="O153" i="4"/>
  <c r="O154" i="4"/>
  <c r="O155" i="4"/>
  <c r="O156" i="4"/>
  <c r="O157" i="4"/>
  <c r="O158" i="4"/>
  <c r="G157" i="4"/>
  <c r="K156" i="4"/>
  <c r="G156" i="4"/>
  <c r="L154" i="4"/>
  <c r="K154" i="4"/>
  <c r="H154" i="4"/>
  <c r="G154" i="4"/>
  <c r="H150" i="4"/>
  <c r="L150" i="4"/>
  <c r="K150" i="4"/>
  <c r="I150" i="4" s="1"/>
  <c r="G150" i="4"/>
  <c r="P149" i="4"/>
  <c r="O149" i="4"/>
  <c r="P148" i="4"/>
  <c r="O148" i="4"/>
  <c r="I149" i="4"/>
  <c r="I151" i="4"/>
  <c r="E149" i="4"/>
  <c r="E150" i="4"/>
  <c r="E151" i="4"/>
  <c r="P145" i="4"/>
  <c r="O145" i="4"/>
  <c r="I145" i="4"/>
  <c r="E145" i="4"/>
  <c r="K88" i="4"/>
  <c r="L88" i="4"/>
  <c r="H88" i="4"/>
  <c r="G88" i="4"/>
  <c r="P104" i="4"/>
  <c r="O104" i="4"/>
  <c r="I104" i="4"/>
  <c r="E104" i="4"/>
  <c r="P96" i="4"/>
  <c r="O96" i="4"/>
  <c r="L54" i="4"/>
  <c r="K54" i="4"/>
  <c r="H54" i="4"/>
  <c r="G54" i="4"/>
  <c r="P85" i="4"/>
  <c r="O85" i="4"/>
  <c r="P84" i="4"/>
  <c r="O84" i="4"/>
  <c r="P69" i="4"/>
  <c r="O69" i="4"/>
  <c r="P59" i="4"/>
  <c r="P64" i="4"/>
  <c r="I69" i="4"/>
  <c r="E69" i="4"/>
  <c r="P150" i="4" l="1"/>
  <c r="O150" i="4"/>
  <c r="H17" i="4" l="1"/>
  <c r="L36" i="4"/>
  <c r="K36" i="4"/>
  <c r="G36" i="4"/>
  <c r="O20" i="4"/>
  <c r="J218" i="4" l="1"/>
  <c r="J217" i="4"/>
  <c r="F217" i="4"/>
  <c r="J213" i="4"/>
  <c r="J211" i="4"/>
  <c r="F211" i="4"/>
  <c r="F210" i="4"/>
  <c r="F136" i="4"/>
  <c r="F17" i="4"/>
  <c r="F218" i="4" l="1"/>
  <c r="F216" i="4"/>
  <c r="F213" i="4"/>
  <c r="F219" i="4"/>
  <c r="F215" i="4"/>
  <c r="F214" i="4"/>
  <c r="F212" i="4"/>
  <c r="J210" i="4"/>
  <c r="F220" i="4" l="1"/>
  <c r="J194" i="4"/>
  <c r="H202" i="4"/>
  <c r="H201" i="4"/>
  <c r="G202" i="4"/>
  <c r="G201" i="4"/>
  <c r="F203" i="4"/>
  <c r="F201" i="4"/>
  <c r="F194" i="4"/>
  <c r="J185" i="4"/>
  <c r="F185" i="4"/>
  <c r="J159" i="4"/>
  <c r="F159" i="4"/>
  <c r="N158" i="4"/>
  <c r="I158" i="4"/>
  <c r="E158" i="4"/>
  <c r="J154" i="4"/>
  <c r="F154" i="4"/>
  <c r="J152" i="4"/>
  <c r="F152" i="4"/>
  <c r="J146" i="4"/>
  <c r="F146" i="4"/>
  <c r="J130" i="4"/>
  <c r="F130" i="4"/>
  <c r="J115" i="4"/>
  <c r="F115" i="4"/>
  <c r="I125" i="4"/>
  <c r="N125" i="4"/>
  <c r="E125" i="4"/>
  <c r="I113" i="4"/>
  <c r="E113" i="4"/>
  <c r="L110" i="4"/>
  <c r="K110" i="4"/>
  <c r="H110" i="4"/>
  <c r="G110" i="4"/>
  <c r="J110" i="4"/>
  <c r="F110" i="4"/>
  <c r="J108" i="4"/>
  <c r="F108" i="4"/>
  <c r="E108" i="4" s="1"/>
  <c r="P108" i="4"/>
  <c r="O108" i="4"/>
  <c r="J107" i="4"/>
  <c r="F107" i="4"/>
  <c r="P102" i="4"/>
  <c r="O102" i="4"/>
  <c r="N102" i="4"/>
  <c r="I102" i="4"/>
  <c r="E102" i="4"/>
  <c r="M158" i="4" l="1"/>
  <c r="N108" i="4"/>
  <c r="F88" i="4"/>
  <c r="M125" i="4"/>
  <c r="J88" i="4"/>
  <c r="I108" i="4"/>
  <c r="M108" i="4" s="1"/>
  <c r="M102" i="4"/>
  <c r="P81" i="4" l="1"/>
  <c r="O81" i="4"/>
  <c r="N81" i="4"/>
  <c r="P80" i="4"/>
  <c r="O80" i="4"/>
  <c r="N80" i="4"/>
  <c r="I81" i="4"/>
  <c r="E81" i="4"/>
  <c r="J78" i="4"/>
  <c r="J77" i="4"/>
  <c r="F78" i="4"/>
  <c r="F77" i="4"/>
  <c r="J74" i="4"/>
  <c r="J73" i="4"/>
  <c r="F74" i="4"/>
  <c r="F73" i="4"/>
  <c r="J60" i="4"/>
  <c r="J54" i="4" s="1"/>
  <c r="F60" i="4"/>
  <c r="F54" i="4" s="1"/>
  <c r="M81" i="4" l="1"/>
  <c r="I42" i="4" l="1"/>
  <c r="I41" i="4"/>
  <c r="I40" i="4"/>
  <c r="I39" i="4"/>
  <c r="I38" i="4"/>
  <c r="M38" i="4" s="1"/>
  <c r="I37" i="4"/>
  <c r="E42" i="4"/>
  <c r="E41" i="4"/>
  <c r="E40" i="4"/>
  <c r="E39" i="4"/>
  <c r="E38" i="4"/>
  <c r="E37" i="4"/>
  <c r="P38" i="4"/>
  <c r="O38" i="4"/>
  <c r="P37" i="4"/>
  <c r="O37" i="4"/>
  <c r="P42" i="4"/>
  <c r="O42" i="4"/>
  <c r="N42" i="4"/>
  <c r="P41" i="4"/>
  <c r="O41" i="4"/>
  <c r="N41" i="4"/>
  <c r="P40" i="4"/>
  <c r="O40" i="4"/>
  <c r="N40" i="4"/>
  <c r="P39" i="4"/>
  <c r="O39" i="4"/>
  <c r="N39" i="4"/>
  <c r="N38" i="4"/>
  <c r="N37" i="4"/>
  <c r="M37" i="4" l="1"/>
  <c r="M39" i="4"/>
  <c r="M40" i="4"/>
  <c r="M41" i="4"/>
  <c r="M42" i="4"/>
  <c r="E51" i="4"/>
  <c r="P51" i="4"/>
  <c r="O51" i="4"/>
  <c r="N51" i="4"/>
  <c r="I51" i="4"/>
  <c r="M51" i="4" l="1"/>
  <c r="J49" i="4" l="1"/>
  <c r="F49" i="4"/>
  <c r="J45" i="4"/>
  <c r="F45" i="4"/>
  <c r="J36" i="4"/>
  <c r="F36" i="4"/>
  <c r="J28" i="4"/>
  <c r="F28" i="4"/>
  <c r="O88" i="4" l="1"/>
  <c r="H192" i="4"/>
  <c r="L103" i="4"/>
  <c r="H105" i="4"/>
  <c r="O105" i="4"/>
  <c r="N105" i="4"/>
  <c r="I105" i="4"/>
  <c r="E105" i="4"/>
  <c r="O103" i="4"/>
  <c r="N103" i="4"/>
  <c r="I103" i="4"/>
  <c r="E103" i="4"/>
  <c r="P103" i="4" l="1"/>
  <c r="P105" i="4"/>
  <c r="M105" i="4"/>
  <c r="M103" i="4"/>
  <c r="P70" i="4" l="1"/>
  <c r="O70" i="4"/>
  <c r="N70" i="4"/>
  <c r="I70" i="4"/>
  <c r="E70" i="4"/>
  <c r="M70" i="4" l="1"/>
  <c r="O36" i="4" l="1"/>
  <c r="N36" i="4"/>
  <c r="I36" i="4"/>
  <c r="H36" i="4"/>
  <c r="P36" i="4" s="1"/>
  <c r="E36" i="4"/>
  <c r="M36" i="4" l="1"/>
  <c r="J215" i="4" l="1"/>
  <c r="J214" i="4"/>
  <c r="J212" i="4"/>
  <c r="L192" i="4" l="1"/>
  <c r="K192" i="4"/>
  <c r="N159" i="4" l="1"/>
  <c r="N157" i="4"/>
  <c r="N156" i="4"/>
  <c r="I156" i="4"/>
  <c r="I157" i="4"/>
  <c r="I159" i="4"/>
  <c r="E157" i="4"/>
  <c r="E159" i="4"/>
  <c r="M159" i="4" l="1"/>
  <c r="M157" i="4"/>
  <c r="J136" i="4"/>
  <c r="N85" i="4" l="1"/>
  <c r="I85" i="4"/>
  <c r="E85" i="4"/>
  <c r="E74" i="4"/>
  <c r="E73" i="4"/>
  <c r="I74" i="4"/>
  <c r="I73" i="4"/>
  <c r="N74" i="4"/>
  <c r="N73" i="4"/>
  <c r="M85" i="4" l="1"/>
  <c r="M73" i="4"/>
  <c r="M74" i="4"/>
  <c r="I71" i="4" l="1"/>
  <c r="N71" i="4" l="1"/>
  <c r="E71" i="4"/>
  <c r="M71" i="4" s="1"/>
  <c r="N19" i="4" l="1"/>
  <c r="N20" i="4"/>
  <c r="P20" i="4"/>
  <c r="N21" i="4"/>
  <c r="O21" i="4"/>
  <c r="P21" i="4"/>
  <c r="N22" i="4"/>
  <c r="O22" i="4"/>
  <c r="P22" i="4"/>
  <c r="N23" i="4"/>
  <c r="O23" i="4"/>
  <c r="P23" i="4"/>
  <c r="N24" i="4"/>
  <c r="O24" i="4"/>
  <c r="P24" i="4"/>
  <c r="N25" i="4"/>
  <c r="O25" i="4"/>
  <c r="P25" i="4"/>
  <c r="N26" i="4"/>
  <c r="O26" i="4"/>
  <c r="P26" i="4"/>
  <c r="N27" i="4"/>
  <c r="O27" i="4"/>
  <c r="P27" i="4"/>
  <c r="N28" i="4"/>
  <c r="O28" i="4"/>
  <c r="P28" i="4"/>
  <c r="N29" i="4"/>
  <c r="O29" i="4"/>
  <c r="P29" i="4"/>
  <c r="N31" i="4"/>
  <c r="O31" i="4"/>
  <c r="P31" i="4"/>
  <c r="N32" i="4"/>
  <c r="O32" i="4"/>
  <c r="P32" i="4"/>
  <c r="N33" i="4"/>
  <c r="O33" i="4"/>
  <c r="P33" i="4"/>
  <c r="N34" i="4"/>
  <c r="O34" i="4"/>
  <c r="P34" i="4"/>
  <c r="N35" i="4"/>
  <c r="O35" i="4"/>
  <c r="P35" i="4"/>
  <c r="N43" i="4"/>
  <c r="O43" i="4"/>
  <c r="P43" i="4"/>
  <c r="N44" i="4"/>
  <c r="O44" i="4"/>
  <c r="P44" i="4"/>
  <c r="N45" i="4"/>
  <c r="O45" i="4"/>
  <c r="P45" i="4"/>
  <c r="N46" i="4"/>
  <c r="O46" i="4"/>
  <c r="P46" i="4"/>
  <c r="N47" i="4"/>
  <c r="O47" i="4"/>
  <c r="P47" i="4"/>
  <c r="N48" i="4"/>
  <c r="O48" i="4"/>
  <c r="P48" i="4"/>
  <c r="N49" i="4"/>
  <c r="N50" i="4"/>
  <c r="O50" i="4"/>
  <c r="P50" i="4"/>
  <c r="N52" i="4"/>
  <c r="O52" i="4"/>
  <c r="P52" i="4"/>
  <c r="N55" i="4"/>
  <c r="O55" i="4"/>
  <c r="P55" i="4"/>
  <c r="N56" i="4"/>
  <c r="O56" i="4"/>
  <c r="P56" i="4"/>
  <c r="N57" i="4"/>
  <c r="O57" i="4"/>
  <c r="N58" i="4"/>
  <c r="P58" i="4"/>
  <c r="N59" i="4"/>
  <c r="N60" i="4"/>
  <c r="O60" i="4"/>
  <c r="P60" i="4"/>
  <c r="N61" i="4"/>
  <c r="O61" i="4"/>
  <c r="P61" i="4"/>
  <c r="N62" i="4"/>
  <c r="O62" i="4"/>
  <c r="P62" i="4"/>
  <c r="N63" i="4"/>
  <c r="O63" i="4"/>
  <c r="P63" i="4"/>
  <c r="N64" i="4"/>
  <c r="N65" i="4"/>
  <c r="O65" i="4"/>
  <c r="P65" i="4"/>
  <c r="N66" i="4"/>
  <c r="O66" i="4"/>
  <c r="P66" i="4"/>
  <c r="N67" i="4"/>
  <c r="O67" i="4"/>
  <c r="P67" i="4"/>
  <c r="N68" i="4"/>
  <c r="O68" i="4"/>
  <c r="P68" i="4"/>
  <c r="N75" i="4"/>
  <c r="O75" i="4"/>
  <c r="P75" i="4"/>
  <c r="N76" i="4"/>
  <c r="O76" i="4"/>
  <c r="P76" i="4"/>
  <c r="N77" i="4"/>
  <c r="O77" i="4"/>
  <c r="P77" i="4"/>
  <c r="N78" i="4"/>
  <c r="O78" i="4"/>
  <c r="P78" i="4"/>
  <c r="N79" i="4"/>
  <c r="O79" i="4"/>
  <c r="P79" i="4"/>
  <c r="N82" i="4"/>
  <c r="O82" i="4"/>
  <c r="P82" i="4"/>
  <c r="N83" i="4"/>
  <c r="O83" i="4"/>
  <c r="P83" i="4"/>
  <c r="N84" i="4"/>
  <c r="N86" i="4"/>
  <c r="O86" i="4"/>
  <c r="P86" i="4"/>
  <c r="P88" i="4"/>
  <c r="N89" i="4"/>
  <c r="O89" i="4"/>
  <c r="P89" i="4"/>
  <c r="N90" i="4"/>
  <c r="O90" i="4"/>
  <c r="P90" i="4"/>
  <c r="N91" i="4"/>
  <c r="O91" i="4"/>
  <c r="P91" i="4"/>
  <c r="N92" i="4"/>
  <c r="O92" i="4"/>
  <c r="P92" i="4"/>
  <c r="N93" i="4"/>
  <c r="O93" i="4"/>
  <c r="P93" i="4"/>
  <c r="N94" i="4"/>
  <c r="O94" i="4"/>
  <c r="P94" i="4"/>
  <c r="N95" i="4"/>
  <c r="O95" i="4"/>
  <c r="P95" i="4"/>
  <c r="N96" i="4"/>
  <c r="N97" i="4"/>
  <c r="O97" i="4"/>
  <c r="P97" i="4"/>
  <c r="N98" i="4"/>
  <c r="O98" i="4"/>
  <c r="P98" i="4"/>
  <c r="N99" i="4"/>
  <c r="O99" i="4"/>
  <c r="P99" i="4"/>
  <c r="N100" i="4"/>
  <c r="O100" i="4"/>
  <c r="P100" i="4"/>
  <c r="N101" i="4"/>
  <c r="O101" i="4"/>
  <c r="P101" i="4"/>
  <c r="N106" i="4"/>
  <c r="P106" i="4"/>
  <c r="N107" i="4"/>
  <c r="P107" i="4"/>
  <c r="N111" i="4"/>
  <c r="O111" i="4"/>
  <c r="P111" i="4"/>
  <c r="N112" i="4"/>
  <c r="P112" i="4"/>
  <c r="N116" i="4"/>
  <c r="O116" i="4"/>
  <c r="P116" i="4"/>
  <c r="N117" i="4"/>
  <c r="O117" i="4"/>
  <c r="P117" i="4"/>
  <c r="N118" i="4"/>
  <c r="O118" i="4"/>
  <c r="P118" i="4"/>
  <c r="N119" i="4"/>
  <c r="O119" i="4"/>
  <c r="P119" i="4"/>
  <c r="N120" i="4"/>
  <c r="P120" i="4"/>
  <c r="N121" i="4"/>
  <c r="P121" i="4"/>
  <c r="N122" i="4"/>
  <c r="O122" i="4"/>
  <c r="P122" i="4"/>
  <c r="N123" i="4"/>
  <c r="O123" i="4"/>
  <c r="P123" i="4"/>
  <c r="N124" i="4"/>
  <c r="O124" i="4"/>
  <c r="P124" i="4"/>
  <c r="N128" i="4"/>
  <c r="O128" i="4"/>
  <c r="P128" i="4"/>
  <c r="N129" i="4"/>
  <c r="O129" i="4"/>
  <c r="P129" i="4"/>
  <c r="O130" i="4"/>
  <c r="P130" i="4"/>
  <c r="N131" i="4"/>
  <c r="O131" i="4"/>
  <c r="P131" i="4"/>
  <c r="N132" i="4"/>
  <c r="O132" i="4"/>
  <c r="P132" i="4"/>
  <c r="N133" i="4"/>
  <c r="O133" i="4"/>
  <c r="P133" i="4"/>
  <c r="N134" i="4"/>
  <c r="O134" i="4"/>
  <c r="P134" i="4"/>
  <c r="N137" i="4"/>
  <c r="O137" i="4"/>
  <c r="P137" i="4"/>
  <c r="N138" i="4"/>
  <c r="O138" i="4"/>
  <c r="P138" i="4"/>
  <c r="N139" i="4"/>
  <c r="O139" i="4"/>
  <c r="P139" i="4"/>
  <c r="N140" i="4"/>
  <c r="O140" i="4"/>
  <c r="P140" i="4"/>
  <c r="N141" i="4"/>
  <c r="O141" i="4"/>
  <c r="P141" i="4"/>
  <c r="N142" i="4"/>
  <c r="O142" i="4"/>
  <c r="P142" i="4"/>
  <c r="N143" i="4"/>
  <c r="O143" i="4"/>
  <c r="N144" i="4"/>
  <c r="O144" i="4"/>
  <c r="P144" i="4"/>
  <c r="N146" i="4"/>
  <c r="P146" i="4"/>
  <c r="N147" i="4"/>
  <c r="O147" i="4"/>
  <c r="P147" i="4"/>
  <c r="N148" i="4"/>
  <c r="N151" i="4"/>
  <c r="N152" i="4"/>
  <c r="N153" i="4"/>
  <c r="N154" i="4"/>
  <c r="N155" i="4"/>
  <c r="N160" i="4"/>
  <c r="O160" i="4"/>
  <c r="P160" i="4"/>
  <c r="N163" i="4"/>
  <c r="O163" i="4"/>
  <c r="P163" i="4"/>
  <c r="N164" i="4"/>
  <c r="O164" i="4"/>
  <c r="P164" i="4"/>
  <c r="N165" i="4"/>
  <c r="O165" i="4"/>
  <c r="P165" i="4"/>
  <c r="N166" i="4"/>
  <c r="P166" i="4"/>
  <c r="N167" i="4"/>
  <c r="O167" i="4"/>
  <c r="P167" i="4"/>
  <c r="N169" i="4"/>
  <c r="O169" i="4"/>
  <c r="P169" i="4"/>
  <c r="N170" i="4"/>
  <c r="O170" i="4"/>
  <c r="P170" i="4"/>
  <c r="N171" i="4"/>
  <c r="O171" i="4"/>
  <c r="P171" i="4"/>
  <c r="N172" i="4"/>
  <c r="O172" i="4"/>
  <c r="P172" i="4"/>
  <c r="N173" i="4"/>
  <c r="O173" i="4"/>
  <c r="P173" i="4"/>
  <c r="N175" i="4"/>
  <c r="O175" i="4"/>
  <c r="P175" i="4"/>
  <c r="N176" i="4"/>
  <c r="N180" i="4"/>
  <c r="O180" i="4"/>
  <c r="P180" i="4"/>
  <c r="N181" i="4"/>
  <c r="O181" i="4"/>
  <c r="P181" i="4"/>
  <c r="N182" i="4"/>
  <c r="O182" i="4"/>
  <c r="P182" i="4"/>
  <c r="N183" i="4"/>
  <c r="O183" i="4"/>
  <c r="P183" i="4"/>
  <c r="N184" i="4"/>
  <c r="O184" i="4"/>
  <c r="P184" i="4"/>
  <c r="N185" i="4"/>
  <c r="O185" i="4"/>
  <c r="P185" i="4"/>
  <c r="N186" i="4"/>
  <c r="O186" i="4"/>
  <c r="P186" i="4"/>
  <c r="N189" i="4"/>
  <c r="P189" i="4"/>
  <c r="N190" i="4"/>
  <c r="O190" i="4"/>
  <c r="P190" i="4"/>
  <c r="N191" i="4"/>
  <c r="O191" i="4"/>
  <c r="P191" i="4"/>
  <c r="N193" i="4"/>
  <c r="O193" i="4"/>
  <c r="P193" i="4"/>
  <c r="O194" i="4"/>
  <c r="P194" i="4"/>
  <c r="N195" i="4"/>
  <c r="O195" i="4"/>
  <c r="P195" i="4"/>
  <c r="N196" i="4"/>
  <c r="O196" i="4"/>
  <c r="P196" i="4"/>
  <c r="N197" i="4"/>
  <c r="O197" i="4"/>
  <c r="P197" i="4"/>
  <c r="N198" i="4"/>
  <c r="O198" i="4"/>
  <c r="P198" i="4"/>
  <c r="M200" i="4"/>
  <c r="N200" i="4"/>
  <c r="O200" i="4"/>
  <c r="P200" i="4"/>
  <c r="N201" i="4"/>
  <c r="O201" i="4"/>
  <c r="P201" i="4"/>
  <c r="N205" i="4"/>
  <c r="O205" i="4"/>
  <c r="P205" i="4"/>
  <c r="O206" i="4"/>
  <c r="P206" i="4"/>
  <c r="N207" i="4"/>
  <c r="O207" i="4"/>
  <c r="P207" i="4"/>
  <c r="N208" i="4"/>
  <c r="O208" i="4"/>
  <c r="P208" i="4"/>
  <c r="I190" i="4" l="1"/>
  <c r="I186" i="4"/>
  <c r="I181" i="4"/>
  <c r="I182" i="4"/>
  <c r="I183" i="4"/>
  <c r="I184" i="4"/>
  <c r="I185" i="4"/>
  <c r="I164" i="4"/>
  <c r="I165" i="4"/>
  <c r="I167" i="4"/>
  <c r="I169" i="4"/>
  <c r="I170" i="4"/>
  <c r="I171" i="4"/>
  <c r="I172" i="4"/>
  <c r="I173" i="4"/>
  <c r="I138" i="4"/>
  <c r="I139" i="4"/>
  <c r="I140" i="4"/>
  <c r="I141" i="4"/>
  <c r="I142" i="4"/>
  <c r="I143" i="4"/>
  <c r="I144" i="4"/>
  <c r="I146" i="4"/>
  <c r="I147" i="4"/>
  <c r="I148" i="4"/>
  <c r="I152" i="4"/>
  <c r="I153" i="4"/>
  <c r="I154" i="4"/>
  <c r="I155" i="4"/>
  <c r="I160" i="4"/>
  <c r="I129" i="4"/>
  <c r="I130" i="4"/>
  <c r="I131" i="4"/>
  <c r="I132" i="4"/>
  <c r="I133" i="4"/>
  <c r="I134" i="4"/>
  <c r="I117" i="4"/>
  <c r="I118" i="4"/>
  <c r="I119" i="4"/>
  <c r="I120" i="4"/>
  <c r="I121" i="4"/>
  <c r="I122" i="4"/>
  <c r="I123" i="4"/>
  <c r="I124" i="4"/>
  <c r="I112" i="4"/>
  <c r="I90" i="4"/>
  <c r="I91" i="4"/>
  <c r="I92" i="4"/>
  <c r="I93" i="4"/>
  <c r="I94" i="4"/>
  <c r="I95" i="4"/>
  <c r="I96" i="4"/>
  <c r="I97" i="4"/>
  <c r="I98" i="4"/>
  <c r="I99" i="4"/>
  <c r="I100" i="4"/>
  <c r="I101" i="4"/>
  <c r="I106" i="4"/>
  <c r="I107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75" i="4"/>
  <c r="I76" i="4"/>
  <c r="I77" i="4"/>
  <c r="I78" i="4"/>
  <c r="I79" i="4"/>
  <c r="I80" i="4"/>
  <c r="I82" i="4"/>
  <c r="I83" i="4"/>
  <c r="I84" i="4"/>
  <c r="I86" i="4"/>
  <c r="I19" i="4"/>
  <c r="I20" i="4"/>
  <c r="I21" i="4"/>
  <c r="I22" i="4"/>
  <c r="I23" i="4"/>
  <c r="I24" i="4"/>
  <c r="I25" i="4"/>
  <c r="I26" i="4"/>
  <c r="I27" i="4"/>
  <c r="I28" i="4"/>
  <c r="I29" i="4"/>
  <c r="I31" i="4"/>
  <c r="I32" i="4"/>
  <c r="I33" i="4"/>
  <c r="I34" i="4"/>
  <c r="I35" i="4"/>
  <c r="I43" i="4"/>
  <c r="I44" i="4"/>
  <c r="I45" i="4"/>
  <c r="I46" i="4"/>
  <c r="I47" i="4"/>
  <c r="I48" i="4"/>
  <c r="I50" i="4"/>
  <c r="I52" i="4"/>
  <c r="K136" i="4" l="1"/>
  <c r="H136" i="4"/>
  <c r="G136" i="4"/>
  <c r="E160" i="4"/>
  <c r="M160" i="4" s="1"/>
  <c r="O176" i="4" l="1"/>
  <c r="P176" i="4"/>
  <c r="O136" i="4"/>
  <c r="E153" i="4"/>
  <c r="M153" i="4" s="1"/>
  <c r="E142" i="4"/>
  <c r="M142" i="4" s="1"/>
  <c r="G18" i="4" l="1"/>
  <c r="I215" i="4"/>
  <c r="E218" i="4"/>
  <c r="G210" i="4" l="1"/>
  <c r="P57" i="4"/>
  <c r="N215" i="4"/>
  <c r="E215" i="4"/>
  <c r="M215" i="4" s="1"/>
  <c r="N211" i="4"/>
  <c r="E211" i="4"/>
  <c r="N218" i="4"/>
  <c r="E217" i="4"/>
  <c r="I208" i="4"/>
  <c r="E208" i="4"/>
  <c r="M208" i="4" l="1"/>
  <c r="H199" i="4"/>
  <c r="G199" i="4"/>
  <c r="N206" i="4"/>
  <c r="L199" i="4"/>
  <c r="K199" i="4"/>
  <c r="J219" i="4"/>
  <c r="O199" i="4" l="1"/>
  <c r="P199" i="4"/>
  <c r="P192" i="4"/>
  <c r="O192" i="4"/>
  <c r="N199" i="4"/>
  <c r="I196" i="4"/>
  <c r="I197" i="4"/>
  <c r="I198" i="4"/>
  <c r="E197" i="4" l="1"/>
  <c r="M197" i="4" s="1"/>
  <c r="E198" i="4"/>
  <c r="M198" i="4" s="1"/>
  <c r="N192" i="4" l="1"/>
  <c r="N194" i="4"/>
  <c r="E147" i="4"/>
  <c r="M147" i="4" s="1"/>
  <c r="E133" i="4"/>
  <c r="M133" i="4" s="1"/>
  <c r="J127" i="4"/>
  <c r="N130" i="4"/>
  <c r="F127" i="4" l="1"/>
  <c r="N127" i="4" s="1"/>
  <c r="F188" i="4"/>
  <c r="E75" i="4"/>
  <c r="M75" i="4" s="1"/>
  <c r="E76" i="4"/>
  <c r="M76" i="4" s="1"/>
  <c r="E77" i="4"/>
  <c r="M77" i="4" s="1"/>
  <c r="E78" i="4"/>
  <c r="M78" i="4" s="1"/>
  <c r="E79" i="4"/>
  <c r="M79" i="4" s="1"/>
  <c r="E67" i="4"/>
  <c r="M67" i="4" s="1"/>
  <c r="N54" i="4" l="1"/>
  <c r="E52" i="4"/>
  <c r="M52" i="4" s="1"/>
  <c r="E45" i="4"/>
  <c r="M45" i="4" s="1"/>
  <c r="E35" i="4"/>
  <c r="M35" i="4" s="1"/>
  <c r="E34" i="4"/>
  <c r="M34" i="4" s="1"/>
  <c r="P54" i="4" l="1"/>
  <c r="L109" i="4" l="1"/>
  <c r="P110" i="4"/>
  <c r="K109" i="4"/>
  <c r="O110" i="4"/>
  <c r="N110" i="4"/>
  <c r="O54" i="4" l="1"/>
  <c r="G219" i="4"/>
  <c r="G214" i="4"/>
  <c r="E43" i="4"/>
  <c r="M43" i="4" s="1"/>
  <c r="I211" i="4" l="1"/>
  <c r="M211" i="4" s="1"/>
  <c r="L188" i="4"/>
  <c r="K188" i="4"/>
  <c r="H188" i="4"/>
  <c r="G188" i="4"/>
  <c r="H127" i="4"/>
  <c r="G127" i="4"/>
  <c r="P188" i="4" l="1"/>
  <c r="O188" i="4"/>
  <c r="E80" i="4"/>
  <c r="M80" i="4" s="1"/>
  <c r="P143" i="4" l="1"/>
  <c r="L136" i="4"/>
  <c r="P136" i="4" s="1"/>
  <c r="O166" i="4"/>
  <c r="I166" i="4"/>
  <c r="G212" i="4"/>
  <c r="E219" i="4"/>
  <c r="J30" i="4"/>
  <c r="J216" i="4" s="1"/>
  <c r="F30" i="4"/>
  <c r="O49" i="4" l="1"/>
  <c r="I49" i="4"/>
  <c r="P49" i="4"/>
  <c r="N219" i="4"/>
  <c r="I219" i="4"/>
  <c r="M219" i="4" s="1"/>
  <c r="N30" i="4"/>
  <c r="J188" i="4"/>
  <c r="N188" i="4" s="1"/>
  <c r="I218" i="4" l="1"/>
  <c r="M218" i="4" s="1"/>
  <c r="N216" i="4"/>
  <c r="E213" i="4"/>
  <c r="N88" i="4" l="1"/>
  <c r="I217" i="4"/>
  <c r="M217" i="4" s="1"/>
  <c r="N217" i="4"/>
  <c r="N213" i="4"/>
  <c r="I213" i="4"/>
  <c r="M213" i="4" s="1"/>
  <c r="L30" i="4"/>
  <c r="P30" i="4" l="1"/>
  <c r="K30" i="4"/>
  <c r="G30" i="4"/>
  <c r="E172" i="4"/>
  <c r="M172" i="4" s="1"/>
  <c r="H109" i="4"/>
  <c r="P109" i="4" s="1"/>
  <c r="G17" i="4" l="1"/>
  <c r="O30" i="4"/>
  <c r="I30" i="4"/>
  <c r="I216" i="4" l="1"/>
  <c r="H228" i="4"/>
  <c r="E216" i="4"/>
  <c r="E49" i="4"/>
  <c r="M49" i="4" s="1"/>
  <c r="M216" i="4" l="1"/>
  <c r="I212" i="4"/>
  <c r="I214" i="4" l="1"/>
  <c r="G109" i="4"/>
  <c r="O109" i="4" s="1"/>
  <c r="I110" i="4"/>
  <c r="E110" i="4" l="1"/>
  <c r="M110" i="4" s="1"/>
  <c r="E193" i="4"/>
  <c r="M193" i="4" s="1"/>
  <c r="I111" i="4" l="1"/>
  <c r="E112" i="4"/>
  <c r="M112" i="4" s="1"/>
  <c r="E111" i="4"/>
  <c r="F109" i="4"/>
  <c r="M111" i="4" l="1"/>
  <c r="E109" i="4"/>
  <c r="J109" i="4"/>
  <c r="N109" i="4" s="1"/>
  <c r="I109" i="4" l="1"/>
  <c r="M109" i="4" s="1"/>
  <c r="L87" i="4" l="1"/>
  <c r="O162" i="4" l="1"/>
  <c r="E196" i="4"/>
  <c r="M196" i="4" s="1"/>
  <c r="E184" i="4"/>
  <c r="M184" i="4" s="1"/>
  <c r="E165" i="4"/>
  <c r="M165" i="4" s="1"/>
  <c r="P162" i="4" l="1"/>
  <c r="G115" i="4"/>
  <c r="H115" i="4"/>
  <c r="N115" i="4"/>
  <c r="L115" i="4"/>
  <c r="P115" i="4" s="1"/>
  <c r="E119" i="4"/>
  <c r="M119" i="4" s="1"/>
  <c r="N136" i="4" l="1"/>
  <c r="I88" i="4" l="1"/>
  <c r="K115" i="4" l="1"/>
  <c r="O115" i="4" s="1"/>
  <c r="I207" i="4" l="1"/>
  <c r="I206" i="4"/>
  <c r="E214" i="4" l="1"/>
  <c r="M214" i="4" s="1"/>
  <c r="N214" i="4"/>
  <c r="E207" i="4"/>
  <c r="M207" i="4" s="1"/>
  <c r="E206" i="4"/>
  <c r="M206" i="4" s="1"/>
  <c r="I195" i="4"/>
  <c r="E195" i="4"/>
  <c r="E183" i="4"/>
  <c r="M183" i="4" s="1"/>
  <c r="M195" i="4" l="1"/>
  <c r="J87" i="4"/>
  <c r="E82" i="4"/>
  <c r="M82" i="4" s="1"/>
  <c r="K87" i="4" l="1"/>
  <c r="E155" i="4" l="1"/>
  <c r="M155" i="4" s="1"/>
  <c r="H126" i="4" l="1"/>
  <c r="G126" i="4"/>
  <c r="J187" i="4"/>
  <c r="H187" i="4"/>
  <c r="G187" i="4"/>
  <c r="F187" i="4"/>
  <c r="N187" i="4" l="1"/>
  <c r="H179" i="4"/>
  <c r="G179" i="4"/>
  <c r="F179" i="4"/>
  <c r="F178" i="4" s="1"/>
  <c r="J161" i="4"/>
  <c r="H161" i="4"/>
  <c r="G161" i="4"/>
  <c r="N162" i="4" l="1"/>
  <c r="J126" i="4"/>
  <c r="J179" i="4"/>
  <c r="N179" i="4" s="1"/>
  <c r="N212" i="4" l="1"/>
  <c r="E212" i="4"/>
  <c r="M212" i="4" s="1"/>
  <c r="J178" i="4"/>
  <c r="N178" i="4" s="1"/>
  <c r="G178" i="4"/>
  <c r="H178" i="4"/>
  <c r="F161" i="4"/>
  <c r="N161" i="4" s="1"/>
  <c r="E136" i="4"/>
  <c r="H135" i="4"/>
  <c r="F135" i="4"/>
  <c r="G87" i="4"/>
  <c r="O87" i="4" s="1"/>
  <c r="H87" i="4"/>
  <c r="P87" i="4" s="1"/>
  <c r="F87" i="4"/>
  <c r="N87" i="4" s="1"/>
  <c r="H18" i="4"/>
  <c r="F18" i="4"/>
  <c r="E19" i="4"/>
  <c r="M19" i="4" s="1"/>
  <c r="E20" i="4"/>
  <c r="M20" i="4" s="1"/>
  <c r="E21" i="4"/>
  <c r="M21" i="4" s="1"/>
  <c r="E22" i="4"/>
  <c r="M22" i="4" s="1"/>
  <c r="E23" i="4"/>
  <c r="M23" i="4" s="1"/>
  <c r="E24" i="4"/>
  <c r="M24" i="4" s="1"/>
  <c r="E25" i="4"/>
  <c r="M25" i="4" s="1"/>
  <c r="E26" i="4"/>
  <c r="M26" i="4" s="1"/>
  <c r="E27" i="4"/>
  <c r="M27" i="4" s="1"/>
  <c r="E28" i="4"/>
  <c r="M28" i="4" s="1"/>
  <c r="E29" i="4"/>
  <c r="M29" i="4" s="1"/>
  <c r="E31" i="4"/>
  <c r="M31" i="4" s="1"/>
  <c r="E32" i="4"/>
  <c r="M32" i="4" s="1"/>
  <c r="E33" i="4"/>
  <c r="M33" i="4" s="1"/>
  <c r="E44" i="4"/>
  <c r="M44" i="4" s="1"/>
  <c r="E46" i="4"/>
  <c r="M46" i="4" s="1"/>
  <c r="E47" i="4"/>
  <c r="M47" i="4" s="1"/>
  <c r="E48" i="4"/>
  <c r="M48" i="4" s="1"/>
  <c r="E50" i="4"/>
  <c r="M50" i="4" s="1"/>
  <c r="E55" i="4"/>
  <c r="E56" i="4"/>
  <c r="M56" i="4" s="1"/>
  <c r="E57" i="4"/>
  <c r="E58" i="4"/>
  <c r="M58" i="4" s="1"/>
  <c r="E59" i="4"/>
  <c r="M59" i="4" s="1"/>
  <c r="E60" i="4"/>
  <c r="M60" i="4" s="1"/>
  <c r="E61" i="4"/>
  <c r="M61" i="4" s="1"/>
  <c r="E62" i="4"/>
  <c r="M62" i="4" s="1"/>
  <c r="E63" i="4"/>
  <c r="M63" i="4" s="1"/>
  <c r="E64" i="4"/>
  <c r="M64" i="4" s="1"/>
  <c r="E65" i="4"/>
  <c r="M65" i="4" s="1"/>
  <c r="E66" i="4"/>
  <c r="M66" i="4" s="1"/>
  <c r="E68" i="4"/>
  <c r="M68" i="4" s="1"/>
  <c r="E83" i="4"/>
  <c r="M83" i="4" s="1"/>
  <c r="E84" i="4"/>
  <c r="M84" i="4" s="1"/>
  <c r="E86" i="4"/>
  <c r="M86" i="4" s="1"/>
  <c r="E89" i="4"/>
  <c r="E90" i="4"/>
  <c r="M90" i="4" s="1"/>
  <c r="E91" i="4"/>
  <c r="M91" i="4" s="1"/>
  <c r="E92" i="4"/>
  <c r="M92" i="4" s="1"/>
  <c r="E93" i="4"/>
  <c r="M93" i="4" s="1"/>
  <c r="E94" i="4"/>
  <c r="M94" i="4" s="1"/>
  <c r="E95" i="4"/>
  <c r="M95" i="4" s="1"/>
  <c r="E96" i="4"/>
  <c r="M96" i="4" s="1"/>
  <c r="E97" i="4"/>
  <c r="M97" i="4" s="1"/>
  <c r="E98" i="4"/>
  <c r="M98" i="4" s="1"/>
  <c r="E99" i="4"/>
  <c r="M99" i="4" s="1"/>
  <c r="E100" i="4"/>
  <c r="M100" i="4" s="1"/>
  <c r="E101" i="4"/>
  <c r="M101" i="4" s="1"/>
  <c r="E106" i="4"/>
  <c r="M106" i="4" s="1"/>
  <c r="E107" i="4"/>
  <c r="M107" i="4" s="1"/>
  <c r="E116" i="4"/>
  <c r="E117" i="4"/>
  <c r="M117" i="4" s="1"/>
  <c r="E118" i="4"/>
  <c r="M118" i="4" s="1"/>
  <c r="E120" i="4"/>
  <c r="M120" i="4" s="1"/>
  <c r="E121" i="4"/>
  <c r="M121" i="4" s="1"/>
  <c r="E122" i="4"/>
  <c r="M122" i="4" s="1"/>
  <c r="E123" i="4"/>
  <c r="M123" i="4" s="1"/>
  <c r="E124" i="4"/>
  <c r="M124" i="4" s="1"/>
  <c r="E128" i="4"/>
  <c r="E129" i="4"/>
  <c r="M129" i="4" s="1"/>
  <c r="E130" i="4"/>
  <c r="M130" i="4" s="1"/>
  <c r="E131" i="4"/>
  <c r="M131" i="4" s="1"/>
  <c r="E132" i="4"/>
  <c r="M132" i="4" s="1"/>
  <c r="E134" i="4"/>
  <c r="M134" i="4" s="1"/>
  <c r="E137" i="4"/>
  <c r="E138" i="4"/>
  <c r="M138" i="4" s="1"/>
  <c r="E139" i="4"/>
  <c r="M139" i="4" s="1"/>
  <c r="E140" i="4"/>
  <c r="M140" i="4" s="1"/>
  <c r="E141" i="4"/>
  <c r="M141" i="4" s="1"/>
  <c r="E143" i="4"/>
  <c r="M143" i="4" s="1"/>
  <c r="E144" i="4"/>
  <c r="M144" i="4" s="1"/>
  <c r="E146" i="4"/>
  <c r="M146" i="4" s="1"/>
  <c r="E148" i="4"/>
  <c r="M148" i="4" s="1"/>
  <c r="M151" i="4"/>
  <c r="E152" i="4"/>
  <c r="M152" i="4" s="1"/>
  <c r="E154" i="4"/>
  <c r="M154" i="4" s="1"/>
  <c r="E156" i="4"/>
  <c r="M156" i="4" s="1"/>
  <c r="E163" i="4"/>
  <c r="E164" i="4"/>
  <c r="M164" i="4" s="1"/>
  <c r="E166" i="4"/>
  <c r="M166" i="4" s="1"/>
  <c r="E167" i="4"/>
  <c r="M167" i="4" s="1"/>
  <c r="E169" i="4"/>
  <c r="M169" i="4" s="1"/>
  <c r="E170" i="4"/>
  <c r="M170" i="4" s="1"/>
  <c r="E171" i="4"/>
  <c r="M171" i="4" s="1"/>
  <c r="E173" i="4"/>
  <c r="M173" i="4" s="1"/>
  <c r="M175" i="4"/>
  <c r="M176" i="4"/>
  <c r="E180" i="4"/>
  <c r="E181" i="4"/>
  <c r="M181" i="4" s="1"/>
  <c r="E182" i="4"/>
  <c r="M182" i="4" s="1"/>
  <c r="E185" i="4"/>
  <c r="M185" i="4" s="1"/>
  <c r="E186" i="4"/>
  <c r="M186" i="4" s="1"/>
  <c r="E189" i="4"/>
  <c r="E190" i="4"/>
  <c r="M190" i="4" s="1"/>
  <c r="E191" i="4"/>
  <c r="E192" i="4"/>
  <c r="E194" i="4"/>
  <c r="E199" i="4"/>
  <c r="E201" i="4"/>
  <c r="E205" i="4"/>
  <c r="H16" i="4" l="1"/>
  <c r="M57" i="4"/>
  <c r="G220" i="4"/>
  <c r="G114" i="4"/>
  <c r="F126" i="4"/>
  <c r="N126" i="4" s="1"/>
  <c r="F114" i="4"/>
  <c r="H114" i="4"/>
  <c r="E127" i="4"/>
  <c r="E30" i="4"/>
  <c r="M30" i="4" s="1"/>
  <c r="E188" i="4"/>
  <c r="E179" i="4"/>
  <c r="E88" i="4"/>
  <c r="M88" i="4" s="1"/>
  <c r="E187" i="4"/>
  <c r="E178" i="4"/>
  <c r="E162" i="4"/>
  <c r="E161" i="4"/>
  <c r="G135" i="4"/>
  <c r="E115" i="4"/>
  <c r="E87" i="4"/>
  <c r="H53" i="4"/>
  <c r="E18" i="4"/>
  <c r="H220" i="4" l="1"/>
  <c r="E135" i="4"/>
  <c r="E210" i="4"/>
  <c r="E17" i="4"/>
  <c r="F16" i="4"/>
  <c r="F209" i="4" s="1"/>
  <c r="H209" i="4"/>
  <c r="E114" i="4"/>
  <c r="F53" i="4"/>
  <c r="E126" i="4"/>
  <c r="G53" i="4"/>
  <c r="G16" i="4"/>
  <c r="H223" i="4" l="1"/>
  <c r="E220" i="4"/>
  <c r="E16" i="4"/>
  <c r="G209" i="4"/>
  <c r="G223" i="4" s="1"/>
  <c r="E53" i="4"/>
  <c r="I189" i="4"/>
  <c r="M189" i="4" s="1"/>
  <c r="F223" i="4" l="1"/>
  <c r="E209" i="4"/>
  <c r="E223" i="4" l="1"/>
  <c r="I180" i="4"/>
  <c r="M180" i="4" s="1"/>
  <c r="K187" i="4" l="1"/>
  <c r="O187" i="4" s="1"/>
  <c r="L187" i="4"/>
  <c r="P187" i="4" s="1"/>
  <c r="J18" i="4" l="1"/>
  <c r="J17" i="4" l="1"/>
  <c r="N17" i="4" s="1"/>
  <c r="N18" i="4"/>
  <c r="J135" i="4"/>
  <c r="N135" i="4" s="1"/>
  <c r="N210" i="4" l="1"/>
  <c r="K18" i="4"/>
  <c r="L18" i="4"/>
  <c r="L17" i="4" s="1"/>
  <c r="I55" i="4"/>
  <c r="I89" i="4"/>
  <c r="M89" i="4" s="1"/>
  <c r="I116" i="4"/>
  <c r="M116" i="4" s="1"/>
  <c r="I128" i="4"/>
  <c r="M128" i="4" s="1"/>
  <c r="I137" i="4"/>
  <c r="I187" i="4"/>
  <c r="M187" i="4" s="1"/>
  <c r="I188" i="4"/>
  <c r="M188" i="4" s="1"/>
  <c r="I191" i="4"/>
  <c r="M191" i="4" s="1"/>
  <c r="I192" i="4"/>
  <c r="M192" i="4" s="1"/>
  <c r="I201" i="4"/>
  <c r="K210" i="4" l="1"/>
  <c r="I210" i="4" s="1"/>
  <c r="M210" i="4" s="1"/>
  <c r="K17" i="4"/>
  <c r="O17" i="4" s="1"/>
  <c r="P18" i="4"/>
  <c r="P17" i="4"/>
  <c r="M201" i="4"/>
  <c r="M137" i="4"/>
  <c r="I136" i="4"/>
  <c r="M55" i="4"/>
  <c r="M54" i="4"/>
  <c r="I115" i="4"/>
  <c r="M115" i="4" s="1"/>
  <c r="L114" i="4"/>
  <c r="P114" i="4" s="1"/>
  <c r="K114" i="4"/>
  <c r="O114" i="4" s="1"/>
  <c r="K179" i="4"/>
  <c r="O179" i="4" s="1"/>
  <c r="L179" i="4"/>
  <c r="P179" i="4" s="1"/>
  <c r="J114" i="4"/>
  <c r="N114" i="4" s="1"/>
  <c r="I194" i="4"/>
  <c r="M194" i="4" s="1"/>
  <c r="I18" i="4"/>
  <c r="M17" i="4" l="1"/>
  <c r="M18" i="4"/>
  <c r="K220" i="4"/>
  <c r="L220" i="4"/>
  <c r="J220" i="4"/>
  <c r="I87" i="4"/>
  <c r="M87" i="4" s="1"/>
  <c r="K53" i="4"/>
  <c r="O53" i="4" s="1"/>
  <c r="L53" i="4"/>
  <c r="P53" i="4" s="1"/>
  <c r="L178" i="4"/>
  <c r="P178" i="4" s="1"/>
  <c r="K178" i="4"/>
  <c r="O178" i="4" s="1"/>
  <c r="I114" i="4"/>
  <c r="M114" i="4" s="1"/>
  <c r="J16" i="4"/>
  <c r="K16" i="4"/>
  <c r="O16" i="4" s="1"/>
  <c r="L16" i="4"/>
  <c r="P16" i="4" s="1"/>
  <c r="J53" i="4"/>
  <c r="N53" i="4" s="1"/>
  <c r="J209" i="4" l="1"/>
  <c r="J223" i="4" s="1"/>
  <c r="N16" i="4"/>
  <c r="N220" i="4"/>
  <c r="I179" i="4"/>
  <c r="M179" i="4" s="1"/>
  <c r="I178" i="4"/>
  <c r="M178" i="4" s="1"/>
  <c r="I16" i="4"/>
  <c r="M16" i="4" s="1"/>
  <c r="I53" i="4"/>
  <c r="M53" i="4" s="1"/>
  <c r="N209" i="4" l="1"/>
  <c r="N223" i="4" s="1"/>
  <c r="I163" i="4"/>
  <c r="M163" i="4" s="1"/>
  <c r="K161" i="4" l="1"/>
  <c r="O161" i="4" s="1"/>
  <c r="L161" i="4"/>
  <c r="P161" i="4" s="1"/>
  <c r="K135" i="4" l="1"/>
  <c r="O135" i="4" s="1"/>
  <c r="L135" i="4"/>
  <c r="P135" i="4" s="1"/>
  <c r="M136" i="4" l="1"/>
  <c r="L127" i="4"/>
  <c r="P127" i="4" s="1"/>
  <c r="I135" i="4"/>
  <c r="M135" i="4" s="1"/>
  <c r="L126" i="4" l="1"/>
  <c r="K127" i="4"/>
  <c r="O127" i="4" s="1"/>
  <c r="L209" i="4" l="1"/>
  <c r="P209" i="4" s="1"/>
  <c r="P223" i="4" s="1"/>
  <c r="P126" i="4"/>
  <c r="M127" i="4"/>
  <c r="K126" i="4"/>
  <c r="O126" i="4" s="1"/>
  <c r="L223" i="4" l="1"/>
  <c r="L222" i="4"/>
  <c r="K209" i="4"/>
  <c r="I126" i="4"/>
  <c r="M126" i="4" s="1"/>
  <c r="O209" i="4" l="1"/>
  <c r="O223" i="4" s="1"/>
  <c r="K223" i="4"/>
  <c r="I209" i="4"/>
  <c r="M209" i="4" s="1"/>
  <c r="M162" i="4"/>
  <c r="I205" i="4"/>
  <c r="M205" i="4" l="1"/>
  <c r="I199" i="4"/>
  <c r="M199" i="4" s="1"/>
  <c r="I161" i="4"/>
  <c r="M161" i="4" s="1"/>
  <c r="I220" i="4" l="1"/>
  <c r="I223" i="4" l="1"/>
  <c r="M220" i="4"/>
  <c r="M223" i="4" s="1"/>
</calcChain>
</file>

<file path=xl/sharedStrings.xml><?xml version="1.0" encoding="utf-8"?>
<sst xmlns="http://schemas.openxmlformats.org/spreadsheetml/2006/main" count="665" uniqueCount="420">
  <si>
    <t>бюджет розвитку</t>
  </si>
  <si>
    <t>РАЗОМ</t>
  </si>
  <si>
    <t>0111</t>
  </si>
  <si>
    <t>1090</t>
  </si>
  <si>
    <t>0320</t>
  </si>
  <si>
    <t>0133</t>
  </si>
  <si>
    <t>0470</t>
  </si>
  <si>
    <t>Заходи з енергозбереження</t>
  </si>
  <si>
    <t>0620</t>
  </si>
  <si>
    <t>0180</t>
  </si>
  <si>
    <t>1010</t>
  </si>
  <si>
    <t>0910</t>
  </si>
  <si>
    <t>1020</t>
  </si>
  <si>
    <t>0921</t>
  </si>
  <si>
    <t>1030</t>
  </si>
  <si>
    <t>0922</t>
  </si>
  <si>
    <t>0960</t>
  </si>
  <si>
    <t>0950</t>
  </si>
  <si>
    <t>0990</t>
  </si>
  <si>
    <t>1040</t>
  </si>
  <si>
    <t>0810</t>
  </si>
  <si>
    <t>Утримання та навчально-тренувальна робота комунальних дитячо-юнацьких спортивних шкіл</t>
  </si>
  <si>
    <t>0490</t>
  </si>
  <si>
    <t>1100000</t>
  </si>
  <si>
    <t>1110000</t>
  </si>
  <si>
    <t>5011</t>
  </si>
  <si>
    <t>1115011</t>
  </si>
  <si>
    <t>1500000</t>
  </si>
  <si>
    <t>1510000</t>
  </si>
  <si>
    <t>1060</t>
  </si>
  <si>
    <t>2010</t>
  </si>
  <si>
    <t>0731</t>
  </si>
  <si>
    <t>0722</t>
  </si>
  <si>
    <t>3031</t>
  </si>
  <si>
    <t>1070</t>
  </si>
  <si>
    <t>3112</t>
  </si>
  <si>
    <t>4060</t>
  </si>
  <si>
    <t>0824</t>
  </si>
  <si>
    <t>0828</t>
  </si>
  <si>
    <t>0829</t>
  </si>
  <si>
    <t>6030</t>
  </si>
  <si>
    <t>0456</t>
  </si>
  <si>
    <t>0540</t>
  </si>
  <si>
    <t>Проведення навчально-тренувальних зборів і змагань з олімпійських видів спорту</t>
  </si>
  <si>
    <t>Заходи державної політики з питань дітей та їх соціального захисту</t>
  </si>
  <si>
    <t>1115012</t>
  </si>
  <si>
    <t>5012</t>
  </si>
  <si>
    <t>Проведення навчально-тренувальних зборів і змагань з неолімпійських видів спорту</t>
  </si>
  <si>
    <t>5031</t>
  </si>
  <si>
    <t>Інші заходи та заклади молодіжної політики</t>
  </si>
  <si>
    <t>1115061</t>
  </si>
  <si>
    <t>5061</t>
  </si>
  <si>
    <t>0150</t>
  </si>
  <si>
    <t>2100</t>
  </si>
  <si>
    <t>0600000</t>
  </si>
  <si>
    <t>0610000</t>
  </si>
  <si>
    <t>0160</t>
  </si>
  <si>
    <t>0610160</t>
  </si>
  <si>
    <t>0611010</t>
  </si>
  <si>
    <t>Надання дошкільної освіти</t>
  </si>
  <si>
    <t>0611070</t>
  </si>
  <si>
    <t>0200000</t>
  </si>
  <si>
    <t>0210000</t>
  </si>
  <si>
    <t>0210150</t>
  </si>
  <si>
    <t>0212010</t>
  </si>
  <si>
    <t>0212100</t>
  </si>
  <si>
    <t>0216030</t>
  </si>
  <si>
    <t>0615031</t>
  </si>
  <si>
    <t>0800000</t>
  </si>
  <si>
    <t>0810000</t>
  </si>
  <si>
    <t>0810160</t>
  </si>
  <si>
    <t>3121</t>
  </si>
  <si>
    <t>0813121</t>
  </si>
  <si>
    <t>1000000</t>
  </si>
  <si>
    <t>1010000</t>
  </si>
  <si>
    <t>1010160</t>
  </si>
  <si>
    <t>4030</t>
  </si>
  <si>
    <t>1014030</t>
  </si>
  <si>
    <t>Забезпечення діяльності бібліотек</t>
  </si>
  <si>
    <t>4040</t>
  </si>
  <si>
    <t>1014040</t>
  </si>
  <si>
    <t>1014060</t>
  </si>
  <si>
    <t>1110160</t>
  </si>
  <si>
    <t>3123</t>
  </si>
  <si>
    <t>3133</t>
  </si>
  <si>
    <t>1113133</t>
  </si>
  <si>
    <t>1200000</t>
  </si>
  <si>
    <t>1210000</t>
  </si>
  <si>
    <t>1210160</t>
  </si>
  <si>
    <t>1216030</t>
  </si>
  <si>
    <t>1510160</t>
  </si>
  <si>
    <t>3100000</t>
  </si>
  <si>
    <t>3110000</t>
  </si>
  <si>
    <t>3110160</t>
  </si>
  <si>
    <t>3700000</t>
  </si>
  <si>
    <t>3710000</t>
  </si>
  <si>
    <t>3710160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</si>
  <si>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</si>
  <si>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</si>
  <si>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Експлуатація та технічне обслуговування житлового фонду</t>
  </si>
  <si>
    <t>Забезпечення діяльності водопровідно-каналізаційного господарства</t>
  </si>
  <si>
    <t>3110180</t>
  </si>
  <si>
    <t>Інша діяльність у сфері державного управління</t>
  </si>
  <si>
    <t>3710180</t>
  </si>
  <si>
    <t>Надання інших пільг окремим категоріям громадян відповідно до законодавства</t>
  </si>
  <si>
    <t>0813031</t>
  </si>
  <si>
    <t>0813032</t>
  </si>
  <si>
    <t>3032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</si>
  <si>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</si>
  <si>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</si>
  <si>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</si>
  <si>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</si>
  <si>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7680</t>
  </si>
  <si>
    <t>0217680</t>
  </si>
  <si>
    <t>Членські внески до асоціацій органів місцевого самоврядування</t>
  </si>
  <si>
    <t>0210180</t>
  </si>
  <si>
    <t>3104</t>
  </si>
  <si>
    <t>0813104</t>
  </si>
  <si>
    <t>1050</t>
  </si>
  <si>
    <t>Організація та проведення громадських робіт</t>
  </si>
  <si>
    <t>6015</t>
  </si>
  <si>
    <t>1216015</t>
  </si>
  <si>
    <t>Забезпечення надійної та безперебійної експлуатації ліфтів</t>
  </si>
  <si>
    <t>1217461</t>
  </si>
  <si>
    <t>Реалізація інших заходів щодо соціально-економічного розвитку територій</t>
  </si>
  <si>
    <t>0443</t>
  </si>
  <si>
    <t>8340</t>
  </si>
  <si>
    <t>0218340</t>
  </si>
  <si>
    <t>0763</t>
  </si>
  <si>
    <t>1218340</t>
  </si>
  <si>
    <t>1014082</t>
  </si>
  <si>
    <t>4082</t>
  </si>
  <si>
    <t>4081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</si>
  <si>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</si>
  <si>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</si>
  <si>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Природоохоронні заходи за рахунок цільових фондів</t>
  </si>
  <si>
    <t>7693</t>
  </si>
  <si>
    <t>Заходи із запобігання та ліквідації надзвичайних ситуацій та наслідків стихійного лиха</t>
  </si>
  <si>
    <t>3210</t>
  </si>
  <si>
    <t>1213210</t>
  </si>
  <si>
    <t>0813160</t>
  </si>
  <si>
    <t>3160</t>
  </si>
  <si>
    <t>0813180</t>
  </si>
  <si>
    <t>3180</t>
  </si>
  <si>
    <t>0813192</t>
  </si>
  <si>
    <t>3192</t>
  </si>
  <si>
    <t>3242</t>
  </si>
  <si>
    <t>Інші заходи у сфері соціального захисту і соціального забезпечення</t>
  </si>
  <si>
    <t>0213242</t>
  </si>
  <si>
    <t>0613242</t>
  </si>
  <si>
    <t>0813242</t>
  </si>
  <si>
    <t>1014081</t>
  </si>
  <si>
    <t>Забезпечення діяльності інших закладів у сфері освіти</t>
  </si>
  <si>
    <t>1216017</t>
  </si>
  <si>
    <t>6017</t>
  </si>
  <si>
    <t>Багатопрофільна стаціонарна медична допомога населенню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</si>
  <si>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</si>
  <si>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в т.ч. за програмами:</t>
  </si>
  <si>
    <t>Інші субвенції з місцевого бюджету</t>
  </si>
  <si>
    <t>0810180</t>
  </si>
  <si>
    <t>0380</t>
  </si>
  <si>
    <t>Код Програмної класифікації видатків та кредитування місцевих бюджетів</t>
  </si>
  <si>
    <t>Код 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</si>
  <si>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</si>
  <si>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  головного розпорядника коштів місцевого бюджету/ відповідального виконавця, найменування бюджетної програми/ підпрограми згідно з Типовою програмною класифікацією видатків та кредитування місцевих бюджетів</t>
  </si>
  <si>
    <t>3050</t>
  </si>
  <si>
    <t>Пільгове медичне обслуговування осіб, які постраждали внаслідок Чорнобильської катастрофи</t>
  </si>
  <si>
    <t>0813050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</si>
  <si>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</si>
  <si>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</si>
  <si>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</si>
  <si>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</si>
  <si>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</si>
  <si>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</si>
  <si>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3117693</t>
  </si>
  <si>
    <t>ЗВІТ</t>
  </si>
  <si>
    <t>в  тому  числі</t>
  </si>
  <si>
    <t>в  тому   числі</t>
  </si>
  <si>
    <t>загальний фонд</t>
  </si>
  <si>
    <t>спеціальний фонд</t>
  </si>
  <si>
    <t>загальний  фонд</t>
  </si>
  <si>
    <t xml:space="preserve">з них </t>
  </si>
  <si>
    <t>0218210</t>
  </si>
  <si>
    <t>8210</t>
  </si>
  <si>
    <t>Муніципальні формування з охорони громадського порядку</t>
  </si>
  <si>
    <t>3116017</t>
  </si>
  <si>
    <t>2152</t>
  </si>
  <si>
    <t>1210170</t>
  </si>
  <si>
    <t>0611021</t>
  </si>
  <si>
    <t>1021</t>
  </si>
  <si>
    <t>0611022</t>
  </si>
  <si>
    <t>1022</t>
  </si>
  <si>
    <t>0611031</t>
  </si>
  <si>
    <t>1031</t>
  </si>
  <si>
    <t>0611032</t>
  </si>
  <si>
    <t>1032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</si>
  <si>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</si>
  <si>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</si>
  <si>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</si>
  <si>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Підвищення кваліфікації, перепідготовка кадрів закладами післядипломної освіти</t>
  </si>
  <si>
    <t>0611141</t>
  </si>
  <si>
    <t>1141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</si>
  <si>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</si>
  <si>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</si>
  <si>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</si>
  <si>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</si>
  <si>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</si>
  <si>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</si>
  <si>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1011080</t>
  </si>
  <si>
    <t>1080</t>
  </si>
  <si>
    <t>3718710</t>
  </si>
  <si>
    <t>8710</t>
  </si>
  <si>
    <t>Олександрівська селищна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</si>
  <si>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</si>
  <si>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</si>
  <si>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(код бюджету)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</si>
  <si>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</si>
  <si>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</si>
  <si>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</si>
  <si>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</si>
  <si>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</si>
  <si>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</si>
  <si>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</si>
  <si>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</si>
  <si>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</si>
  <si>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</si>
  <si>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</si>
  <si>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</si>
  <si>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</si>
  <si>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</si>
  <si>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Субвенція з місцевого бюджету державному бюджету на виконання програм соціально-економічного розвитку регіонів</t>
  </si>
  <si>
    <t/>
  </si>
  <si>
    <t>Виконавчий комiтет Чорноморської мiської ради Одеського району Одеської областi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</si>
  <si>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</si>
  <si>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Стоматологічна допомога населенню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</si>
  <si>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</si>
  <si>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</si>
  <si>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</si>
  <si>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</si>
  <si>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Інші програми та заходи у сфері охорони здоров`я</t>
  </si>
  <si>
    <t>Організація благоустрою населених пунктів</t>
  </si>
  <si>
    <t>0218220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</si>
  <si>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</si>
  <si>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</si>
  <si>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</si>
  <si>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</si>
  <si>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8240</t>
  </si>
  <si>
    <t>Заходи та роботи з територіальної оборони</t>
  </si>
  <si>
    <t>Керівництво і управління у відповідній сфері у містах (місті Києві), селищах, селах, територіальних громадах</t>
  </si>
  <si>
    <t>0610180</t>
  </si>
  <si>
    <t>Управлiння соцiальної полiтики Чорноморської мiської ради Одеського району Одеської областi</t>
  </si>
  <si>
    <t>Надання пільг окремим категоріям громадян з оплати послуг зв`язку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</si>
  <si>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</si>
  <si>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Утримання та забезпечення діяльності центрів соціальних служб</t>
  </si>
  <si>
    <t>0813123</t>
  </si>
  <si>
    <t>Заходи державної політики з питань сім`ї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</si>
  <si>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</si>
  <si>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</si>
  <si>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</si>
  <si>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Вiддiл культури Чорноморської мiської ради Одеського району Одеської областi</t>
  </si>
  <si>
    <t>1010180</t>
  </si>
  <si>
    <t>Надання спеціалізованої освіти мистецькими школами</t>
  </si>
  <si>
    <t>Забезпечення діяльності музеїв i виставок</t>
  </si>
  <si>
    <t>Забезпечення діяльності палаців i будинків культури, клубів, центрів дозвілля та iнших клубних закладів</t>
  </si>
  <si>
    <t>Вiддiл молодi та спорту Чорноморської мiської ради Одеського району Одеської областi</t>
  </si>
  <si>
    <t>1110180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</si>
  <si>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</si>
  <si>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Вiддiл комунального господарства та благоустрою Чорноморської мiської ради Одеського району Одеської областi</t>
  </si>
  <si>
    <t>1210180</t>
  </si>
  <si>
    <t>Інша діяльність, пов`язана з експлуатацією об`єктів житлово-комунального господарства</t>
  </si>
  <si>
    <t>Інші заходи, пов`язані з економічною діяльністю</t>
  </si>
  <si>
    <t>Управлiння капiтального будiвництва Чорноморської мiської ради Одеського району Одеської областi</t>
  </si>
  <si>
    <t>1510180</t>
  </si>
  <si>
    <t>Управлiння комунальної власностi та земельних вiдносин Чорноморської мiської ради Одеського району Одеської областi</t>
  </si>
  <si>
    <t>Фiнансове управлiння Чорноморської мiської ради Одеського району Одеської областi</t>
  </si>
  <si>
    <t>Резервний фонд місцевого бюджету</t>
  </si>
  <si>
    <t>X</t>
  </si>
  <si>
    <t>УСЬОГО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</si>
  <si>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</si>
  <si>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0813230</t>
  </si>
  <si>
    <t>3118240</t>
  </si>
  <si>
    <t>1518110</t>
  </si>
  <si>
    <t xml:space="preserve"> в тому  числі</t>
  </si>
  <si>
    <t>Виконання (%)</t>
  </si>
  <si>
    <t>0618110</t>
  </si>
  <si>
    <t>0610</t>
  </si>
  <si>
    <t xml:space="preserve">Начальник фінансового управління </t>
  </si>
  <si>
    <t>Ольга ЯКОВЕНКО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</si>
  <si>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</si>
  <si>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</si>
  <si>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</si>
  <si>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</si>
  <si>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</si>
  <si>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</si>
  <si>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3117130</t>
  </si>
  <si>
    <t>7130</t>
  </si>
  <si>
    <t>0421</t>
  </si>
  <si>
    <t>Здійснення заходів із землеустрою</t>
  </si>
  <si>
    <t>7000</t>
  </si>
  <si>
    <t>Економічна діяльність</t>
  </si>
  <si>
    <t>Інша діяльність</t>
  </si>
  <si>
    <t>8000</t>
  </si>
  <si>
    <t>9000</t>
  </si>
  <si>
    <t>Міжбюджетні трансферти</t>
  </si>
  <si>
    <t>Управління освiти Чорноморської мiської ради Одеського району Одеської областi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</si>
  <si>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</si>
  <si>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</si>
  <si>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</si>
  <si>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</si>
  <si>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Додаток 3</t>
  </si>
  <si>
    <t xml:space="preserve">до рішення Чорноморської міської ради </t>
  </si>
  <si>
    <t>Розроблення схем планування та забудови територій (містобудівної документації)</t>
  </si>
  <si>
    <t>0900000</t>
  </si>
  <si>
    <t>Служба у справах дітей Чорноморської мiської ради Одеського району Одеської областi</t>
  </si>
  <si>
    <t>0910000</t>
  </si>
  <si>
    <t>0910160</t>
  </si>
  <si>
    <t>0913112</t>
  </si>
  <si>
    <t>Затверджено розписом на звітний рік з урахуванням змін, грн</t>
  </si>
  <si>
    <t>0217350</t>
  </si>
  <si>
    <t>7350</t>
  </si>
  <si>
    <t>0218240</t>
  </si>
  <si>
    <t>Міська цільова програма зміцнення законності, безпеки та порядку на території Чорноморської міської територіальної громади "Безпечне місто Чорноморськ" на 2023-2024 роки</t>
  </si>
  <si>
    <t>1517368</t>
  </si>
  <si>
    <t>7368</t>
  </si>
  <si>
    <t>Виконання інвестиційних проектів за рахунок субвенцій з інших бюджетів</t>
  </si>
  <si>
    <t>в т.ч.: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</si>
  <si>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2024 рік</t>
  </si>
  <si>
    <t>Міська цільова програма фінансової підтримки діяльності  Одеської районної ради Одеської області на 2024 рік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</si>
  <si>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</si>
  <si>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Міська цільова програма протидії злочинності на території Чорноморської міської територіальної громади на 2024 рік</t>
  </si>
  <si>
    <t>Міська цільова програма підтримки Територіального управління Державного бюро розслідувань, розташованого у місті Миколаєві, на 2024 рік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</si>
  <si>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</si>
  <si>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</si>
  <si>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</si>
  <si>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6050</t>
  </si>
  <si>
    <t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t>
  </si>
  <si>
    <t>0217640</t>
  </si>
  <si>
    <t>Будівництво об'єктів житлово-комунального господарства</t>
  </si>
  <si>
    <t>Будівництво освітніх установ та закладів</t>
  </si>
  <si>
    <t>Разом</t>
  </si>
  <si>
    <t>усього</t>
  </si>
  <si>
    <t>0217130</t>
  </si>
  <si>
    <t>0218110</t>
  </si>
  <si>
    <t>0218775</t>
  </si>
  <si>
    <t>Інші заходи за рахунок коштів резервного фонду місцевого бюджету</t>
  </si>
  <si>
    <t>0611154</t>
  </si>
  <si>
    <t>Забезпечення діяльності інклюзивно-ресурсних центрів за рахунок залишку коштів за освітньою субвенцією на кінець бюджетного періоду (крім залишку коштів, що мають цільове призначення, виділених відповідно до рішень Кабінету Міністрів України у попередніх бюджетних періодах)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</si>
  <si>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</si>
  <si>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</si>
  <si>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</si>
  <si>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в тому числі:</t>
  </si>
  <si>
    <t>Оплата за проведення корекційно-розвиткових занять і придбання спеціальних засобів корекції для вихованців інклюзивних груп закладів дошкільної освіти</t>
  </si>
  <si>
    <t>Оплата за проведення корекційно-розвиткових занять і придбання спеціальних засобів корекції для учнів інклюзивних класів закладів загальної середньої освіти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</si>
  <si>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</si>
  <si>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</si>
  <si>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1115049</t>
  </si>
  <si>
    <t>5049</t>
  </si>
  <si>
    <t>Виконання окремих заходів з реалізації соціального проекту "Активні парки - локації здорової України"</t>
  </si>
  <si>
    <t>Міська цільова програма розвитку фізичної культури і спорту на території Чорноморської міської територіальної громади на 2022-2025 роки</t>
  </si>
  <si>
    <t xml:space="preserve">Міська цільова програма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</t>
  </si>
  <si>
    <t>Міська цільова соціальна програма розвитку цивільного захисту Чорноморської міської територіальної громади на 2021-2025 роки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</si>
  <si>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</si>
  <si>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Заходи із запобігання та ліквідації наслідків надзвичайної ситуації внаслідок стихійного лиха за рахунок коштів резервного фонду місцевого бюджету</t>
  </si>
  <si>
    <t>8761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</si>
  <si>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</si>
  <si>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</si>
  <si>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0617520</t>
  </si>
  <si>
    <t>0460</t>
  </si>
  <si>
    <t>Реалізація Національної програми інформатизації</t>
  </si>
  <si>
    <t>1218733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</si>
  <si>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</si>
  <si>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t>1218746</t>
  </si>
  <si>
    <t>0640</t>
  </si>
  <si>
    <t>Заходи із запобігання та ліквідації наслідків надзвичайної ситуації в інших системах та об'єктах житлово-комунального господарства за рахунок коштів резервного фонду місцевого бюджету</t>
  </si>
  <si>
    <t>0217520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</si>
  <si>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</si>
  <si>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</si>
  <si>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</si>
  <si>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0813221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</si>
  <si>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</si>
  <si>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0813223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</si>
  <si>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</si>
  <si>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більше 100%</t>
  </si>
  <si>
    <t>КНП "Чорноморська лікарня" Чорноморської міської ради Одеського району Одеської області</t>
  </si>
  <si>
    <t>КНП "Чорноморський міський центр первинної медико-санітарної допомоги" Чорноморської міської ради Одеського району Одеської області</t>
  </si>
  <si>
    <t>КНП "Стоматологічна поліклініка міста Чорноморська" Чорноморської міської ради Одеського району Одеської області</t>
  </si>
  <si>
    <t>КУ "Муніципальна варта" Чорноморської міської ради Одеського району Одеської області</t>
  </si>
  <si>
    <t>0218721</t>
  </si>
  <si>
    <t>Заходи із запобігання та ліквідації наслідків надзвичайної ситуації у будівлі закладу охорони здоров'я за рахунок коштів резервного фонду місцевого бюджету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</si>
  <si>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</si>
  <si>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</si>
  <si>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</si>
  <si>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0813193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</si>
  <si>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</si>
  <si>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0817520</t>
  </si>
  <si>
    <t>0916083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</si>
  <si>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</si>
  <si>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</si>
  <si>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</si>
  <si>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Міська цільова програма фінансової підтримки Іллічівського міського суду Одеської області на 2024 рік</t>
  </si>
  <si>
    <t>Міська цільова програма підтримки Департаменту кіберполіції  Національної  поліції  України на 2024 рік</t>
  </si>
  <si>
    <t>Міська цільова програма підтримки Регіонального сервісного центру ГСЦ МВС в Одеській, Миколаївській та Херсонській  областях у сфері надання адміністративних послуг на 2024-2025 роки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</si>
  <si>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</si>
  <si>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</si>
  <si>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</si>
  <si>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0813222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</si>
  <si>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</si>
  <si>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</si>
  <si>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Внески до статутного капіталу суб'єктів господарювання</t>
  </si>
  <si>
    <t>Інша діяльність, пов'язана з експлуатацією об'єктів житлово-комунального господарства</t>
  </si>
  <si>
    <t>1517373</t>
  </si>
  <si>
    <t>Реалізація проектів (заходів) з відновлення медичних установ та закладів, пошкоджених / знищених внаслідок збройної агресії, за рахунок коштів місцевих бюджетів</t>
  </si>
  <si>
    <t>про виконання видатків бюджету  Чорноморської міської територіальної громади за 2024 рік</t>
  </si>
  <si>
    <t>від                           2025  №           - VIII</t>
  </si>
  <si>
    <t>у 6,3 рази</t>
  </si>
  <si>
    <t>у 2 рази</t>
  </si>
  <si>
    <t>у 2,6 рази</t>
  </si>
  <si>
    <t xml:space="preserve">у 2,7 рази </t>
  </si>
  <si>
    <t>у 1,5 рази</t>
  </si>
  <si>
    <t>Виконано за звітний період (рік),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</si>
</sst>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;\-#,##0.00;#,&quot;-&quot;"/>
    <numFmt numFmtId="166" formatCode="#,##0;\-#,##0;#,&quot;-&quot;"/>
    <numFmt numFmtId="167" formatCode="0.0%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 Cyr"/>
      <charset val="204"/>
    </font>
    <font>
      <b/>
      <sz val="10"/>
      <name val="Times New Roman"/>
      <family val="1"/>
      <charset val="204"/>
    </font>
    <font>
      <b/>
      <u/>
      <sz val="12"/>
      <name val="Times New Roman"/>
      <family val="1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i/>
      <sz val="14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24" fillId="3" borderId="0" applyNumberFormat="0" applyBorder="0" applyAlignment="0" applyProtection="0"/>
    <xf numFmtId="0" fontId="32" fillId="0" borderId="0"/>
  </cellStyleXfs>
  <cellXfs count="144">
    <xf numFmtId="0" fontId="0" fillId="0" borderId="0" xfId="0"/>
    <xf numFmtId="0" fontId="6" fillId="2" borderId="0" xfId="0" applyFont="1" applyFill="1"/>
    <xf numFmtId="0" fontId="5" fillId="2" borderId="0" xfId="0" applyFont="1" applyFill="1"/>
    <xf numFmtId="0" fontId="9" fillId="2" borderId="0" xfId="0" applyFont="1" applyFill="1"/>
    <xf numFmtId="164" fontId="9" fillId="0" borderId="0" xfId="0" applyNumberFormat="1" applyFont="1" applyFill="1" applyAlignment="1">
      <alignment horizontal="left"/>
    </xf>
    <xf numFmtId="2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6" fillId="0" borderId="0" xfId="0" applyFont="1" applyFill="1"/>
    <xf numFmtId="49" fontId="3" fillId="0" borderId="0" xfId="0" applyNumberFormat="1" applyFont="1" applyFill="1"/>
    <xf numFmtId="0" fontId="9" fillId="0" borderId="0" xfId="0" applyFont="1" applyFill="1" applyAlignment="1">
      <alignment horizontal="left"/>
    </xf>
    <xf numFmtId="0" fontId="3" fillId="0" borderId="0" xfId="2" applyFont="1" applyFill="1"/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5" fillId="0" borderId="0" xfId="0" applyFont="1" applyFill="1"/>
    <xf numFmtId="4" fontId="5" fillId="0" borderId="0" xfId="0" applyNumberFormat="1" applyFont="1" applyFill="1"/>
    <xf numFmtId="0" fontId="18" fillId="0" borderId="1" xfId="0" applyFont="1" applyFill="1" applyBorder="1" applyAlignment="1">
      <alignment vertical="center" wrapText="1"/>
    </xf>
    <xf numFmtId="0" fontId="18" fillId="0" borderId="1" xfId="0" quotePrefix="1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quotePrefix="1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1" xfId="0" quotePrefix="1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vertical="center" wrapText="1"/>
    </xf>
    <xf numFmtId="0" fontId="19" fillId="0" borderId="2" xfId="0" quotePrefix="1" applyFont="1" applyFill="1" applyBorder="1" applyAlignment="1">
      <alignment vertical="center" wrapText="1"/>
    </xf>
    <xf numFmtId="1" fontId="19" fillId="0" borderId="1" xfId="0" applyNumberFormat="1" applyFont="1" applyFill="1" applyBorder="1" applyAlignment="1">
      <alignment horizontal="left" vertical="center" wrapText="1"/>
    </xf>
    <xf numFmtId="2" fontId="19" fillId="0" borderId="1" xfId="0" quotePrefix="1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/>
    <xf numFmtId="4" fontId="6" fillId="0" borderId="0" xfId="0" applyNumberFormat="1" applyFont="1" applyFill="1"/>
    <xf numFmtId="0" fontId="25" fillId="0" borderId="1" xfId="0" applyFont="1" applyFill="1" applyBorder="1" applyAlignment="1">
      <alignment wrapText="1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1" fontId="5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9" fontId="18" fillId="0" borderId="1" xfId="0" applyNumberFormat="1" applyFont="1" applyFill="1" applyBorder="1" applyAlignment="1">
      <alignment vertical="center" wrapText="1"/>
    </xf>
    <xf numFmtId="0" fontId="27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49" fontId="19" fillId="0" borderId="1" xfId="0" applyNumberFormat="1" applyFont="1" applyFill="1" applyBorder="1" applyAlignment="1">
      <alignment vertical="center"/>
    </xf>
    <xf numFmtId="49" fontId="19" fillId="0" borderId="1" xfId="0" applyNumberFormat="1" applyFont="1" applyFill="1" applyBorder="1" applyAlignment="1">
      <alignment horizontal="center" vertical="center"/>
    </xf>
    <xf numFmtId="164" fontId="19" fillId="0" borderId="1" xfId="2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9" fillId="2" borderId="0" xfId="0" applyFont="1" applyFill="1"/>
    <xf numFmtId="3" fontId="7" fillId="0" borderId="1" xfId="2" applyNumberFormat="1" applyFont="1" applyFill="1" applyBorder="1" applyAlignment="1">
      <alignment horizontal="right" vertical="center" wrapText="1"/>
    </xf>
    <xf numFmtId="3" fontId="21" fillId="0" borderId="1" xfId="0" applyNumberFormat="1" applyFont="1" applyFill="1" applyBorder="1" applyAlignment="1">
      <alignment horizontal="right" vertical="center"/>
    </xf>
    <xf numFmtId="3" fontId="5" fillId="0" borderId="1" xfId="2" applyNumberFormat="1" applyFont="1" applyFill="1" applyBorder="1" applyAlignment="1">
      <alignment horizontal="right" vertical="center" wrapText="1"/>
    </xf>
    <xf numFmtId="3" fontId="22" fillId="0" borderId="1" xfId="0" applyNumberFormat="1" applyFont="1" applyFill="1" applyBorder="1" applyAlignment="1">
      <alignment horizontal="right" vertical="center"/>
    </xf>
    <xf numFmtId="3" fontId="5" fillId="0" borderId="1" xfId="2" applyNumberFormat="1" applyFont="1" applyFill="1" applyBorder="1" applyAlignment="1">
      <alignment horizontal="right" vertical="center"/>
    </xf>
    <xf numFmtId="3" fontId="8" fillId="0" borderId="1" xfId="2" applyNumberFormat="1" applyFont="1" applyFill="1" applyBorder="1" applyAlignment="1">
      <alignment horizontal="right" vertical="center" wrapText="1"/>
    </xf>
    <xf numFmtId="3" fontId="23" fillId="0" borderId="1" xfId="0" applyNumberFormat="1" applyFont="1" applyFill="1" applyBorder="1" applyAlignment="1">
      <alignment horizontal="right" vertical="center"/>
    </xf>
    <xf numFmtId="3" fontId="8" fillId="0" borderId="1" xfId="2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3" fontId="7" fillId="0" borderId="1" xfId="2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3" fontId="20" fillId="0" borderId="1" xfId="2" applyNumberFormat="1" applyFont="1" applyFill="1" applyBorder="1" applyAlignment="1">
      <alignment horizontal="right" vertical="center" wrapText="1"/>
    </xf>
    <xf numFmtId="3" fontId="20" fillId="0" borderId="1" xfId="0" applyNumberFormat="1" applyFont="1" applyFill="1" applyBorder="1" applyAlignment="1">
      <alignment horizontal="right" vertical="center"/>
    </xf>
    <xf numFmtId="3" fontId="19" fillId="0" borderId="1" xfId="2" applyNumberFormat="1" applyFont="1" applyFill="1" applyBorder="1" applyAlignment="1">
      <alignment horizontal="right" vertical="center" wrapText="1"/>
    </xf>
    <xf numFmtId="3" fontId="19" fillId="0" borderId="1" xfId="0" applyNumberFormat="1" applyFont="1" applyFill="1" applyBorder="1" applyAlignment="1">
      <alignment horizontal="right" vertical="center"/>
    </xf>
    <xf numFmtId="3" fontId="18" fillId="0" borderId="1" xfId="2" applyNumberFormat="1" applyFont="1" applyFill="1" applyBorder="1" applyAlignment="1">
      <alignment horizontal="right" vertical="center" wrapText="1"/>
    </xf>
    <xf numFmtId="3" fontId="25" fillId="0" borderId="1" xfId="0" applyNumberFormat="1" applyFont="1" applyFill="1" applyBorder="1" applyAlignment="1">
      <alignment horizontal="right"/>
    </xf>
    <xf numFmtId="2" fontId="6" fillId="0" borderId="0" xfId="0" applyNumberFormat="1" applyFont="1" applyFill="1"/>
    <xf numFmtId="166" fontId="20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/>
    </xf>
    <xf numFmtId="2" fontId="6" fillId="2" borderId="0" xfId="0" applyNumberFormat="1" applyFont="1" applyFill="1"/>
    <xf numFmtId="3" fontId="5" fillId="0" borderId="0" xfId="0" applyNumberFormat="1" applyFont="1" applyFill="1"/>
    <xf numFmtId="0" fontId="19" fillId="0" borderId="1" xfId="0" quotePrefix="1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horizontal="left" vertical="center" wrapText="1"/>
    </xf>
    <xf numFmtId="167" fontId="7" fillId="0" borderId="1" xfId="2" applyNumberFormat="1" applyFont="1" applyFill="1" applyBorder="1" applyAlignment="1">
      <alignment horizontal="right" vertical="center" wrapText="1"/>
    </xf>
    <xf numFmtId="167" fontId="5" fillId="0" borderId="1" xfId="2" applyNumberFormat="1" applyFont="1" applyFill="1" applyBorder="1" applyAlignment="1">
      <alignment horizontal="right" vertical="center" wrapText="1"/>
    </xf>
    <xf numFmtId="4" fontId="5" fillId="2" borderId="0" xfId="0" applyNumberFormat="1" applyFont="1" applyFill="1" applyAlignment="1">
      <alignment vertical="center"/>
    </xf>
    <xf numFmtId="167" fontId="8" fillId="0" borderId="1" xfId="2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right" wrapText="1"/>
    </xf>
    <xf numFmtId="0" fontId="3" fillId="0" borderId="0" xfId="2" applyFont="1" applyFill="1" applyAlignment="1">
      <alignment horizontal="right" wrapText="1"/>
    </xf>
    <xf numFmtId="0" fontId="3" fillId="0" borderId="1" xfId="2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wrapText="1"/>
    </xf>
    <xf numFmtId="4" fontId="5" fillId="0" borderId="0" xfId="0" applyNumberFormat="1" applyFont="1" applyFill="1" applyAlignment="1">
      <alignment horizontal="right" wrapText="1"/>
    </xf>
    <xf numFmtId="4" fontId="5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wrapText="1"/>
    </xf>
    <xf numFmtId="2" fontId="14" fillId="0" borderId="0" xfId="0" applyNumberFormat="1" applyFont="1" applyFill="1"/>
    <xf numFmtId="0" fontId="3" fillId="0" borderId="0" xfId="0" applyFont="1" applyFill="1" applyAlignment="1">
      <alignment horizontal="left"/>
    </xf>
    <xf numFmtId="166" fontId="20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49" fontId="5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wrapText="1"/>
    </xf>
    <xf numFmtId="0" fontId="10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vertical="center" wrapText="1"/>
    </xf>
    <xf numFmtId="0" fontId="19" fillId="0" borderId="1" xfId="5" applyFont="1" applyFill="1" applyBorder="1" applyAlignment="1">
      <alignment horizontal="left" vertical="center" wrapText="1"/>
    </xf>
    <xf numFmtId="2" fontId="6" fillId="0" borderId="0" xfId="0" applyNumberFormat="1" applyFont="1" applyFill="1" applyAlignment="1">
      <alignment horizontal="right" wrapText="1"/>
    </xf>
    <xf numFmtId="3" fontId="6" fillId="0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3" fontId="20" fillId="0" borderId="1" xfId="0" applyNumberFormat="1" applyFont="1" applyFill="1" applyBorder="1" applyAlignment="1">
      <alignment vertical="center"/>
    </xf>
    <xf numFmtId="165" fontId="20" fillId="0" borderId="1" xfId="0" applyNumberFormat="1" applyFont="1" applyFill="1" applyBorder="1" applyAlignment="1">
      <alignment vertical="center"/>
    </xf>
    <xf numFmtId="3" fontId="5" fillId="0" borderId="0" xfId="4" applyNumberFormat="1" applyFont="1" applyFill="1" applyAlignment="1">
      <alignment vertical="center"/>
    </xf>
    <xf numFmtId="4" fontId="21" fillId="0" borderId="1" xfId="0" applyNumberFormat="1" applyFon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vertical="center" wrapText="1"/>
    </xf>
    <xf numFmtId="0" fontId="10" fillId="0" borderId="0" xfId="0" applyFont="1" applyFill="1" applyAlignment="1">
      <alignment horizontal="center"/>
    </xf>
    <xf numFmtId="0" fontId="19" fillId="0" borderId="1" xfId="5" applyFont="1" applyFill="1" applyBorder="1" applyAlignment="1">
      <alignment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" fontId="8" fillId="0" borderId="1" xfId="2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3" fillId="0" borderId="0" xfId="0" applyFont="1" applyFill="1" applyAlignment="1">
      <alignment horizontal="right" wrapText="1"/>
    </xf>
    <xf numFmtId="49" fontId="12" fillId="0" borderId="1" xfId="1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Alignment="1">
      <alignment horizontal="center"/>
    </xf>
  </cellXfs>
  <cellStyles count="6">
    <cellStyle name="Гарний" xfId="4" builtinId="26"/>
    <cellStyle name="Звичайний" xfId="0" builtinId="0"/>
    <cellStyle name="Обычный 2" xfId="3"/>
    <cellStyle name="Обычный 3" xfId="1"/>
    <cellStyle name="Обычный 9" xfId="5"/>
    <cellStyle name="Обычный_дод 3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R228"/>
  <sheetViews>
    <sheetView showZeros="0" tabSelected="1" view="pageBreakPreview" zoomScale="60" zoomScaleNormal="50" workbookViewId="0">
      <pane xSplit="4" ySplit="15" topLeftCell="E209" activePane="bottomRight" state="frozen"/>
      <selection pane="topRight" activeCell="E1" sqref="E1"/>
      <selection pane="bottomLeft" activeCell="A13" sqref="A13"/>
      <selection pane="bottomRight" activeCell="J222" sqref="J222:K222"/>
    </sheetView>
  </sheetViews>
  <sheetFormatPr defaultColWidth="9.109375" defaultRowHeight="15.6" x14ac:dyDescent="0.3"/>
  <cols>
    <col min="1" max="1" width="18" style="9" customWidth="1"/>
    <col min="2" max="2" width="15.109375" style="9" customWidth="1"/>
    <col min="3" max="3" width="18.44140625" style="9" customWidth="1"/>
    <col min="4" max="4" width="54.109375" style="8" customWidth="1"/>
    <col min="5" max="5" width="20.5546875" style="8" customWidth="1"/>
    <col min="6" max="6" width="19.88671875" style="8" customWidth="1"/>
    <col min="7" max="7" width="18.6640625" style="8" customWidth="1"/>
    <col min="8" max="8" width="16.6640625" style="8" customWidth="1"/>
    <col min="9" max="9" width="20" style="8" customWidth="1"/>
    <col min="10" max="10" width="17.109375" style="8" customWidth="1"/>
    <col min="11" max="11" width="17.33203125" style="8" customWidth="1"/>
    <col min="12" max="12" width="17.5546875" style="8" customWidth="1"/>
    <col min="13" max="13" width="11" style="96" customWidth="1"/>
    <col min="14" max="14" width="13.88671875" style="96" customWidth="1"/>
    <col min="15" max="15" width="10" style="96" customWidth="1"/>
    <col min="16" max="16" width="11.6640625" style="96" customWidth="1"/>
    <col min="17" max="17" width="12" style="1" bestFit="1" customWidth="1"/>
    <col min="18" max="16384" width="9.109375" style="1"/>
  </cols>
  <sheetData>
    <row r="1" spans="1:16" x14ac:dyDescent="0.3">
      <c r="A1" s="4"/>
      <c r="B1" s="5"/>
      <c r="C1" s="5"/>
      <c r="D1" s="6"/>
      <c r="E1" s="7"/>
      <c r="F1" s="7"/>
      <c r="G1" s="7"/>
      <c r="H1" s="7"/>
      <c r="I1" s="7"/>
      <c r="J1" s="7"/>
      <c r="K1" s="7"/>
      <c r="L1" s="7"/>
      <c r="M1" s="125" t="s">
        <v>309</v>
      </c>
      <c r="N1" s="125"/>
      <c r="O1" s="125"/>
      <c r="P1" s="125"/>
    </row>
    <row r="2" spans="1:16" ht="15.6" customHeight="1" x14ac:dyDescent="0.3">
      <c r="A2" s="4"/>
      <c r="B2" s="5"/>
      <c r="C2" s="5"/>
      <c r="D2" s="6"/>
      <c r="E2" s="7"/>
      <c r="F2" s="7"/>
      <c r="G2" s="7"/>
      <c r="H2" s="7"/>
      <c r="I2" s="7"/>
      <c r="J2" s="7"/>
      <c r="K2" s="7"/>
      <c r="L2" s="7"/>
      <c r="M2" s="125" t="s">
        <v>310</v>
      </c>
      <c r="N2" s="125"/>
      <c r="O2" s="125"/>
      <c r="P2" s="125"/>
    </row>
    <row r="3" spans="1:16" ht="15.6" customHeight="1" x14ac:dyDescent="0.3">
      <c r="A3" s="4"/>
      <c r="B3" s="5"/>
      <c r="D3" s="6"/>
      <c r="E3" s="7"/>
      <c r="F3" s="7"/>
      <c r="G3" s="7"/>
      <c r="H3" s="7"/>
      <c r="I3" s="7"/>
      <c r="J3" s="7"/>
      <c r="K3" s="98"/>
      <c r="L3" s="7"/>
      <c r="M3" s="125" t="s">
        <v>413</v>
      </c>
      <c r="N3" s="125"/>
      <c r="O3" s="125"/>
      <c r="P3" s="125"/>
    </row>
    <row r="4" spans="1:16" x14ac:dyDescent="0.3">
      <c r="A4" s="10"/>
      <c r="D4" s="6"/>
      <c r="E4" s="7"/>
      <c r="F4" s="7"/>
      <c r="G4" s="7"/>
      <c r="H4" s="7"/>
      <c r="I4" s="7"/>
      <c r="J4" s="7"/>
      <c r="K4" s="98"/>
      <c r="L4" s="7"/>
      <c r="M4" s="141"/>
      <c r="N4" s="141"/>
      <c r="O4" s="141"/>
      <c r="P4" s="103"/>
    </row>
    <row r="5" spans="1:16" s="3" customFormat="1" x14ac:dyDescent="0.3">
      <c r="A5" s="124" t="s">
        <v>175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</row>
    <row r="6" spans="1:16" s="3" customFormat="1" x14ac:dyDescent="0.3">
      <c r="A6" s="136" t="s">
        <v>412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</row>
    <row r="7" spans="1:16" s="3" customFormat="1" x14ac:dyDescent="0.3">
      <c r="A7" s="14">
        <v>1558900000</v>
      </c>
      <c r="B7" s="117"/>
      <c r="C7" s="117"/>
      <c r="D7" s="117"/>
      <c r="E7" s="104"/>
      <c r="F7" s="111"/>
      <c r="G7" s="111"/>
      <c r="H7" s="111"/>
      <c r="I7" s="111"/>
      <c r="J7" s="111"/>
      <c r="K7" s="111"/>
      <c r="L7" s="111"/>
      <c r="M7" s="90"/>
      <c r="N7" s="90"/>
      <c r="O7" s="90"/>
      <c r="P7" s="90"/>
    </row>
    <row r="8" spans="1:16" s="3" customFormat="1" x14ac:dyDescent="0.3">
      <c r="A8" s="117" t="s">
        <v>215</v>
      </c>
      <c r="B8" s="117"/>
      <c r="C8" s="117"/>
      <c r="D8" s="117"/>
      <c r="E8" s="104"/>
      <c r="F8" s="111"/>
      <c r="G8" s="111"/>
      <c r="H8" s="111"/>
      <c r="I8" s="111"/>
      <c r="J8" s="111"/>
      <c r="K8" s="111"/>
      <c r="L8" s="111"/>
      <c r="M8" s="90"/>
      <c r="N8" s="90"/>
      <c r="O8" s="90"/>
      <c r="P8" s="90"/>
    </row>
    <row r="9" spans="1:16" x14ac:dyDescent="0.3">
      <c r="D9" s="11"/>
      <c r="E9" s="11"/>
      <c r="F9" s="11"/>
      <c r="G9" s="11"/>
      <c r="H9" s="11"/>
      <c r="I9" s="11"/>
      <c r="J9" s="11"/>
      <c r="K9" s="11"/>
      <c r="L9" s="11"/>
      <c r="M9" s="91"/>
      <c r="N9" s="91"/>
      <c r="O9" s="91"/>
      <c r="P9" s="91"/>
    </row>
    <row r="10" spans="1:16" ht="15.6" customHeight="1" x14ac:dyDescent="0.3">
      <c r="A10" s="137" t="s">
        <v>161</v>
      </c>
      <c r="B10" s="142" t="s">
        <v>162</v>
      </c>
      <c r="C10" s="137" t="s">
        <v>163</v>
      </c>
      <c r="D10" s="126" t="s">
        <v>164</v>
      </c>
      <c r="E10" s="130" t="s">
        <v>317</v>
      </c>
      <c r="F10" s="131"/>
      <c r="G10" s="131"/>
      <c r="H10" s="132"/>
      <c r="I10" s="130" t="s">
        <v>419</v>
      </c>
      <c r="J10" s="131"/>
      <c r="K10" s="131"/>
      <c r="L10" s="132"/>
      <c r="M10" s="130" t="s">
        <v>283</v>
      </c>
      <c r="N10" s="131"/>
      <c r="O10" s="131"/>
      <c r="P10" s="132"/>
    </row>
    <row r="11" spans="1:16" ht="15.6" customHeight="1" x14ac:dyDescent="0.3">
      <c r="A11" s="137"/>
      <c r="B11" s="142"/>
      <c r="C11" s="137"/>
      <c r="D11" s="126"/>
      <c r="E11" s="133" t="s">
        <v>339</v>
      </c>
      <c r="F11" s="127" t="s">
        <v>176</v>
      </c>
      <c r="G11" s="128"/>
      <c r="H11" s="129"/>
      <c r="I11" s="133" t="s">
        <v>339</v>
      </c>
      <c r="J11" s="127" t="s">
        <v>282</v>
      </c>
      <c r="K11" s="128"/>
      <c r="L11" s="129"/>
      <c r="M11" s="133" t="s">
        <v>339</v>
      </c>
      <c r="N11" s="138" t="s">
        <v>177</v>
      </c>
      <c r="O11" s="139"/>
      <c r="P11" s="140"/>
    </row>
    <row r="12" spans="1:16" x14ac:dyDescent="0.3">
      <c r="A12" s="137"/>
      <c r="B12" s="142"/>
      <c r="C12" s="137"/>
      <c r="D12" s="126"/>
      <c r="E12" s="134"/>
      <c r="F12" s="121" t="s">
        <v>178</v>
      </c>
      <c r="G12" s="121" t="s">
        <v>179</v>
      </c>
      <c r="H12" s="121"/>
      <c r="I12" s="134"/>
      <c r="J12" s="121" t="s">
        <v>180</v>
      </c>
      <c r="K12" s="121" t="s">
        <v>179</v>
      </c>
      <c r="L12" s="121"/>
      <c r="M12" s="134"/>
      <c r="N12" s="121" t="s">
        <v>178</v>
      </c>
      <c r="O12" s="121" t="s">
        <v>179</v>
      </c>
      <c r="P12" s="121"/>
    </row>
    <row r="13" spans="1:16" x14ac:dyDescent="0.3">
      <c r="A13" s="137"/>
      <c r="B13" s="142"/>
      <c r="C13" s="137"/>
      <c r="D13" s="126"/>
      <c r="E13" s="134"/>
      <c r="F13" s="122"/>
      <c r="G13" s="123" t="s">
        <v>340</v>
      </c>
      <c r="H13" s="110" t="s">
        <v>181</v>
      </c>
      <c r="I13" s="134"/>
      <c r="J13" s="122"/>
      <c r="K13" s="123" t="s">
        <v>340</v>
      </c>
      <c r="L13" s="110" t="s">
        <v>181</v>
      </c>
      <c r="M13" s="134"/>
      <c r="N13" s="122"/>
      <c r="O13" s="123" t="s">
        <v>340</v>
      </c>
      <c r="P13" s="105" t="s">
        <v>181</v>
      </c>
    </row>
    <row r="14" spans="1:16" ht="40.200000000000003" customHeight="1" x14ac:dyDescent="0.3">
      <c r="A14" s="137"/>
      <c r="B14" s="142"/>
      <c r="C14" s="137"/>
      <c r="D14" s="126"/>
      <c r="E14" s="135"/>
      <c r="F14" s="122"/>
      <c r="G14" s="123"/>
      <c r="H14" s="110" t="s">
        <v>0</v>
      </c>
      <c r="I14" s="135"/>
      <c r="J14" s="122"/>
      <c r="K14" s="123"/>
      <c r="L14" s="110" t="s">
        <v>0</v>
      </c>
      <c r="M14" s="135"/>
      <c r="N14" s="122"/>
      <c r="O14" s="123"/>
      <c r="P14" s="105" t="s">
        <v>0</v>
      </c>
    </row>
    <row r="15" spans="1:16" x14ac:dyDescent="0.3">
      <c r="A15" s="12">
        <v>1</v>
      </c>
      <c r="B15" s="12">
        <v>2</v>
      </c>
      <c r="C15" s="12">
        <v>3</v>
      </c>
      <c r="D15" s="13">
        <v>4</v>
      </c>
      <c r="E15" s="13">
        <v>5</v>
      </c>
      <c r="F15" s="13">
        <v>6</v>
      </c>
      <c r="G15" s="13">
        <v>7</v>
      </c>
      <c r="H15" s="13">
        <v>8</v>
      </c>
      <c r="I15" s="13">
        <v>9</v>
      </c>
      <c r="J15" s="13">
        <v>10</v>
      </c>
      <c r="K15" s="13">
        <v>11</v>
      </c>
      <c r="L15" s="13">
        <v>12</v>
      </c>
      <c r="M15" s="92">
        <v>13</v>
      </c>
      <c r="N15" s="92">
        <v>14</v>
      </c>
      <c r="O15" s="92">
        <v>15</v>
      </c>
      <c r="P15" s="92">
        <v>16</v>
      </c>
    </row>
    <row r="16" spans="1:16" s="36" customFormat="1" ht="52.2" x14ac:dyDescent="0.3">
      <c r="A16" s="17" t="s">
        <v>61</v>
      </c>
      <c r="B16" s="17" t="s">
        <v>231</v>
      </c>
      <c r="C16" s="17" t="s">
        <v>231</v>
      </c>
      <c r="D16" s="18" t="s">
        <v>232</v>
      </c>
      <c r="E16" s="57">
        <f>F16+G16</f>
        <v>191429960</v>
      </c>
      <c r="F16" s="58">
        <f>F17</f>
        <v>177180164</v>
      </c>
      <c r="G16" s="58">
        <f t="shared" ref="G16:H16" si="0">G17</f>
        <v>14249796</v>
      </c>
      <c r="H16" s="58">
        <f t="shared" si="0"/>
        <v>14001296</v>
      </c>
      <c r="I16" s="57">
        <f>J16+K16</f>
        <v>178702193.56999999</v>
      </c>
      <c r="J16" s="57">
        <f>J17</f>
        <v>164057299.84</v>
      </c>
      <c r="K16" s="57">
        <f t="shared" ref="K16:L16" si="1">K17</f>
        <v>14644893.729999999</v>
      </c>
      <c r="L16" s="57">
        <f t="shared" si="1"/>
        <v>7852908.7699999996</v>
      </c>
      <c r="M16" s="86">
        <f>IFERROR((I16/E16),"")</f>
        <v>0.93351215018798517</v>
      </c>
      <c r="N16" s="86">
        <f t="shared" ref="N16:P16" si="2">IFERROR((J16/F16),"")</f>
        <v>0.92593491357192781</v>
      </c>
      <c r="O16" s="86">
        <f t="shared" si="2"/>
        <v>1.0277265534187296</v>
      </c>
      <c r="P16" s="86">
        <f t="shared" si="2"/>
        <v>0.5608701344504109</v>
      </c>
    </row>
    <row r="17" spans="1:16" s="37" customFormat="1" ht="52.2" x14ac:dyDescent="0.3">
      <c r="A17" s="17" t="s">
        <v>62</v>
      </c>
      <c r="B17" s="17" t="s">
        <v>231</v>
      </c>
      <c r="C17" s="17" t="s">
        <v>231</v>
      </c>
      <c r="D17" s="18" t="s">
        <v>232</v>
      </c>
      <c r="E17" s="58">
        <f>F17+G17</f>
        <v>191429960</v>
      </c>
      <c r="F17" s="58">
        <f>F18+F23+F24+F25+F26+F27+F28+F29+F30+F44+F46+F47+F48+F50+F49+F35+F34+F45+F52+F36+F51</f>
        <v>177180164</v>
      </c>
      <c r="G17" s="58">
        <f>G18+G23+G24+G25+G26+G27+G28+G29+G30+G44+G46+G47+G48+G50+G49+G35+G34+G45+G52+G43+G36</f>
        <v>14249796</v>
      </c>
      <c r="H17" s="58">
        <f>H18+H23+H24+H25+H26+H27+H28+H29+H30+H44+H46+H47+H48+H50+H49+H35+H34+H45+H52+H43+H36</f>
        <v>14001296</v>
      </c>
      <c r="I17" s="58">
        <f>I18+I23+I24+I25+I26+I27+I28+I29+I30+I44+I46+I47+I48+I50+I49+I35+I34+I45+I52+I36+I43+I51</f>
        <v>178702193.56999999</v>
      </c>
      <c r="J17" s="58">
        <f>J18+J23+J24+J25+J26+J27+J28+J29+J30+J44+J46+J47+J48+J50+J49+J35+J34+J45+J52+J36+J51</f>
        <v>164057299.84</v>
      </c>
      <c r="K17" s="58">
        <f>K18+K23+K24+K25+K26+K27+K28+K29+K30+K44+K46+K47+K48+K50+K49+K35+K34+K45+K52+K43+K36</f>
        <v>14644893.729999999</v>
      </c>
      <c r="L17" s="58">
        <f>L18+L23+L24+L25+L26+L27+L28+L29+L30+L44+L46+L47+L48+L50+L49+L35+L34+L45+L52+L43+L36</f>
        <v>7852908.7699999996</v>
      </c>
      <c r="M17" s="86">
        <f t="shared" ref="M17:M96" si="3">IFERROR((I17/E17),"")</f>
        <v>0.93351215018798517</v>
      </c>
      <c r="N17" s="86">
        <f t="shared" ref="N17:N96" si="4">IFERROR((J17/F17),"")</f>
        <v>0.92593491357192781</v>
      </c>
      <c r="O17" s="86">
        <f t="shared" ref="O17:O95" si="5">IFERROR((K17/G17),"")</f>
        <v>1.0277265534187296</v>
      </c>
      <c r="P17" s="86">
        <f t="shared" ref="O17:P95" si="6">IFERROR((L17/H17),"")</f>
        <v>0.5608701344504109</v>
      </c>
    </row>
    <row r="18" spans="1:16" s="38" customFormat="1" ht="90" x14ac:dyDescent="0.3">
      <c r="A18" s="19" t="s">
        <v>63</v>
      </c>
      <c r="B18" s="19" t="s">
        <v>52</v>
      </c>
      <c r="C18" s="19" t="s">
        <v>2</v>
      </c>
      <c r="D18" s="20" t="s">
        <v>233</v>
      </c>
      <c r="E18" s="59">
        <f t="shared" ref="E18:E92" si="7">F18+G18</f>
        <v>78906783</v>
      </c>
      <c r="F18" s="60">
        <f>F19+F20+F21+F22</f>
        <v>77668183</v>
      </c>
      <c r="G18" s="60">
        <f>G19+G20+G21+G22</f>
        <v>1238600</v>
      </c>
      <c r="H18" s="60">
        <f t="shared" ref="H18" si="8">H19+H20+H21+H22</f>
        <v>1100000</v>
      </c>
      <c r="I18" s="59">
        <f t="shared" ref="I18:I97" si="9">J18+K18</f>
        <v>82639567.269999996</v>
      </c>
      <c r="J18" s="61">
        <f>J19+J20+J21+J22</f>
        <v>74797582.310000002</v>
      </c>
      <c r="K18" s="61">
        <f t="shared" ref="K18:L18" si="10">K19+K20+K21+K22</f>
        <v>7841984.959999999</v>
      </c>
      <c r="L18" s="61">
        <f t="shared" si="10"/>
        <v>1100000</v>
      </c>
      <c r="M18" s="87">
        <f t="shared" si="3"/>
        <v>1.0473062533800168</v>
      </c>
      <c r="N18" s="87">
        <f t="shared" si="4"/>
        <v>0.96304019768300753</v>
      </c>
      <c r="O18" s="87" t="s">
        <v>414</v>
      </c>
      <c r="P18" s="87">
        <f t="shared" si="6"/>
        <v>1</v>
      </c>
    </row>
    <row r="19" spans="1:16" s="39" customFormat="1" ht="36" x14ac:dyDescent="0.3">
      <c r="A19" s="21"/>
      <c r="B19" s="21"/>
      <c r="C19" s="21"/>
      <c r="D19" s="22" t="s">
        <v>232</v>
      </c>
      <c r="E19" s="62">
        <f t="shared" si="7"/>
        <v>69473371</v>
      </c>
      <c r="F19" s="112">
        <v>69334773</v>
      </c>
      <c r="G19" s="63">
        <f>138598</f>
        <v>138598</v>
      </c>
      <c r="H19" s="63"/>
      <c r="I19" s="62">
        <f t="shared" si="9"/>
        <v>73472215.799999997</v>
      </c>
      <c r="J19" s="62">
        <v>66732280.859999999</v>
      </c>
      <c r="K19" s="64">
        <f>6686735.8+53199.14</f>
        <v>6739934.9399999995</v>
      </c>
      <c r="L19" s="64"/>
      <c r="M19" s="89">
        <f t="shared" si="3"/>
        <v>1.0575593891938826</v>
      </c>
      <c r="N19" s="89">
        <f t="shared" si="4"/>
        <v>0.96246483506912184</v>
      </c>
      <c r="O19" s="89" t="s">
        <v>382</v>
      </c>
      <c r="P19" s="89" t="str">
        <f t="shared" si="6"/>
        <v/>
      </c>
    </row>
    <row r="20" spans="1:16" s="39" customFormat="1" ht="54" x14ac:dyDescent="0.3">
      <c r="A20" s="21"/>
      <c r="B20" s="21"/>
      <c r="C20" s="21"/>
      <c r="D20" s="22" t="s">
        <v>212</v>
      </c>
      <c r="E20" s="62">
        <f t="shared" si="7"/>
        <v>4528501</v>
      </c>
      <c r="F20" s="112">
        <v>3428500</v>
      </c>
      <c r="G20" s="63">
        <f>1100000+1</f>
        <v>1100001</v>
      </c>
      <c r="H20" s="63">
        <v>1100000</v>
      </c>
      <c r="I20" s="62">
        <f t="shared" si="9"/>
        <v>4433065.18</v>
      </c>
      <c r="J20" s="62">
        <v>3331015.16</v>
      </c>
      <c r="K20" s="64">
        <f>1100000+2050.02</f>
        <v>1102050.02</v>
      </c>
      <c r="L20" s="64">
        <v>1100000</v>
      </c>
      <c r="M20" s="89">
        <f t="shared" si="3"/>
        <v>0.97892551641260539</v>
      </c>
      <c r="N20" s="89">
        <f t="shared" si="4"/>
        <v>0.97156632929852704</v>
      </c>
      <c r="O20" s="89">
        <f t="shared" si="5"/>
        <v>1.001862743761142</v>
      </c>
      <c r="P20" s="89">
        <f t="shared" si="6"/>
        <v>1</v>
      </c>
    </row>
    <row r="21" spans="1:16" s="39" customFormat="1" ht="54" x14ac:dyDescent="0.3">
      <c r="A21" s="21"/>
      <c r="B21" s="21"/>
      <c r="C21" s="21"/>
      <c r="D21" s="22" t="s">
        <v>214</v>
      </c>
      <c r="E21" s="62">
        <f t="shared" si="7"/>
        <v>2183210</v>
      </c>
      <c r="F21" s="112">
        <v>2183210</v>
      </c>
      <c r="G21" s="63"/>
      <c r="H21" s="63"/>
      <c r="I21" s="62">
        <f t="shared" si="9"/>
        <v>2069967.34</v>
      </c>
      <c r="J21" s="62">
        <v>2069967.34</v>
      </c>
      <c r="K21" s="64"/>
      <c r="L21" s="64"/>
      <c r="M21" s="89">
        <f t="shared" si="3"/>
        <v>0.9481302027748133</v>
      </c>
      <c r="N21" s="89">
        <f t="shared" si="4"/>
        <v>0.9481302027748133</v>
      </c>
      <c r="O21" s="89" t="str">
        <f t="shared" si="5"/>
        <v/>
      </c>
      <c r="P21" s="89" t="str">
        <f t="shared" si="6"/>
        <v/>
      </c>
    </row>
    <row r="22" spans="1:16" s="39" customFormat="1" ht="54" x14ac:dyDescent="0.3">
      <c r="A22" s="21"/>
      <c r="B22" s="21"/>
      <c r="C22" s="21"/>
      <c r="D22" s="22" t="s">
        <v>213</v>
      </c>
      <c r="E22" s="62">
        <f t="shared" si="7"/>
        <v>2721701</v>
      </c>
      <c r="F22" s="112">
        <v>2721700</v>
      </c>
      <c r="G22" s="63">
        <v>1</v>
      </c>
      <c r="H22" s="63"/>
      <c r="I22" s="62">
        <f t="shared" si="9"/>
        <v>2664318.9500000002</v>
      </c>
      <c r="J22" s="62">
        <v>2664318.9500000002</v>
      </c>
      <c r="K22" s="64"/>
      <c r="L22" s="64"/>
      <c r="M22" s="89">
        <f t="shared" si="3"/>
        <v>0.97891684281263824</v>
      </c>
      <c r="N22" s="89">
        <f t="shared" si="4"/>
        <v>0.97891720248374181</v>
      </c>
      <c r="O22" s="89">
        <f t="shared" si="5"/>
        <v>0</v>
      </c>
      <c r="P22" s="89" t="str">
        <f t="shared" si="6"/>
        <v/>
      </c>
    </row>
    <row r="23" spans="1:16" s="39" customFormat="1" ht="54" x14ac:dyDescent="0.3">
      <c r="A23" s="19" t="s">
        <v>108</v>
      </c>
      <c r="B23" s="19" t="s">
        <v>109</v>
      </c>
      <c r="C23" s="19" t="s">
        <v>110</v>
      </c>
      <c r="D23" s="20" t="s">
        <v>111</v>
      </c>
      <c r="E23" s="59">
        <f t="shared" si="7"/>
        <v>50000</v>
      </c>
      <c r="F23" s="60">
        <v>50000</v>
      </c>
      <c r="G23" s="60"/>
      <c r="H23" s="60"/>
      <c r="I23" s="59">
        <f t="shared" si="9"/>
        <v>22200</v>
      </c>
      <c r="J23" s="114">
        <v>22200</v>
      </c>
      <c r="K23" s="61"/>
      <c r="L23" s="61"/>
      <c r="M23" s="87">
        <f t="shared" si="3"/>
        <v>0.44400000000000001</v>
      </c>
      <c r="N23" s="87">
        <f t="shared" si="4"/>
        <v>0.44400000000000001</v>
      </c>
      <c r="O23" s="87" t="str">
        <f t="shared" si="5"/>
        <v/>
      </c>
      <c r="P23" s="87" t="str">
        <f t="shared" si="6"/>
        <v/>
      </c>
    </row>
    <row r="24" spans="1:16" s="40" customFormat="1" ht="36" x14ac:dyDescent="0.3">
      <c r="A24" s="19" t="s">
        <v>115</v>
      </c>
      <c r="B24" s="19" t="s">
        <v>9</v>
      </c>
      <c r="C24" s="19" t="s">
        <v>5</v>
      </c>
      <c r="D24" s="20" t="s">
        <v>102</v>
      </c>
      <c r="E24" s="59">
        <f t="shared" si="7"/>
        <v>9033607</v>
      </c>
      <c r="F24" s="60">
        <v>9033607</v>
      </c>
      <c r="G24" s="60"/>
      <c r="H24" s="60"/>
      <c r="I24" s="59">
        <f t="shared" si="9"/>
        <v>1215052.05</v>
      </c>
      <c r="J24" s="61">
        <v>1215052.05</v>
      </c>
      <c r="K24" s="61"/>
      <c r="L24" s="61"/>
      <c r="M24" s="87">
        <f t="shared" si="3"/>
        <v>0.13450353219926436</v>
      </c>
      <c r="N24" s="87">
        <f t="shared" si="4"/>
        <v>0.13450353219926436</v>
      </c>
      <c r="O24" s="87" t="str">
        <f t="shared" si="5"/>
        <v/>
      </c>
      <c r="P24" s="87" t="str">
        <f t="shared" si="6"/>
        <v/>
      </c>
    </row>
    <row r="25" spans="1:16" s="41" customFormat="1" ht="36" x14ac:dyDescent="0.3">
      <c r="A25" s="19" t="s">
        <v>64</v>
      </c>
      <c r="B25" s="19" t="s">
        <v>30</v>
      </c>
      <c r="C25" s="19" t="s">
        <v>31</v>
      </c>
      <c r="D25" s="20" t="s">
        <v>155</v>
      </c>
      <c r="E25" s="59">
        <f t="shared" si="7"/>
        <v>30302419</v>
      </c>
      <c r="F25" s="60">
        <v>25438670</v>
      </c>
      <c r="G25" s="60">
        <v>4863749</v>
      </c>
      <c r="H25" s="60">
        <v>4863749</v>
      </c>
      <c r="I25" s="59">
        <f t="shared" si="9"/>
        <v>27237283.219999999</v>
      </c>
      <c r="J25" s="61">
        <v>24566760.969999999</v>
      </c>
      <c r="K25" s="61">
        <v>2670522.25</v>
      </c>
      <c r="L25" s="61">
        <v>2670522.25</v>
      </c>
      <c r="M25" s="87">
        <f t="shared" si="3"/>
        <v>0.89884847873036133</v>
      </c>
      <c r="N25" s="87">
        <f t="shared" si="4"/>
        <v>0.96572505441518752</v>
      </c>
      <c r="O25" s="87">
        <f t="shared" si="5"/>
        <v>0.54906662535422779</v>
      </c>
      <c r="P25" s="87">
        <f t="shared" si="6"/>
        <v>0.54906662535422779</v>
      </c>
    </row>
    <row r="26" spans="1:16" s="40" customFormat="1" ht="18" x14ac:dyDescent="0.3">
      <c r="A26" s="19" t="s">
        <v>65</v>
      </c>
      <c r="B26" s="19" t="s">
        <v>53</v>
      </c>
      <c r="C26" s="19" t="s">
        <v>32</v>
      </c>
      <c r="D26" s="20" t="s">
        <v>234</v>
      </c>
      <c r="E26" s="59">
        <f t="shared" si="7"/>
        <v>10185245</v>
      </c>
      <c r="F26" s="60">
        <v>9315245</v>
      </c>
      <c r="G26" s="60">
        <v>870000</v>
      </c>
      <c r="H26" s="60">
        <v>870000</v>
      </c>
      <c r="I26" s="59">
        <f t="shared" si="9"/>
        <v>10155424.43</v>
      </c>
      <c r="J26" s="61">
        <v>9287244.4299999997</v>
      </c>
      <c r="K26" s="61">
        <v>868180</v>
      </c>
      <c r="L26" s="61">
        <v>868180</v>
      </c>
      <c r="M26" s="87">
        <f t="shared" si="3"/>
        <v>0.99707217941247361</v>
      </c>
      <c r="N26" s="87">
        <f t="shared" si="4"/>
        <v>0.99699411341301269</v>
      </c>
      <c r="O26" s="87">
        <f t="shared" si="5"/>
        <v>0.99790804597701155</v>
      </c>
      <c r="P26" s="87">
        <f t="shared" si="6"/>
        <v>0.99790804597701155</v>
      </c>
    </row>
    <row r="27" spans="1:16" s="40" customFormat="1" ht="54" x14ac:dyDescent="0.3">
      <c r="A27" s="19" t="s">
        <v>235</v>
      </c>
      <c r="B27" s="23">
        <v>2111</v>
      </c>
      <c r="C27" s="19" t="s">
        <v>236</v>
      </c>
      <c r="D27" s="20" t="s">
        <v>237</v>
      </c>
      <c r="E27" s="59">
        <f t="shared" si="7"/>
        <v>13919610</v>
      </c>
      <c r="F27" s="60">
        <v>11599110</v>
      </c>
      <c r="G27" s="60">
        <v>2320500</v>
      </c>
      <c r="H27" s="60">
        <v>2320500</v>
      </c>
      <c r="I27" s="59">
        <f t="shared" si="9"/>
        <v>12366977.35</v>
      </c>
      <c r="J27" s="61">
        <v>11485292.83</v>
      </c>
      <c r="K27" s="61">
        <v>881684.52</v>
      </c>
      <c r="L27" s="61">
        <v>881684.52</v>
      </c>
      <c r="M27" s="87">
        <f t="shared" si="3"/>
        <v>0.88845717300987592</v>
      </c>
      <c r="N27" s="87">
        <f t="shared" si="4"/>
        <v>0.9901874221384227</v>
      </c>
      <c r="O27" s="87">
        <f t="shared" si="5"/>
        <v>0.37995454427925018</v>
      </c>
      <c r="P27" s="87">
        <f t="shared" si="6"/>
        <v>0.37995454427925018</v>
      </c>
    </row>
    <row r="28" spans="1:16" s="40" customFormat="1" ht="36" x14ac:dyDescent="0.3">
      <c r="A28" s="19" t="s">
        <v>238</v>
      </c>
      <c r="B28" s="19" t="s">
        <v>186</v>
      </c>
      <c r="C28" s="19" t="s">
        <v>128</v>
      </c>
      <c r="D28" s="20" t="s">
        <v>239</v>
      </c>
      <c r="E28" s="59">
        <f t="shared" si="7"/>
        <v>1479600</v>
      </c>
      <c r="F28" s="60">
        <f>229600+1250000</f>
        <v>1479600</v>
      </c>
      <c r="G28" s="60"/>
      <c r="H28" s="60"/>
      <c r="I28" s="59">
        <f t="shared" si="9"/>
        <v>1463650.26</v>
      </c>
      <c r="J28" s="61">
        <f>213687.47+1249962.79</f>
        <v>1463650.26</v>
      </c>
      <c r="K28" s="61"/>
      <c r="L28" s="61"/>
      <c r="M28" s="87">
        <f t="shared" si="3"/>
        <v>0.98922023519870239</v>
      </c>
      <c r="N28" s="87">
        <f t="shared" si="4"/>
        <v>0.98922023519870239</v>
      </c>
      <c r="O28" s="87" t="str">
        <f t="shared" si="5"/>
        <v/>
      </c>
      <c r="P28" s="87" t="str">
        <f t="shared" si="6"/>
        <v/>
      </c>
    </row>
    <row r="29" spans="1:16" s="39" customFormat="1" ht="36" x14ac:dyDescent="0.3">
      <c r="A29" s="19" t="s">
        <v>148</v>
      </c>
      <c r="B29" s="19" t="s">
        <v>146</v>
      </c>
      <c r="C29" s="19" t="s">
        <v>3</v>
      </c>
      <c r="D29" s="20" t="s">
        <v>147</v>
      </c>
      <c r="E29" s="59">
        <f t="shared" si="7"/>
        <v>4099900</v>
      </c>
      <c r="F29" s="60">
        <v>4099900</v>
      </c>
      <c r="G29" s="60"/>
      <c r="H29" s="60"/>
      <c r="I29" s="59">
        <f t="shared" si="9"/>
        <v>3694000</v>
      </c>
      <c r="J29" s="61">
        <v>3694000</v>
      </c>
      <c r="K29" s="61"/>
      <c r="L29" s="61"/>
      <c r="M29" s="87">
        <f t="shared" si="3"/>
        <v>0.90099758530695873</v>
      </c>
      <c r="N29" s="87">
        <f t="shared" si="4"/>
        <v>0.90099758530695873</v>
      </c>
      <c r="O29" s="87" t="str">
        <f t="shared" si="5"/>
        <v/>
      </c>
      <c r="P29" s="87" t="str">
        <f t="shared" si="6"/>
        <v/>
      </c>
    </row>
    <row r="30" spans="1:16" s="39" customFormat="1" ht="18" x14ac:dyDescent="0.3">
      <c r="A30" s="19" t="s">
        <v>66</v>
      </c>
      <c r="B30" s="19" t="s">
        <v>40</v>
      </c>
      <c r="C30" s="19" t="s">
        <v>8</v>
      </c>
      <c r="D30" s="20" t="s">
        <v>240</v>
      </c>
      <c r="E30" s="59">
        <f t="shared" si="7"/>
        <v>11024800</v>
      </c>
      <c r="F30" s="60">
        <f>F31+F32+F33</f>
        <v>11024800</v>
      </c>
      <c r="G30" s="60">
        <f>G32+G33</f>
        <v>0</v>
      </c>
      <c r="H30" s="60"/>
      <c r="I30" s="59">
        <f t="shared" si="9"/>
        <v>10832543.399999999</v>
      </c>
      <c r="J30" s="60">
        <f>J31+J32+J33</f>
        <v>10832543.399999999</v>
      </c>
      <c r="K30" s="60">
        <f>K32+K33</f>
        <v>0</v>
      </c>
      <c r="L30" s="60">
        <f>L32+L33</f>
        <v>0</v>
      </c>
      <c r="M30" s="87">
        <f t="shared" si="3"/>
        <v>0.9825614432914882</v>
      </c>
      <c r="N30" s="87">
        <f t="shared" si="4"/>
        <v>0.9825614432914882</v>
      </c>
      <c r="O30" s="87" t="str">
        <f t="shared" si="5"/>
        <v/>
      </c>
      <c r="P30" s="87" t="str">
        <f t="shared" si="6"/>
        <v/>
      </c>
    </row>
    <row r="31" spans="1:16" s="39" customFormat="1" ht="54" x14ac:dyDescent="0.3">
      <c r="A31" s="21"/>
      <c r="B31" s="21"/>
      <c r="C31" s="21"/>
      <c r="D31" s="22" t="s">
        <v>212</v>
      </c>
      <c r="E31" s="62">
        <f t="shared" si="7"/>
        <v>7562300</v>
      </c>
      <c r="F31" s="63">
        <v>7562300</v>
      </c>
      <c r="G31" s="63"/>
      <c r="H31" s="63"/>
      <c r="I31" s="62">
        <f t="shared" si="9"/>
        <v>7502109.3099999996</v>
      </c>
      <c r="J31" s="62">
        <v>7502109.3099999996</v>
      </c>
      <c r="K31" s="64"/>
      <c r="L31" s="64"/>
      <c r="M31" s="89">
        <f t="shared" si="3"/>
        <v>0.99204069000171902</v>
      </c>
      <c r="N31" s="89">
        <f t="shared" si="4"/>
        <v>0.99204069000171902</v>
      </c>
      <c r="O31" s="89" t="str">
        <f t="shared" si="5"/>
        <v/>
      </c>
      <c r="P31" s="89" t="str">
        <f t="shared" si="6"/>
        <v/>
      </c>
    </row>
    <row r="32" spans="1:16" s="39" customFormat="1" ht="54" x14ac:dyDescent="0.3">
      <c r="A32" s="21"/>
      <c r="B32" s="21"/>
      <c r="C32" s="21"/>
      <c r="D32" s="22" t="s">
        <v>214</v>
      </c>
      <c r="E32" s="62">
        <f t="shared" si="7"/>
        <v>817700</v>
      </c>
      <c r="F32" s="63">
        <v>817700</v>
      </c>
      <c r="G32" s="63"/>
      <c r="H32" s="63"/>
      <c r="I32" s="62">
        <f t="shared" si="9"/>
        <v>805766.75</v>
      </c>
      <c r="J32" s="62">
        <v>805766.75</v>
      </c>
      <c r="K32" s="64"/>
      <c r="L32" s="64"/>
      <c r="M32" s="89">
        <f t="shared" si="3"/>
        <v>0.98540632261220495</v>
      </c>
      <c r="N32" s="89">
        <f t="shared" si="4"/>
        <v>0.98540632261220495</v>
      </c>
      <c r="O32" s="89" t="str">
        <f t="shared" si="5"/>
        <v/>
      </c>
      <c r="P32" s="89" t="str">
        <f t="shared" si="6"/>
        <v/>
      </c>
    </row>
    <row r="33" spans="1:17" s="39" customFormat="1" ht="54" x14ac:dyDescent="0.3">
      <c r="A33" s="21"/>
      <c r="B33" s="21"/>
      <c r="C33" s="21"/>
      <c r="D33" s="22" t="s">
        <v>213</v>
      </c>
      <c r="E33" s="62">
        <f t="shared" si="7"/>
        <v>2644800</v>
      </c>
      <c r="F33" s="63">
        <v>2644800</v>
      </c>
      <c r="G33" s="63"/>
      <c r="H33" s="63"/>
      <c r="I33" s="62">
        <f t="shared" si="9"/>
        <v>2524667.34</v>
      </c>
      <c r="J33" s="62">
        <v>2524667.34</v>
      </c>
      <c r="K33" s="64"/>
      <c r="L33" s="64"/>
      <c r="M33" s="89">
        <f t="shared" si="3"/>
        <v>0.95457779038112522</v>
      </c>
      <c r="N33" s="89">
        <f t="shared" si="4"/>
        <v>0.95457779038112522</v>
      </c>
      <c r="O33" s="89" t="str">
        <f t="shared" si="5"/>
        <v/>
      </c>
      <c r="P33" s="89" t="str">
        <f t="shared" si="6"/>
        <v/>
      </c>
    </row>
    <row r="34" spans="1:17" s="39" customFormat="1" ht="18" x14ac:dyDescent="0.3">
      <c r="A34" s="24" t="s">
        <v>341</v>
      </c>
      <c r="B34" s="23">
        <v>7130</v>
      </c>
      <c r="C34" s="24" t="s">
        <v>296</v>
      </c>
      <c r="D34" s="80" t="s">
        <v>297</v>
      </c>
      <c r="E34" s="62">
        <f t="shared" ref="E34:E35" si="11">F34+G34</f>
        <v>3000</v>
      </c>
      <c r="F34" s="63">
        <v>3000</v>
      </c>
      <c r="G34" s="63"/>
      <c r="H34" s="63"/>
      <c r="I34" s="59">
        <f t="shared" si="9"/>
        <v>3000</v>
      </c>
      <c r="J34" s="62">
        <v>3000</v>
      </c>
      <c r="K34" s="64"/>
      <c r="L34" s="64"/>
      <c r="M34" s="87">
        <f t="shared" si="3"/>
        <v>1</v>
      </c>
      <c r="N34" s="87">
        <f t="shared" si="4"/>
        <v>1</v>
      </c>
      <c r="O34" s="87" t="str">
        <f t="shared" si="5"/>
        <v/>
      </c>
      <c r="P34" s="87" t="str">
        <f t="shared" si="6"/>
        <v/>
      </c>
    </row>
    <row r="35" spans="1:17" s="39" customFormat="1" ht="36" x14ac:dyDescent="0.3">
      <c r="A35" s="25" t="s">
        <v>318</v>
      </c>
      <c r="B35" s="25" t="s">
        <v>319</v>
      </c>
      <c r="C35" s="25" t="s">
        <v>125</v>
      </c>
      <c r="D35" s="20" t="s">
        <v>311</v>
      </c>
      <c r="E35" s="62">
        <f t="shared" si="11"/>
        <v>660000</v>
      </c>
      <c r="F35" s="60"/>
      <c r="G35" s="60">
        <v>660000</v>
      </c>
      <c r="H35" s="60">
        <v>660000</v>
      </c>
      <c r="I35" s="59">
        <f t="shared" si="9"/>
        <v>259999</v>
      </c>
      <c r="J35" s="62">
        <v>0</v>
      </c>
      <c r="K35" s="64">
        <v>259999</v>
      </c>
      <c r="L35" s="64">
        <v>259999</v>
      </c>
      <c r="M35" s="87">
        <f t="shared" si="3"/>
        <v>0.39393787878787878</v>
      </c>
      <c r="N35" s="87" t="str">
        <f t="shared" si="4"/>
        <v/>
      </c>
      <c r="O35" s="87">
        <f t="shared" si="5"/>
        <v>0.39393787878787878</v>
      </c>
      <c r="P35" s="87">
        <f t="shared" si="6"/>
        <v>0.39393787878787878</v>
      </c>
    </row>
    <row r="36" spans="1:17" s="39" customFormat="1" ht="36" x14ac:dyDescent="0.3">
      <c r="A36" s="24" t="s">
        <v>374</v>
      </c>
      <c r="B36" s="23">
        <v>7520</v>
      </c>
      <c r="C36" s="24" t="s">
        <v>367</v>
      </c>
      <c r="D36" s="80" t="s">
        <v>368</v>
      </c>
      <c r="E36" s="62">
        <f t="shared" ref="E36:E42" si="12">F36+G36</f>
        <v>2016551</v>
      </c>
      <c r="F36" s="60">
        <f>221454+108000+40300+763000</f>
        <v>1132754</v>
      </c>
      <c r="G36" s="60">
        <f>SUM(G37:G42)</f>
        <v>883797</v>
      </c>
      <c r="H36" s="60">
        <f>G36</f>
        <v>883797</v>
      </c>
      <c r="I36" s="59">
        <f t="shared" ref="I36:I42" si="13">J36+K36</f>
        <v>1419494.96</v>
      </c>
      <c r="J36" s="62">
        <f>220800+107667.96+40300+753450</f>
        <v>1122217.96</v>
      </c>
      <c r="K36" s="60">
        <f>SUM(K37:K42)</f>
        <v>297277</v>
      </c>
      <c r="L36" s="60">
        <f>SUM(L37:L42)</f>
        <v>297277</v>
      </c>
      <c r="M36" s="87">
        <f t="shared" ref="M36" si="14">IFERROR((I36/E36),"")</f>
        <v>0.70392217206507546</v>
      </c>
      <c r="N36" s="87">
        <f t="shared" ref="N36" si="15">IFERROR((J36/F36),"")</f>
        <v>0.99069873953214904</v>
      </c>
      <c r="O36" s="87">
        <f t="shared" ref="O36:O38" si="16">IFERROR((K36/G36),"")</f>
        <v>0.33636344092591397</v>
      </c>
      <c r="P36" s="87">
        <f t="shared" ref="P36:P38" si="17">IFERROR((L36/H36),"")</f>
        <v>0.33636344092591397</v>
      </c>
    </row>
    <row r="37" spans="1:17" s="39" customFormat="1" ht="54" x14ac:dyDescent="0.3">
      <c r="A37" s="119"/>
      <c r="B37" s="31"/>
      <c r="C37" s="119"/>
      <c r="D37" s="22" t="s">
        <v>212</v>
      </c>
      <c r="E37" s="62">
        <f t="shared" si="12"/>
        <v>58200</v>
      </c>
      <c r="F37" s="63"/>
      <c r="G37" s="63">
        <v>58200</v>
      </c>
      <c r="H37" s="63">
        <v>58200</v>
      </c>
      <c r="I37" s="62">
        <f t="shared" si="13"/>
        <v>58100</v>
      </c>
      <c r="J37" s="62"/>
      <c r="K37" s="64">
        <v>58100</v>
      </c>
      <c r="L37" s="64">
        <v>58100</v>
      </c>
      <c r="M37" s="89">
        <f t="shared" si="3"/>
        <v>0.99828178694158076</v>
      </c>
      <c r="N37" s="89" t="str">
        <f t="shared" ref="N37:N42" si="18">IFERROR((J37/F37),"")</f>
        <v/>
      </c>
      <c r="O37" s="89">
        <f t="shared" si="16"/>
        <v>0.99828178694158076</v>
      </c>
      <c r="P37" s="89">
        <f t="shared" si="17"/>
        <v>0.99828178694158076</v>
      </c>
    </row>
    <row r="38" spans="1:17" s="39" customFormat="1" ht="54" x14ac:dyDescent="0.3">
      <c r="A38" s="119"/>
      <c r="B38" s="31"/>
      <c r="C38" s="119"/>
      <c r="D38" s="22" t="s">
        <v>213</v>
      </c>
      <c r="E38" s="62">
        <f t="shared" si="12"/>
        <v>60000</v>
      </c>
      <c r="F38" s="63"/>
      <c r="G38" s="63">
        <v>60000</v>
      </c>
      <c r="H38" s="63">
        <v>60000</v>
      </c>
      <c r="I38" s="62">
        <f t="shared" si="13"/>
        <v>59180</v>
      </c>
      <c r="J38" s="62"/>
      <c r="K38" s="64">
        <v>59180</v>
      </c>
      <c r="L38" s="64">
        <v>59180</v>
      </c>
      <c r="M38" s="89">
        <f t="shared" si="3"/>
        <v>0.98633333333333328</v>
      </c>
      <c r="N38" s="89" t="str">
        <f t="shared" si="18"/>
        <v/>
      </c>
      <c r="O38" s="89">
        <f t="shared" si="16"/>
        <v>0.98633333333333328</v>
      </c>
      <c r="P38" s="89">
        <f t="shared" si="17"/>
        <v>0.98633333333333328</v>
      </c>
    </row>
    <row r="39" spans="1:17" s="39" customFormat="1" ht="54" x14ac:dyDescent="0.3">
      <c r="A39" s="119"/>
      <c r="B39" s="31"/>
      <c r="C39" s="119"/>
      <c r="D39" s="22" t="s">
        <v>383</v>
      </c>
      <c r="E39" s="62">
        <f t="shared" si="12"/>
        <v>911454</v>
      </c>
      <c r="F39" s="63">
        <v>221454</v>
      </c>
      <c r="G39" s="63">
        <v>690000</v>
      </c>
      <c r="H39" s="63">
        <v>690000</v>
      </c>
      <c r="I39" s="62">
        <f t="shared" si="13"/>
        <v>325200</v>
      </c>
      <c r="J39" s="62">
        <v>220800</v>
      </c>
      <c r="K39" s="64">
        <v>104400</v>
      </c>
      <c r="L39" s="64">
        <v>104400</v>
      </c>
      <c r="M39" s="89">
        <f t="shared" si="3"/>
        <v>0.35679255343659694</v>
      </c>
      <c r="N39" s="89">
        <f t="shared" si="18"/>
        <v>0.99704679075564229</v>
      </c>
      <c r="O39" s="89">
        <f t="shared" ref="O39:O42" si="19">IFERROR((K39/G39),"")</f>
        <v>0.15130434782608695</v>
      </c>
      <c r="P39" s="89">
        <f t="shared" ref="P39:P42" si="20">IFERROR((L39/H39),"")</f>
        <v>0.15130434782608695</v>
      </c>
    </row>
    <row r="40" spans="1:17" s="39" customFormat="1" ht="72" x14ac:dyDescent="0.3">
      <c r="A40" s="119"/>
      <c r="B40" s="31"/>
      <c r="C40" s="119"/>
      <c r="D40" s="22" t="s">
        <v>384</v>
      </c>
      <c r="E40" s="62">
        <f t="shared" si="12"/>
        <v>763000</v>
      </c>
      <c r="F40" s="63">
        <v>763000</v>
      </c>
      <c r="G40" s="63"/>
      <c r="H40" s="63"/>
      <c r="I40" s="62">
        <f t="shared" si="13"/>
        <v>753450</v>
      </c>
      <c r="J40" s="62">
        <v>753450</v>
      </c>
      <c r="K40" s="64"/>
      <c r="L40" s="64"/>
      <c r="M40" s="89">
        <f t="shared" si="3"/>
        <v>0.98748361730013101</v>
      </c>
      <c r="N40" s="89">
        <f t="shared" si="18"/>
        <v>0.98748361730013101</v>
      </c>
      <c r="O40" s="89" t="str">
        <f t="shared" si="19"/>
        <v/>
      </c>
      <c r="P40" s="89" t="str">
        <f t="shared" si="20"/>
        <v/>
      </c>
    </row>
    <row r="41" spans="1:17" s="39" customFormat="1" ht="54" x14ac:dyDescent="0.3">
      <c r="A41" s="119"/>
      <c r="B41" s="31"/>
      <c r="C41" s="119"/>
      <c r="D41" s="22" t="s">
        <v>385</v>
      </c>
      <c r="E41" s="62">
        <f t="shared" si="12"/>
        <v>108000</v>
      </c>
      <c r="F41" s="63">
        <v>108000</v>
      </c>
      <c r="G41" s="63"/>
      <c r="H41" s="63"/>
      <c r="I41" s="62">
        <f t="shared" si="13"/>
        <v>107667.96</v>
      </c>
      <c r="J41" s="62">
        <v>107667.96</v>
      </c>
      <c r="K41" s="64"/>
      <c r="L41" s="64"/>
      <c r="M41" s="89">
        <f t="shared" si="3"/>
        <v>0.99692555555555562</v>
      </c>
      <c r="N41" s="89">
        <f t="shared" si="18"/>
        <v>0.99692555555555562</v>
      </c>
      <c r="O41" s="89" t="str">
        <f t="shared" si="19"/>
        <v/>
      </c>
      <c r="P41" s="89" t="str">
        <f t="shared" si="20"/>
        <v/>
      </c>
    </row>
    <row r="42" spans="1:17" s="39" customFormat="1" ht="54" x14ac:dyDescent="0.3">
      <c r="A42" s="119"/>
      <c r="B42" s="31"/>
      <c r="C42" s="119"/>
      <c r="D42" s="22" t="s">
        <v>386</v>
      </c>
      <c r="E42" s="62">
        <f t="shared" si="12"/>
        <v>115897</v>
      </c>
      <c r="F42" s="63">
        <v>40300</v>
      </c>
      <c r="G42" s="63">
        <v>75597</v>
      </c>
      <c r="H42" s="63">
        <v>75597</v>
      </c>
      <c r="I42" s="62">
        <f t="shared" si="13"/>
        <v>115897</v>
      </c>
      <c r="J42" s="62">
        <v>40300</v>
      </c>
      <c r="K42" s="64">
        <v>75597</v>
      </c>
      <c r="L42" s="64">
        <v>75597</v>
      </c>
      <c r="M42" s="89">
        <f t="shared" si="3"/>
        <v>1</v>
      </c>
      <c r="N42" s="89">
        <f t="shared" si="18"/>
        <v>1</v>
      </c>
      <c r="O42" s="89">
        <f t="shared" si="19"/>
        <v>1</v>
      </c>
      <c r="P42" s="89">
        <f t="shared" si="20"/>
        <v>1</v>
      </c>
    </row>
    <row r="43" spans="1:17" s="39" customFormat="1" ht="18" x14ac:dyDescent="0.3">
      <c r="A43" s="24" t="s">
        <v>336</v>
      </c>
      <c r="B43" s="23">
        <v>7640</v>
      </c>
      <c r="C43" s="24" t="s">
        <v>6</v>
      </c>
      <c r="D43" s="80" t="s">
        <v>7</v>
      </c>
      <c r="E43" s="59">
        <f t="shared" ref="E43" si="21">F43+G43</f>
        <v>1680000</v>
      </c>
      <c r="F43" s="60"/>
      <c r="G43" s="60">
        <v>1680000</v>
      </c>
      <c r="H43" s="60">
        <v>1680000</v>
      </c>
      <c r="I43" s="59">
        <f t="shared" si="9"/>
        <v>180000</v>
      </c>
      <c r="J43" s="62">
        <v>0</v>
      </c>
      <c r="K43" s="64">
        <v>180000</v>
      </c>
      <c r="L43" s="64">
        <v>180000</v>
      </c>
      <c r="M43" s="87">
        <f t="shared" si="3"/>
        <v>0.10714285714285714</v>
      </c>
      <c r="N43" s="87" t="str">
        <f t="shared" si="4"/>
        <v/>
      </c>
      <c r="O43" s="87">
        <f t="shared" si="5"/>
        <v>0.10714285714285714</v>
      </c>
      <c r="P43" s="87">
        <f t="shared" si="6"/>
        <v>0.10714285714285714</v>
      </c>
    </row>
    <row r="44" spans="1:17" s="40" customFormat="1" ht="36" x14ac:dyDescent="0.3">
      <c r="A44" s="19" t="s">
        <v>113</v>
      </c>
      <c r="B44" s="19" t="s">
        <v>112</v>
      </c>
      <c r="C44" s="19" t="s">
        <v>22</v>
      </c>
      <c r="D44" s="20" t="s">
        <v>114</v>
      </c>
      <c r="E44" s="59">
        <f t="shared" si="7"/>
        <v>122000</v>
      </c>
      <c r="F44" s="60">
        <v>122000</v>
      </c>
      <c r="G44" s="60"/>
      <c r="H44" s="60"/>
      <c r="I44" s="59">
        <f t="shared" si="9"/>
        <v>113295</v>
      </c>
      <c r="J44" s="61">
        <v>113295</v>
      </c>
      <c r="K44" s="61"/>
      <c r="L44" s="61"/>
      <c r="M44" s="87">
        <f t="shared" si="3"/>
        <v>0.92864754098360658</v>
      </c>
      <c r="N44" s="87">
        <f t="shared" si="4"/>
        <v>0.92864754098360658</v>
      </c>
      <c r="O44" s="87" t="str">
        <f t="shared" si="5"/>
        <v/>
      </c>
      <c r="P44" s="87" t="str">
        <f t="shared" si="6"/>
        <v/>
      </c>
    </row>
    <row r="45" spans="1:17" s="40" customFormat="1" ht="54" x14ac:dyDescent="0.3">
      <c r="A45" s="24" t="s">
        <v>342</v>
      </c>
      <c r="B45" s="23">
        <v>8110</v>
      </c>
      <c r="C45" s="24" t="s">
        <v>4</v>
      </c>
      <c r="D45" s="80" t="s">
        <v>137</v>
      </c>
      <c r="E45" s="59">
        <f t="shared" si="7"/>
        <v>198500</v>
      </c>
      <c r="F45" s="60">
        <f>58500+20000</f>
        <v>78500</v>
      </c>
      <c r="G45" s="60">
        <v>120000</v>
      </c>
      <c r="H45" s="60">
        <v>120000</v>
      </c>
      <c r="I45" s="59">
        <f t="shared" si="9"/>
        <v>167259.1</v>
      </c>
      <c r="J45" s="61">
        <f>58442.1+16817</f>
        <v>75259.100000000006</v>
      </c>
      <c r="K45" s="61">
        <v>92000</v>
      </c>
      <c r="L45" s="61">
        <v>92000</v>
      </c>
      <c r="M45" s="87">
        <f t="shared" si="3"/>
        <v>0.84261511335012595</v>
      </c>
      <c r="N45" s="87">
        <f t="shared" si="4"/>
        <v>0.95871464968152875</v>
      </c>
      <c r="O45" s="87">
        <f t="shared" si="5"/>
        <v>0.76666666666666672</v>
      </c>
      <c r="P45" s="87">
        <f t="shared" si="6"/>
        <v>0.76666666666666672</v>
      </c>
    </row>
    <row r="46" spans="1:17" s="40" customFormat="1" ht="36" x14ac:dyDescent="0.3">
      <c r="A46" s="19" t="s">
        <v>182</v>
      </c>
      <c r="B46" s="19" t="s">
        <v>183</v>
      </c>
      <c r="C46" s="19" t="s">
        <v>160</v>
      </c>
      <c r="D46" s="20" t="s">
        <v>184</v>
      </c>
      <c r="E46" s="59">
        <f t="shared" si="7"/>
        <v>21099873</v>
      </c>
      <c r="F46" s="60">
        <v>21063923</v>
      </c>
      <c r="G46" s="60">
        <v>35950</v>
      </c>
      <c r="H46" s="60">
        <v>35950</v>
      </c>
      <c r="I46" s="59">
        <f t="shared" si="9"/>
        <v>20709305.449999999</v>
      </c>
      <c r="J46" s="65">
        <v>20673355.449999999</v>
      </c>
      <c r="K46" s="65">
        <v>35950</v>
      </c>
      <c r="L46" s="65">
        <v>35950</v>
      </c>
      <c r="M46" s="87">
        <f t="shared" si="3"/>
        <v>0.98148957816002014</v>
      </c>
      <c r="N46" s="87">
        <f t="shared" si="4"/>
        <v>0.98145798624501235</v>
      </c>
      <c r="O46" s="87">
        <f t="shared" si="5"/>
        <v>1</v>
      </c>
      <c r="P46" s="87">
        <f t="shared" si="6"/>
        <v>1</v>
      </c>
      <c r="Q46" s="42"/>
    </row>
    <row r="47" spans="1:17" s="40" customFormat="1" ht="36" x14ac:dyDescent="0.3">
      <c r="A47" s="19" t="s">
        <v>241</v>
      </c>
      <c r="B47" s="23">
        <v>8220</v>
      </c>
      <c r="C47" s="19" t="s">
        <v>160</v>
      </c>
      <c r="D47" s="20" t="s">
        <v>242</v>
      </c>
      <c r="E47" s="59">
        <f t="shared" si="7"/>
        <v>556030</v>
      </c>
      <c r="F47" s="60">
        <v>556030</v>
      </c>
      <c r="G47" s="60"/>
      <c r="H47" s="60"/>
      <c r="I47" s="59">
        <f t="shared" si="9"/>
        <v>256019.92</v>
      </c>
      <c r="J47" s="61">
        <v>256019.92</v>
      </c>
      <c r="K47" s="65"/>
      <c r="L47" s="65"/>
      <c r="M47" s="87">
        <f t="shared" si="3"/>
        <v>0.46044263798715901</v>
      </c>
      <c r="N47" s="87">
        <f t="shared" si="4"/>
        <v>0.46044263798715901</v>
      </c>
      <c r="O47" s="87" t="str">
        <f t="shared" si="5"/>
        <v/>
      </c>
      <c r="P47" s="87" t="str">
        <f t="shared" si="6"/>
        <v/>
      </c>
      <c r="Q47" s="42"/>
    </row>
    <row r="48" spans="1:17" s="40" customFormat="1" ht="18" x14ac:dyDescent="0.3">
      <c r="A48" s="19" t="s">
        <v>243</v>
      </c>
      <c r="B48" s="19" t="s">
        <v>244</v>
      </c>
      <c r="C48" s="19" t="s">
        <v>160</v>
      </c>
      <c r="D48" s="20" t="s">
        <v>245</v>
      </c>
      <c r="E48" s="59">
        <f t="shared" si="7"/>
        <v>2987500</v>
      </c>
      <c r="F48" s="60">
        <v>2796700</v>
      </c>
      <c r="G48" s="60">
        <v>190800</v>
      </c>
      <c r="H48" s="60">
        <v>190800</v>
      </c>
      <c r="I48" s="59">
        <f t="shared" si="9"/>
        <v>2982428.4</v>
      </c>
      <c r="J48" s="61">
        <v>2791632.4</v>
      </c>
      <c r="K48" s="65">
        <v>190796</v>
      </c>
      <c r="L48" s="65">
        <v>190796</v>
      </c>
      <c r="M48" s="87">
        <f t="shared" si="3"/>
        <v>0.99830239330543935</v>
      </c>
      <c r="N48" s="87">
        <f t="shared" si="4"/>
        <v>0.99818800729431112</v>
      </c>
      <c r="O48" s="87">
        <f t="shared" si="5"/>
        <v>0.99997903563941304</v>
      </c>
      <c r="P48" s="87">
        <f t="shared" si="6"/>
        <v>0.99997903563941304</v>
      </c>
      <c r="Q48" s="42"/>
    </row>
    <row r="49" spans="1:18" s="40" customFormat="1" ht="18" x14ac:dyDescent="0.3">
      <c r="A49" s="25" t="s">
        <v>320</v>
      </c>
      <c r="B49" s="25" t="s">
        <v>246</v>
      </c>
      <c r="C49" s="25" t="s">
        <v>160</v>
      </c>
      <c r="D49" s="20" t="s">
        <v>247</v>
      </c>
      <c r="E49" s="59">
        <f t="shared" ref="E49" si="22">F49+G49</f>
        <v>2270042</v>
      </c>
      <c r="F49" s="60">
        <f>216765.36+640000+46406.36+90370.28</f>
        <v>993542</v>
      </c>
      <c r="G49" s="60">
        <v>1276500</v>
      </c>
      <c r="H49" s="60">
        <v>1276500</v>
      </c>
      <c r="I49" s="59">
        <f t="shared" si="9"/>
        <v>2270041.4900000002</v>
      </c>
      <c r="J49" s="61">
        <f>216764.85+640000+46406.36+90370.28</f>
        <v>993541.49</v>
      </c>
      <c r="K49" s="65">
        <v>1276500</v>
      </c>
      <c r="L49" s="65">
        <v>1276500</v>
      </c>
      <c r="M49" s="87">
        <f t="shared" si="3"/>
        <v>0.99999977533455342</v>
      </c>
      <c r="N49" s="87">
        <f t="shared" si="4"/>
        <v>0.99999948668501182</v>
      </c>
      <c r="O49" s="87">
        <f t="shared" si="5"/>
        <v>1</v>
      </c>
      <c r="P49" s="87">
        <f t="shared" si="6"/>
        <v>1</v>
      </c>
      <c r="Q49" s="42"/>
    </row>
    <row r="50" spans="1:18" s="40" customFormat="1" ht="36" x14ac:dyDescent="0.3">
      <c r="A50" s="19" t="s">
        <v>127</v>
      </c>
      <c r="B50" s="19" t="s">
        <v>126</v>
      </c>
      <c r="C50" s="19" t="s">
        <v>42</v>
      </c>
      <c r="D50" s="20" t="s">
        <v>135</v>
      </c>
      <c r="E50" s="59">
        <f t="shared" si="7"/>
        <v>109900</v>
      </c>
      <c r="F50" s="60"/>
      <c r="G50" s="60">
        <v>109900</v>
      </c>
      <c r="H50" s="60"/>
      <c r="I50" s="59">
        <f t="shared" si="9"/>
        <v>50000</v>
      </c>
      <c r="J50" s="61"/>
      <c r="K50" s="65">
        <v>50000</v>
      </c>
      <c r="L50" s="65"/>
      <c r="M50" s="87">
        <f t="shared" si="3"/>
        <v>0.45495905368516831</v>
      </c>
      <c r="N50" s="87" t="str">
        <f t="shared" si="4"/>
        <v/>
      </c>
      <c r="O50" s="87">
        <f t="shared" si="5"/>
        <v>0.45495905368516831</v>
      </c>
      <c r="P50" s="87" t="str">
        <f t="shared" si="6"/>
        <v/>
      </c>
      <c r="R50" s="43"/>
    </row>
    <row r="51" spans="1:18" s="40" customFormat="1" ht="72" x14ac:dyDescent="0.3">
      <c r="A51" s="24" t="s">
        <v>387</v>
      </c>
      <c r="B51" s="23">
        <v>8721</v>
      </c>
      <c r="C51" s="24" t="s">
        <v>128</v>
      </c>
      <c r="D51" s="80" t="s">
        <v>388</v>
      </c>
      <c r="E51" s="59">
        <f t="shared" ref="E51" si="23">F51+G51</f>
        <v>134600</v>
      </c>
      <c r="F51" s="60">
        <v>134600</v>
      </c>
      <c r="G51" s="60"/>
      <c r="H51" s="60"/>
      <c r="I51" s="59">
        <f t="shared" ref="I51" si="24">J51+K51</f>
        <v>133394.5</v>
      </c>
      <c r="J51" s="61">
        <v>133394.5</v>
      </c>
      <c r="K51" s="65"/>
      <c r="L51" s="65"/>
      <c r="M51" s="87">
        <f t="shared" ref="M51" si="25">IFERROR((I51/E51),"")</f>
        <v>0.99104383358098069</v>
      </c>
      <c r="N51" s="87">
        <f t="shared" ref="N51" si="26">IFERROR((J51/F51),"")</f>
        <v>0.99104383358098069</v>
      </c>
      <c r="O51" s="87" t="str">
        <f t="shared" ref="O51" si="27">IFERROR((K51/G51),"")</f>
        <v/>
      </c>
      <c r="P51" s="87" t="str">
        <f t="shared" ref="P51" si="28">IFERROR((L51/H51),"")</f>
        <v/>
      </c>
      <c r="R51" s="43"/>
    </row>
    <row r="52" spans="1:18" s="40" customFormat="1" ht="36" x14ac:dyDescent="0.3">
      <c r="A52" s="24" t="s">
        <v>343</v>
      </c>
      <c r="B52" s="23">
        <v>8775</v>
      </c>
      <c r="C52" s="24" t="s">
        <v>5</v>
      </c>
      <c r="D52" s="80" t="s">
        <v>344</v>
      </c>
      <c r="E52" s="59">
        <f t="shared" si="7"/>
        <v>590000</v>
      </c>
      <c r="F52" s="60">
        <v>590000</v>
      </c>
      <c r="G52" s="60"/>
      <c r="H52" s="60"/>
      <c r="I52" s="59">
        <f t="shared" si="9"/>
        <v>531257.77</v>
      </c>
      <c r="J52" s="61">
        <v>531257.77</v>
      </c>
      <c r="K52" s="65"/>
      <c r="L52" s="65"/>
      <c r="M52" s="87">
        <f t="shared" si="3"/>
        <v>0.90043689830508478</v>
      </c>
      <c r="N52" s="87">
        <f t="shared" si="4"/>
        <v>0.90043689830508478</v>
      </c>
      <c r="O52" s="87" t="str">
        <f t="shared" si="5"/>
        <v/>
      </c>
      <c r="P52" s="87" t="str">
        <f t="shared" si="6"/>
        <v/>
      </c>
      <c r="R52" s="43"/>
    </row>
    <row r="53" spans="1:18" s="44" customFormat="1" ht="34.799999999999997" x14ac:dyDescent="0.3">
      <c r="A53" s="17" t="s">
        <v>54</v>
      </c>
      <c r="B53" s="17" t="s">
        <v>231</v>
      </c>
      <c r="C53" s="116"/>
      <c r="D53" s="18" t="s">
        <v>304</v>
      </c>
      <c r="E53" s="57">
        <f t="shared" si="7"/>
        <v>501929367.99000001</v>
      </c>
      <c r="F53" s="58">
        <f>F54</f>
        <v>448288519.63</v>
      </c>
      <c r="G53" s="58">
        <f t="shared" ref="G53:H53" si="29">G54</f>
        <v>53640848.359999999</v>
      </c>
      <c r="H53" s="58">
        <f t="shared" si="29"/>
        <v>26555829.359999999</v>
      </c>
      <c r="I53" s="57">
        <f t="shared" si="9"/>
        <v>442418685.16000003</v>
      </c>
      <c r="J53" s="66">
        <f>J54</f>
        <v>405384811.26000005</v>
      </c>
      <c r="K53" s="66">
        <f t="shared" ref="K53:L53" si="30">K54</f>
        <v>37033873.899999999</v>
      </c>
      <c r="L53" s="66">
        <f t="shared" si="30"/>
        <v>18365293.210000001</v>
      </c>
      <c r="M53" s="86">
        <f t="shared" si="3"/>
        <v>0.88143614096877143</v>
      </c>
      <c r="N53" s="86">
        <f t="shared" si="4"/>
        <v>0.90429442983413677</v>
      </c>
      <c r="O53" s="86">
        <f t="shared" si="5"/>
        <v>0.69040432864622947</v>
      </c>
      <c r="P53" s="86">
        <f t="shared" si="6"/>
        <v>0.6915729484865164</v>
      </c>
      <c r="R53" s="45"/>
    </row>
    <row r="54" spans="1:18" s="44" customFormat="1" ht="34.799999999999997" x14ac:dyDescent="0.3">
      <c r="A54" s="17" t="s">
        <v>55</v>
      </c>
      <c r="B54" s="17" t="s">
        <v>231</v>
      </c>
      <c r="C54" s="17" t="s">
        <v>231</v>
      </c>
      <c r="D54" s="18" t="s">
        <v>304</v>
      </c>
      <c r="E54" s="58">
        <f>E55+E56+E70+E71+E85++E57+E58+E59+E60+E61+E62+E63+E64+E65+E66+E67+E75+E79+E80+E68+E82+E83+E84+E86+E69+E81</f>
        <v>501929367.99000001</v>
      </c>
      <c r="F54" s="58">
        <f>F55+F56+F57+F58+F59+F60+F61+F62+F63+F64+F65+F66+F68+F82+F83+F84+F86+F67+F75+F79+F71+F85+F81</f>
        <v>448288519.63</v>
      </c>
      <c r="G54" s="58">
        <f>G55+G56+G57+G58+G59+G60+G61+G62+G63+G64+G65+G66+G68+G82+G83+G84+G86+G80+G79+G70+G85+G69+G81</f>
        <v>53640848.359999999</v>
      </c>
      <c r="H54" s="58">
        <f>H55+H56+H57+H58+H59+H60+H61+H62+H63+H64+H65+H66+H68+H82+H83+H84+H86+H80+H79+H70+H85+H69+H81</f>
        <v>26555829.359999999</v>
      </c>
      <c r="I54" s="58">
        <f>I55+I56+I70+I71+I85++I57+I58+I59+I60+I61+I62+I63+I64+I65+I66+I67+I75+I79+I80+I68+I82+I83+I84+I86+I69+I81</f>
        <v>442418685.16000003</v>
      </c>
      <c r="J54" s="58">
        <f>J55+J56+J57+J58+J59+J60+J61+J62+J63+J64+J65+J66+J68+J82+J83+J84+J86+J67+J75+J79+J71+J85+J81</f>
        <v>405384811.26000005</v>
      </c>
      <c r="K54" s="58">
        <f t="shared" ref="K54:L54" si="31">K55+K56+K57+K58+K59+K60+K61+K62+K63+K64+K65+K66+K68+K82+K83+K84+K86+K80+K79+K70+K85+K69+K81</f>
        <v>37033873.899999999</v>
      </c>
      <c r="L54" s="58">
        <f t="shared" si="31"/>
        <v>18365293.210000001</v>
      </c>
      <c r="M54" s="86">
        <f t="shared" si="3"/>
        <v>0.88143614096877143</v>
      </c>
      <c r="N54" s="86">
        <f t="shared" si="4"/>
        <v>0.90429442983413677</v>
      </c>
      <c r="O54" s="86">
        <f t="shared" si="5"/>
        <v>0.69040432864622947</v>
      </c>
      <c r="P54" s="86">
        <f t="shared" si="6"/>
        <v>0.6915729484865164</v>
      </c>
    </row>
    <row r="55" spans="1:18" s="40" customFormat="1" ht="54" x14ac:dyDescent="0.3">
      <c r="A55" s="19" t="s">
        <v>57</v>
      </c>
      <c r="B55" s="19" t="s">
        <v>56</v>
      </c>
      <c r="C55" s="19" t="s">
        <v>2</v>
      </c>
      <c r="D55" s="20" t="s">
        <v>248</v>
      </c>
      <c r="E55" s="59">
        <f t="shared" si="7"/>
        <v>4960433</v>
      </c>
      <c r="F55" s="60">
        <v>4960433</v>
      </c>
      <c r="G55" s="60"/>
      <c r="H55" s="60"/>
      <c r="I55" s="59">
        <f t="shared" si="9"/>
        <v>4861500.38</v>
      </c>
      <c r="J55" s="61">
        <v>4861500.38</v>
      </c>
      <c r="K55" s="65"/>
      <c r="L55" s="65"/>
      <c r="M55" s="87">
        <f t="shared" si="3"/>
        <v>0.98005564836779369</v>
      </c>
      <c r="N55" s="87">
        <f t="shared" si="4"/>
        <v>0.98005564836779369</v>
      </c>
      <c r="O55" s="87" t="str">
        <f t="shared" si="5"/>
        <v/>
      </c>
      <c r="P55" s="87" t="str">
        <f t="shared" si="6"/>
        <v/>
      </c>
    </row>
    <row r="56" spans="1:18" s="40" customFormat="1" ht="36" x14ac:dyDescent="0.3">
      <c r="A56" s="19" t="s">
        <v>249</v>
      </c>
      <c r="B56" s="19" t="s">
        <v>9</v>
      </c>
      <c r="C56" s="19" t="s">
        <v>5</v>
      </c>
      <c r="D56" s="20" t="s">
        <v>102</v>
      </c>
      <c r="E56" s="59">
        <f t="shared" si="7"/>
        <v>54890</v>
      </c>
      <c r="F56" s="60">
        <v>54890</v>
      </c>
      <c r="G56" s="60"/>
      <c r="H56" s="60"/>
      <c r="I56" s="59">
        <f t="shared" si="9"/>
        <v>49900</v>
      </c>
      <c r="J56" s="61">
        <v>49900</v>
      </c>
      <c r="K56" s="65"/>
      <c r="L56" s="65"/>
      <c r="M56" s="87">
        <f t="shared" si="3"/>
        <v>0.90909090909090906</v>
      </c>
      <c r="N56" s="87">
        <f t="shared" si="4"/>
        <v>0.90909090909090906</v>
      </c>
      <c r="O56" s="87" t="str">
        <f t="shared" si="5"/>
        <v/>
      </c>
      <c r="P56" s="87" t="str">
        <f t="shared" si="6"/>
        <v/>
      </c>
    </row>
    <row r="57" spans="1:18" s="40" customFormat="1" ht="18" x14ac:dyDescent="0.3">
      <c r="A57" s="19" t="s">
        <v>58</v>
      </c>
      <c r="B57" s="19" t="s">
        <v>10</v>
      </c>
      <c r="C57" s="19" t="s">
        <v>11</v>
      </c>
      <c r="D57" s="20" t="s">
        <v>59</v>
      </c>
      <c r="E57" s="59">
        <f t="shared" si="7"/>
        <v>117394221</v>
      </c>
      <c r="F57" s="60">
        <v>95748508</v>
      </c>
      <c r="G57" s="60">
        <f>5545713+16100000</f>
        <v>21645713</v>
      </c>
      <c r="H57" s="60">
        <v>5545713</v>
      </c>
      <c r="I57" s="59">
        <f t="shared" si="9"/>
        <v>91536417.150000006</v>
      </c>
      <c r="J57" s="61">
        <v>84351862.620000005</v>
      </c>
      <c r="K57" s="65">
        <f>4471183.46+2284255.22+429115.85</f>
        <v>7184554.5299999993</v>
      </c>
      <c r="L57" s="65">
        <v>4471183.46</v>
      </c>
      <c r="M57" s="87">
        <f t="shared" si="3"/>
        <v>0.77973529165460376</v>
      </c>
      <c r="N57" s="87">
        <f t="shared" si="4"/>
        <v>0.88097312827057317</v>
      </c>
      <c r="O57" s="87">
        <f t="shared" si="5"/>
        <v>0.33191581769563328</v>
      </c>
      <c r="P57" s="87">
        <f t="shared" si="6"/>
        <v>0.80624140845370107</v>
      </c>
    </row>
    <row r="58" spans="1:18" s="40" customFormat="1" ht="54" x14ac:dyDescent="0.3">
      <c r="A58" s="19" t="s">
        <v>188</v>
      </c>
      <c r="B58" s="19" t="s">
        <v>189</v>
      </c>
      <c r="C58" s="19" t="s">
        <v>13</v>
      </c>
      <c r="D58" s="20" t="s">
        <v>305</v>
      </c>
      <c r="E58" s="59">
        <f t="shared" si="7"/>
        <v>96272878</v>
      </c>
      <c r="F58" s="60">
        <v>92469108</v>
      </c>
      <c r="G58" s="60">
        <f>3606770+197000</f>
        <v>3803770</v>
      </c>
      <c r="H58" s="60">
        <v>3606770</v>
      </c>
      <c r="I58" s="59">
        <f t="shared" si="9"/>
        <v>85708924.859999999</v>
      </c>
      <c r="J58" s="61">
        <v>77992334.459999993</v>
      </c>
      <c r="K58" s="65">
        <f>3417980+56579.1+4242031.3</f>
        <v>7716590.4000000004</v>
      </c>
      <c r="L58" s="65">
        <v>3417980</v>
      </c>
      <c r="M58" s="87">
        <f t="shared" si="3"/>
        <v>0.89027072463752455</v>
      </c>
      <c r="N58" s="87">
        <f t="shared" si="4"/>
        <v>0.84344205483197687</v>
      </c>
      <c r="O58" s="87" t="s">
        <v>415</v>
      </c>
      <c r="P58" s="87">
        <f t="shared" si="6"/>
        <v>0.94765676768965035</v>
      </c>
    </row>
    <row r="59" spans="1:18" s="40" customFormat="1" ht="90" x14ac:dyDescent="0.3">
      <c r="A59" s="19" t="s">
        <v>190</v>
      </c>
      <c r="B59" s="19" t="s">
        <v>191</v>
      </c>
      <c r="C59" s="19" t="s">
        <v>15</v>
      </c>
      <c r="D59" s="20" t="s">
        <v>306</v>
      </c>
      <c r="E59" s="59">
        <f t="shared" si="7"/>
        <v>14276050</v>
      </c>
      <c r="F59" s="60">
        <v>14276050</v>
      </c>
      <c r="G59" s="65"/>
      <c r="H59" s="65"/>
      <c r="I59" s="59">
        <f t="shared" si="9"/>
        <v>11582832.379999999</v>
      </c>
      <c r="J59" s="65">
        <v>11009832.85</v>
      </c>
      <c r="K59" s="65">
        <f>3900+569099.53</f>
        <v>572999.53</v>
      </c>
      <c r="L59" s="65"/>
      <c r="M59" s="87">
        <f t="shared" si="3"/>
        <v>0.81134714294220034</v>
      </c>
      <c r="N59" s="87">
        <f t="shared" si="4"/>
        <v>0.77121002308061404</v>
      </c>
      <c r="O59" s="87" t="s">
        <v>382</v>
      </c>
      <c r="P59" s="87" t="str">
        <f t="shared" ref="P59" si="32">IFERROR((L59/H59),"")</f>
        <v/>
      </c>
    </row>
    <row r="60" spans="1:18" s="40" customFormat="1" ht="54" x14ac:dyDescent="0.3">
      <c r="A60" s="19" t="s">
        <v>192</v>
      </c>
      <c r="B60" s="19" t="s">
        <v>193</v>
      </c>
      <c r="C60" s="19" t="s">
        <v>13</v>
      </c>
      <c r="D60" s="20" t="s">
        <v>307</v>
      </c>
      <c r="E60" s="59">
        <f t="shared" si="7"/>
        <v>146822800</v>
      </c>
      <c r="F60" s="60">
        <f>146592900+229900</f>
        <v>146822800</v>
      </c>
      <c r="G60" s="60"/>
      <c r="H60" s="60"/>
      <c r="I60" s="59">
        <f t="shared" si="9"/>
        <v>146821677.94</v>
      </c>
      <c r="J60" s="61">
        <f>146592900+228777.94</f>
        <v>146821677.94</v>
      </c>
      <c r="K60" s="65"/>
      <c r="L60" s="65"/>
      <c r="M60" s="87">
        <f t="shared" si="3"/>
        <v>0.99999235772645667</v>
      </c>
      <c r="N60" s="87">
        <f t="shared" si="4"/>
        <v>0.99999235772645667</v>
      </c>
      <c r="O60" s="87" t="str">
        <f t="shared" si="5"/>
        <v/>
      </c>
      <c r="P60" s="87" t="str">
        <f t="shared" si="6"/>
        <v/>
      </c>
    </row>
    <row r="61" spans="1:18" s="40" customFormat="1" ht="90" x14ac:dyDescent="0.3">
      <c r="A61" s="19" t="s">
        <v>194</v>
      </c>
      <c r="B61" s="19" t="s">
        <v>195</v>
      </c>
      <c r="C61" s="19" t="s">
        <v>15</v>
      </c>
      <c r="D61" s="20" t="s">
        <v>308</v>
      </c>
      <c r="E61" s="59">
        <f t="shared" si="7"/>
        <v>12600000</v>
      </c>
      <c r="F61" s="60">
        <v>12600000</v>
      </c>
      <c r="G61" s="60"/>
      <c r="H61" s="60"/>
      <c r="I61" s="59">
        <f t="shared" si="9"/>
        <v>12600000</v>
      </c>
      <c r="J61" s="61">
        <v>12600000</v>
      </c>
      <c r="K61" s="65"/>
      <c r="L61" s="65"/>
      <c r="M61" s="87">
        <f t="shared" si="3"/>
        <v>1</v>
      </c>
      <c r="N61" s="87">
        <f t="shared" si="4"/>
        <v>1</v>
      </c>
      <c r="O61" s="87" t="str">
        <f t="shared" si="5"/>
        <v/>
      </c>
      <c r="P61" s="87" t="str">
        <f t="shared" si="6"/>
        <v/>
      </c>
    </row>
    <row r="62" spans="1:18" s="40" customFormat="1" ht="54" x14ac:dyDescent="0.3">
      <c r="A62" s="19" t="s">
        <v>60</v>
      </c>
      <c r="B62" s="19" t="s">
        <v>34</v>
      </c>
      <c r="C62" s="19" t="s">
        <v>16</v>
      </c>
      <c r="D62" s="20" t="s">
        <v>196</v>
      </c>
      <c r="E62" s="59">
        <f t="shared" si="7"/>
        <v>23621302</v>
      </c>
      <c r="F62" s="60">
        <v>23421302</v>
      </c>
      <c r="G62" s="60">
        <v>200000</v>
      </c>
      <c r="H62" s="60"/>
      <c r="I62" s="59">
        <f t="shared" si="9"/>
        <v>20585371.41</v>
      </c>
      <c r="J62" s="61">
        <v>20380674.920000002</v>
      </c>
      <c r="K62" s="61">
        <f>146788.49+57908</f>
        <v>204696.49</v>
      </c>
      <c r="L62" s="61"/>
      <c r="M62" s="87">
        <f t="shared" si="3"/>
        <v>0.87147488356060987</v>
      </c>
      <c r="N62" s="87">
        <f t="shared" si="4"/>
        <v>0.87017685524058408</v>
      </c>
      <c r="O62" s="87">
        <f t="shared" si="5"/>
        <v>1.0234824499999999</v>
      </c>
      <c r="P62" s="87" t="str">
        <f t="shared" si="6"/>
        <v/>
      </c>
    </row>
    <row r="63" spans="1:18" s="40" customFormat="1" ht="36" x14ac:dyDescent="0.3">
      <c r="A63" s="19" t="s">
        <v>197</v>
      </c>
      <c r="B63" s="19" t="s">
        <v>198</v>
      </c>
      <c r="C63" s="19" t="s">
        <v>17</v>
      </c>
      <c r="D63" s="20" t="s">
        <v>199</v>
      </c>
      <c r="E63" s="59">
        <f t="shared" si="7"/>
        <v>30000</v>
      </c>
      <c r="F63" s="60">
        <v>30000</v>
      </c>
      <c r="G63" s="60"/>
      <c r="H63" s="60"/>
      <c r="I63" s="59">
        <f t="shared" si="9"/>
        <v>17460</v>
      </c>
      <c r="J63" s="61">
        <v>17460</v>
      </c>
      <c r="K63" s="61"/>
      <c r="L63" s="61"/>
      <c r="M63" s="87">
        <f t="shared" si="3"/>
        <v>0.58199999999999996</v>
      </c>
      <c r="N63" s="87">
        <f t="shared" si="4"/>
        <v>0.58199999999999996</v>
      </c>
      <c r="O63" s="87" t="str">
        <f t="shared" si="5"/>
        <v/>
      </c>
      <c r="P63" s="87" t="str">
        <f t="shared" si="6"/>
        <v/>
      </c>
    </row>
    <row r="64" spans="1:18" s="40" customFormat="1" ht="36" x14ac:dyDescent="0.3">
      <c r="A64" s="19" t="s">
        <v>200</v>
      </c>
      <c r="B64" s="19" t="s">
        <v>201</v>
      </c>
      <c r="C64" s="19" t="s">
        <v>18</v>
      </c>
      <c r="D64" s="20" t="s">
        <v>152</v>
      </c>
      <c r="E64" s="59">
        <f t="shared" si="7"/>
        <v>26474253</v>
      </c>
      <c r="F64" s="60">
        <v>21841253</v>
      </c>
      <c r="G64" s="60">
        <f>4630000+3000</f>
        <v>4633000</v>
      </c>
      <c r="H64" s="60">
        <v>4630000</v>
      </c>
      <c r="I64" s="59">
        <f t="shared" si="9"/>
        <v>30769723.77</v>
      </c>
      <c r="J64" s="61">
        <v>18725169.57</v>
      </c>
      <c r="K64" s="65">
        <f>4600000+7444554.2</f>
        <v>12044554.199999999</v>
      </c>
      <c r="L64" s="65">
        <v>4600000</v>
      </c>
      <c r="M64" s="87">
        <f t="shared" si="3"/>
        <v>1.1622508771069009</v>
      </c>
      <c r="N64" s="87">
        <f t="shared" si="4"/>
        <v>0.85733037248366661</v>
      </c>
      <c r="O64" s="87" t="s">
        <v>416</v>
      </c>
      <c r="P64" s="87">
        <f t="shared" ref="P64" si="33">IFERROR((L64/H64),"")</f>
        <v>0.99352051835853128</v>
      </c>
    </row>
    <row r="65" spans="1:16" s="40" customFormat="1" ht="54" x14ac:dyDescent="0.3">
      <c r="A65" s="19" t="s">
        <v>202</v>
      </c>
      <c r="B65" s="19" t="s">
        <v>203</v>
      </c>
      <c r="C65" s="19" t="s">
        <v>18</v>
      </c>
      <c r="D65" s="20" t="s">
        <v>204</v>
      </c>
      <c r="E65" s="59">
        <f t="shared" si="7"/>
        <v>620120</v>
      </c>
      <c r="F65" s="60">
        <v>620120</v>
      </c>
      <c r="G65" s="60"/>
      <c r="H65" s="60"/>
      <c r="I65" s="59">
        <f t="shared" si="9"/>
        <v>476832.44</v>
      </c>
      <c r="J65" s="61">
        <v>476832.44</v>
      </c>
      <c r="K65" s="61"/>
      <c r="L65" s="61"/>
      <c r="M65" s="87">
        <f t="shared" si="3"/>
        <v>0.76893575437012196</v>
      </c>
      <c r="N65" s="87">
        <f t="shared" si="4"/>
        <v>0.76893575437012196</v>
      </c>
      <c r="O65" s="87" t="str">
        <f t="shared" si="5"/>
        <v/>
      </c>
      <c r="P65" s="87" t="str">
        <f t="shared" si="6"/>
        <v/>
      </c>
    </row>
    <row r="66" spans="1:16" s="40" customFormat="1" ht="54" x14ac:dyDescent="0.3">
      <c r="A66" s="19" t="s">
        <v>205</v>
      </c>
      <c r="B66" s="19" t="s">
        <v>206</v>
      </c>
      <c r="C66" s="19" t="s">
        <v>18</v>
      </c>
      <c r="D66" s="20" t="s">
        <v>207</v>
      </c>
      <c r="E66" s="59">
        <f t="shared" si="7"/>
        <v>2775740</v>
      </c>
      <c r="F66" s="60">
        <v>2775740</v>
      </c>
      <c r="G66" s="60"/>
      <c r="H66" s="60"/>
      <c r="I66" s="59">
        <f t="shared" si="9"/>
        <v>2146641.73</v>
      </c>
      <c r="J66" s="61">
        <v>2146641.73</v>
      </c>
      <c r="K66" s="61"/>
      <c r="L66" s="61"/>
      <c r="M66" s="87">
        <f t="shared" si="3"/>
        <v>0.77335835849178958</v>
      </c>
      <c r="N66" s="87">
        <f t="shared" si="4"/>
        <v>0.77335835849178958</v>
      </c>
      <c r="O66" s="87" t="str">
        <f t="shared" si="5"/>
        <v/>
      </c>
      <c r="P66" s="87" t="str">
        <f t="shared" si="6"/>
        <v/>
      </c>
    </row>
    <row r="67" spans="1:16" s="40" customFormat="1" ht="126" x14ac:dyDescent="0.3">
      <c r="A67" s="24" t="s">
        <v>345</v>
      </c>
      <c r="B67" s="23">
        <v>1154</v>
      </c>
      <c r="C67" s="24" t="s">
        <v>18</v>
      </c>
      <c r="D67" s="80" t="s">
        <v>346</v>
      </c>
      <c r="E67" s="59">
        <f t="shared" ref="E67" si="34">F67+G67</f>
        <v>245454.99</v>
      </c>
      <c r="F67" s="60">
        <v>245454.99</v>
      </c>
      <c r="G67" s="60"/>
      <c r="H67" s="60"/>
      <c r="I67" s="59">
        <f t="shared" si="9"/>
        <v>245454.99</v>
      </c>
      <c r="J67" s="61">
        <v>245454.99</v>
      </c>
      <c r="K67" s="61"/>
      <c r="L67" s="61"/>
      <c r="M67" s="87">
        <f t="shared" si="3"/>
        <v>1</v>
      </c>
      <c r="N67" s="87">
        <f t="shared" si="4"/>
        <v>1</v>
      </c>
      <c r="O67" s="87" t="str">
        <f t="shared" si="5"/>
        <v/>
      </c>
      <c r="P67" s="87" t="str">
        <f t="shared" si="6"/>
        <v/>
      </c>
    </row>
    <row r="68" spans="1:16" s="40" customFormat="1" ht="36" x14ac:dyDescent="0.3">
      <c r="A68" s="24" t="s">
        <v>288</v>
      </c>
      <c r="B68" s="24" t="s">
        <v>289</v>
      </c>
      <c r="C68" s="25" t="s">
        <v>18</v>
      </c>
      <c r="D68" s="20" t="s">
        <v>290</v>
      </c>
      <c r="E68" s="59">
        <f t="shared" si="7"/>
        <v>4812618</v>
      </c>
      <c r="F68" s="60">
        <v>4812618</v>
      </c>
      <c r="G68" s="60"/>
      <c r="H68" s="60"/>
      <c r="I68" s="59">
        <f t="shared" si="9"/>
        <v>3833555.43</v>
      </c>
      <c r="J68" s="61">
        <v>3833555.43</v>
      </c>
      <c r="K68" s="61"/>
      <c r="L68" s="61"/>
      <c r="M68" s="87">
        <f t="shared" si="3"/>
        <v>0.79656341517236573</v>
      </c>
      <c r="N68" s="87">
        <f t="shared" si="4"/>
        <v>0.79656341517236573</v>
      </c>
      <c r="O68" s="87" t="str">
        <f t="shared" si="5"/>
        <v/>
      </c>
      <c r="P68" s="87" t="str">
        <f t="shared" si="6"/>
        <v/>
      </c>
    </row>
    <row r="69" spans="1:16" s="40" customFormat="1" ht="90" x14ac:dyDescent="0.3">
      <c r="A69" s="24" t="s">
        <v>402</v>
      </c>
      <c r="B69" s="24" t="s">
        <v>403</v>
      </c>
      <c r="C69" s="24" t="s">
        <v>18</v>
      </c>
      <c r="D69" s="80" t="s">
        <v>404</v>
      </c>
      <c r="E69" s="59">
        <f t="shared" si="7"/>
        <v>1012084</v>
      </c>
      <c r="F69" s="60"/>
      <c r="G69" s="60">
        <v>1012084</v>
      </c>
      <c r="H69" s="60">
        <v>1012084</v>
      </c>
      <c r="I69" s="59">
        <f t="shared" si="9"/>
        <v>1011672</v>
      </c>
      <c r="J69" s="61"/>
      <c r="K69" s="61">
        <v>1011672</v>
      </c>
      <c r="L69" s="61">
        <v>1011672</v>
      </c>
      <c r="M69" s="87">
        <f t="shared" si="3"/>
        <v>0.99959291916481241</v>
      </c>
      <c r="N69" s="87"/>
      <c r="O69" s="87">
        <f t="shared" si="5"/>
        <v>0.99959291916481241</v>
      </c>
      <c r="P69" s="87">
        <f t="shared" si="6"/>
        <v>0.99959291916481241</v>
      </c>
    </row>
    <row r="70" spans="1:16" s="40" customFormat="1" ht="90" x14ac:dyDescent="0.3">
      <c r="A70" s="24" t="s">
        <v>375</v>
      </c>
      <c r="B70" s="24" t="s">
        <v>376</v>
      </c>
      <c r="C70" s="24" t="s">
        <v>18</v>
      </c>
      <c r="D70" s="80" t="s">
        <v>377</v>
      </c>
      <c r="E70" s="59">
        <f t="shared" ref="E70" si="35">F70+G70</f>
        <v>2361528</v>
      </c>
      <c r="F70" s="60"/>
      <c r="G70" s="60">
        <v>2361528</v>
      </c>
      <c r="H70" s="60">
        <v>2361528</v>
      </c>
      <c r="I70" s="59">
        <f t="shared" ref="I70" si="36">J70+K70</f>
        <v>2361528</v>
      </c>
      <c r="J70" s="61"/>
      <c r="K70" s="61">
        <v>2361528</v>
      </c>
      <c r="L70" s="61">
        <v>2361528</v>
      </c>
      <c r="M70" s="87">
        <f t="shared" ref="M70" si="37">IFERROR((I70/E70),"")</f>
        <v>1</v>
      </c>
      <c r="N70" s="87" t="str">
        <f t="shared" ref="N70" si="38">IFERROR((J70/F70),"")</f>
        <v/>
      </c>
      <c r="O70" s="87">
        <f t="shared" ref="O70" si="39">IFERROR((K70/G70),"")</f>
        <v>1</v>
      </c>
      <c r="P70" s="87">
        <f t="shared" ref="P70" si="40">IFERROR((L70/H70),"")</f>
        <v>1</v>
      </c>
    </row>
    <row r="71" spans="1:16" s="40" customFormat="1" ht="72" x14ac:dyDescent="0.3">
      <c r="A71" s="24" t="s">
        <v>364</v>
      </c>
      <c r="B71" s="23">
        <v>1200</v>
      </c>
      <c r="C71" s="23" t="s">
        <v>18</v>
      </c>
      <c r="D71" s="20" t="s">
        <v>365</v>
      </c>
      <c r="E71" s="59">
        <f t="shared" ref="E71:E74" si="41">F71+G71</f>
        <v>430630</v>
      </c>
      <c r="F71" s="60">
        <v>430630</v>
      </c>
      <c r="G71" s="60"/>
      <c r="H71" s="60"/>
      <c r="I71" s="59">
        <f t="shared" ref="I71:I74" si="42">J71+K71</f>
        <v>430630</v>
      </c>
      <c r="J71" s="61">
        <v>430630</v>
      </c>
      <c r="K71" s="61"/>
      <c r="L71" s="61"/>
      <c r="M71" s="87">
        <f t="shared" ref="M71" si="43">IFERROR((I71/E71),"")</f>
        <v>1</v>
      </c>
      <c r="N71" s="87">
        <f t="shared" ref="N71" si="44">IFERROR((J71/F71),"")</f>
        <v>1</v>
      </c>
      <c r="O71" s="87"/>
      <c r="P71" s="87"/>
    </row>
    <row r="72" spans="1:16" s="40" customFormat="1" ht="18" x14ac:dyDescent="0.3">
      <c r="A72" s="101"/>
      <c r="B72" s="101"/>
      <c r="C72" s="101"/>
      <c r="D72" s="84" t="s">
        <v>350</v>
      </c>
      <c r="E72" s="59"/>
      <c r="F72" s="60"/>
      <c r="G72" s="60"/>
      <c r="H72" s="60"/>
      <c r="I72" s="59"/>
      <c r="J72" s="61"/>
      <c r="K72" s="61"/>
      <c r="L72" s="61"/>
      <c r="M72" s="87"/>
      <c r="N72" s="87"/>
      <c r="O72" s="87"/>
      <c r="P72" s="87"/>
    </row>
    <row r="73" spans="1:16" s="39" customFormat="1" ht="72" x14ac:dyDescent="0.3">
      <c r="A73" s="102"/>
      <c r="B73" s="102"/>
      <c r="C73" s="102"/>
      <c r="D73" s="106" t="s">
        <v>351</v>
      </c>
      <c r="E73" s="62">
        <f t="shared" si="41"/>
        <v>244709</v>
      </c>
      <c r="F73" s="120">
        <f>179439+65270</f>
        <v>244709</v>
      </c>
      <c r="G73" s="63"/>
      <c r="H73" s="63"/>
      <c r="I73" s="62">
        <f t="shared" si="42"/>
        <v>244709</v>
      </c>
      <c r="J73" s="120">
        <f>179439+65270</f>
        <v>244709</v>
      </c>
      <c r="K73" s="64"/>
      <c r="L73" s="64"/>
      <c r="M73" s="89">
        <f t="shared" ref="M73:M74" si="45">IFERROR((I73/E73),"")</f>
        <v>1</v>
      </c>
      <c r="N73" s="89">
        <f t="shared" ref="N73:N74" si="46">IFERROR((J73/F73),"")</f>
        <v>1</v>
      </c>
      <c r="O73" s="89"/>
      <c r="P73" s="89"/>
    </row>
    <row r="74" spans="1:16" s="39" customFormat="1" ht="72" x14ac:dyDescent="0.3">
      <c r="A74" s="102"/>
      <c r="B74" s="102"/>
      <c r="C74" s="102"/>
      <c r="D74" s="106" t="s">
        <v>352</v>
      </c>
      <c r="E74" s="62">
        <f t="shared" si="41"/>
        <v>185921</v>
      </c>
      <c r="F74" s="120">
        <f>112671+73250</f>
        <v>185921</v>
      </c>
      <c r="G74" s="63"/>
      <c r="H74" s="63"/>
      <c r="I74" s="62">
        <f t="shared" si="42"/>
        <v>185921</v>
      </c>
      <c r="J74" s="120">
        <f>112671+73250</f>
        <v>185921</v>
      </c>
      <c r="K74" s="64"/>
      <c r="L74" s="64"/>
      <c r="M74" s="89">
        <f t="shared" si="45"/>
        <v>1</v>
      </c>
      <c r="N74" s="89">
        <f t="shared" si="46"/>
        <v>1</v>
      </c>
      <c r="O74" s="89"/>
      <c r="P74" s="89"/>
    </row>
    <row r="75" spans="1:16" s="40" customFormat="1" ht="90" x14ac:dyDescent="0.3">
      <c r="A75" s="77" t="s">
        <v>347</v>
      </c>
      <c r="B75" s="77" t="s">
        <v>348</v>
      </c>
      <c r="C75" s="77" t="s">
        <v>18</v>
      </c>
      <c r="D75" s="81" t="s">
        <v>349</v>
      </c>
      <c r="E75" s="59">
        <f t="shared" ref="E75:E79" si="47">F75+G75</f>
        <v>367454</v>
      </c>
      <c r="F75" s="60">
        <v>367454</v>
      </c>
      <c r="G75" s="60"/>
      <c r="H75" s="60"/>
      <c r="I75" s="59">
        <f t="shared" si="9"/>
        <v>367454</v>
      </c>
      <c r="J75" s="61">
        <v>367454</v>
      </c>
      <c r="K75" s="61"/>
      <c r="L75" s="61"/>
      <c r="M75" s="87">
        <f t="shared" si="3"/>
        <v>1</v>
      </c>
      <c r="N75" s="87">
        <f t="shared" si="4"/>
        <v>1</v>
      </c>
      <c r="O75" s="87" t="str">
        <f t="shared" si="5"/>
        <v/>
      </c>
      <c r="P75" s="87" t="str">
        <f t="shared" si="6"/>
        <v/>
      </c>
    </row>
    <row r="76" spans="1:16" s="40" customFormat="1" ht="18" x14ac:dyDescent="0.3">
      <c r="A76" s="77"/>
      <c r="B76" s="77"/>
      <c r="C76" s="77"/>
      <c r="D76" s="81" t="s">
        <v>350</v>
      </c>
      <c r="E76" s="59">
        <f t="shared" si="47"/>
        <v>0</v>
      </c>
      <c r="F76" s="60"/>
      <c r="G76" s="60"/>
      <c r="H76" s="60"/>
      <c r="I76" s="59">
        <f t="shared" si="9"/>
        <v>0</v>
      </c>
      <c r="J76" s="61"/>
      <c r="K76" s="61"/>
      <c r="L76" s="61"/>
      <c r="M76" s="87" t="str">
        <f t="shared" si="3"/>
        <v/>
      </c>
      <c r="N76" s="87" t="str">
        <f t="shared" si="4"/>
        <v/>
      </c>
      <c r="O76" s="87" t="str">
        <f t="shared" si="5"/>
        <v/>
      </c>
      <c r="P76" s="87" t="str">
        <f t="shared" si="6"/>
        <v/>
      </c>
    </row>
    <row r="77" spans="1:16" s="39" customFormat="1" ht="72" x14ac:dyDescent="0.3">
      <c r="A77" s="82"/>
      <c r="B77" s="82"/>
      <c r="C77" s="82"/>
      <c r="D77" s="83" t="s">
        <v>351</v>
      </c>
      <c r="E77" s="62">
        <f t="shared" si="47"/>
        <v>187734</v>
      </c>
      <c r="F77" s="120">
        <f>60434+127300</f>
        <v>187734</v>
      </c>
      <c r="G77" s="63"/>
      <c r="H77" s="63"/>
      <c r="I77" s="62">
        <f t="shared" si="9"/>
        <v>187734</v>
      </c>
      <c r="J77" s="120">
        <f>60434+127300</f>
        <v>187734</v>
      </c>
      <c r="K77" s="64"/>
      <c r="L77" s="64"/>
      <c r="M77" s="89">
        <f t="shared" si="3"/>
        <v>1</v>
      </c>
      <c r="N77" s="89">
        <f t="shared" si="4"/>
        <v>1</v>
      </c>
      <c r="O77" s="89" t="str">
        <f t="shared" si="5"/>
        <v/>
      </c>
      <c r="P77" s="89" t="str">
        <f t="shared" si="6"/>
        <v/>
      </c>
    </row>
    <row r="78" spans="1:16" s="39" customFormat="1" ht="72" x14ac:dyDescent="0.3">
      <c r="A78" s="82"/>
      <c r="B78" s="82"/>
      <c r="C78" s="82"/>
      <c r="D78" s="83" t="s">
        <v>352</v>
      </c>
      <c r="E78" s="62">
        <f t="shared" si="47"/>
        <v>179720</v>
      </c>
      <c r="F78" s="120">
        <f>36850+142870</f>
        <v>179720</v>
      </c>
      <c r="G78" s="63"/>
      <c r="H78" s="63"/>
      <c r="I78" s="62">
        <f t="shared" si="9"/>
        <v>179720</v>
      </c>
      <c r="J78" s="120">
        <f>36850+142870</f>
        <v>179720</v>
      </c>
      <c r="K78" s="64"/>
      <c r="L78" s="64"/>
      <c r="M78" s="89">
        <f t="shared" si="3"/>
        <v>1</v>
      </c>
      <c r="N78" s="89">
        <f t="shared" si="4"/>
        <v>1</v>
      </c>
      <c r="O78" s="89" t="str">
        <f t="shared" si="5"/>
        <v/>
      </c>
      <c r="P78" s="89" t="str">
        <f t="shared" si="6"/>
        <v/>
      </c>
    </row>
    <row r="79" spans="1:16" s="40" customFormat="1" ht="126" x14ac:dyDescent="0.3">
      <c r="A79" s="24" t="s">
        <v>353</v>
      </c>
      <c r="B79" s="23">
        <v>1291</v>
      </c>
      <c r="C79" s="77" t="s">
        <v>18</v>
      </c>
      <c r="D79" s="80" t="s">
        <v>354</v>
      </c>
      <c r="E79" s="59">
        <f t="shared" si="47"/>
        <v>1441809</v>
      </c>
      <c r="F79" s="60"/>
      <c r="G79" s="60">
        <v>1441809</v>
      </c>
      <c r="H79" s="60">
        <v>1441809</v>
      </c>
      <c r="I79" s="59">
        <f t="shared" si="9"/>
        <v>1439753</v>
      </c>
      <c r="J79" s="61"/>
      <c r="K79" s="61">
        <v>1439753</v>
      </c>
      <c r="L79" s="61">
        <v>1439753</v>
      </c>
      <c r="M79" s="87">
        <f t="shared" si="3"/>
        <v>0.99857401361761511</v>
      </c>
      <c r="N79" s="87" t="str">
        <f t="shared" si="4"/>
        <v/>
      </c>
      <c r="O79" s="87">
        <f t="shared" si="5"/>
        <v>0.99857401361761511</v>
      </c>
      <c r="P79" s="87">
        <f t="shared" si="6"/>
        <v>0.99857401361761511</v>
      </c>
    </row>
    <row r="80" spans="1:16" s="40" customFormat="1" ht="126" x14ac:dyDescent="0.3">
      <c r="A80" s="77" t="s">
        <v>331</v>
      </c>
      <c r="B80" s="77" t="s">
        <v>332</v>
      </c>
      <c r="C80" s="77" t="s">
        <v>18</v>
      </c>
      <c r="D80" s="84" t="s">
        <v>333</v>
      </c>
      <c r="E80" s="59">
        <f t="shared" si="7"/>
        <v>3364219</v>
      </c>
      <c r="F80" s="60"/>
      <c r="G80" s="60">
        <v>3364219</v>
      </c>
      <c r="H80" s="60"/>
      <c r="I80" s="59">
        <f t="shared" si="9"/>
        <v>3364219</v>
      </c>
      <c r="J80" s="61"/>
      <c r="K80" s="61">
        <v>3364219</v>
      </c>
      <c r="L80" s="61"/>
      <c r="M80" s="87">
        <f t="shared" ref="M80:M81" si="48">IFERROR((I80/E80),"")</f>
        <v>1</v>
      </c>
      <c r="N80" s="87" t="str">
        <f t="shared" ref="N80:N81" si="49">IFERROR((J80/F80),"")</f>
        <v/>
      </c>
      <c r="O80" s="87">
        <f t="shared" ref="O80:O81" si="50">IFERROR((K80/G80),"")</f>
        <v>1</v>
      </c>
      <c r="P80" s="87" t="str">
        <f t="shared" ref="P80:P81" si="51">IFERROR((L80/H80),"")</f>
        <v/>
      </c>
    </row>
    <row r="81" spans="1:16" s="40" customFormat="1" ht="72" x14ac:dyDescent="0.3">
      <c r="A81" s="77" t="s">
        <v>389</v>
      </c>
      <c r="B81" s="77" t="s">
        <v>390</v>
      </c>
      <c r="C81" s="77" t="s">
        <v>18</v>
      </c>
      <c r="D81" s="81" t="s">
        <v>391</v>
      </c>
      <c r="E81" s="59">
        <f t="shared" si="7"/>
        <v>13182000</v>
      </c>
      <c r="F81" s="60">
        <v>5961200</v>
      </c>
      <c r="G81" s="60">
        <v>7220800</v>
      </c>
      <c r="H81" s="60"/>
      <c r="I81" s="59">
        <f t="shared" si="9"/>
        <v>2989998.09</v>
      </c>
      <c r="J81" s="61">
        <v>2989998.09</v>
      </c>
      <c r="K81" s="61"/>
      <c r="L81" s="61"/>
      <c r="M81" s="87">
        <f t="shared" si="48"/>
        <v>0.22682431269913517</v>
      </c>
      <c r="N81" s="87">
        <f t="shared" si="49"/>
        <v>0.50157654331342683</v>
      </c>
      <c r="O81" s="87">
        <f t="shared" si="50"/>
        <v>0</v>
      </c>
      <c r="P81" s="87" t="str">
        <f t="shared" si="51"/>
        <v/>
      </c>
    </row>
    <row r="82" spans="1:16" s="39" customFormat="1" ht="90" x14ac:dyDescent="0.3">
      <c r="A82" s="19" t="s">
        <v>291</v>
      </c>
      <c r="B82" s="19" t="s">
        <v>292</v>
      </c>
      <c r="C82" s="19" t="s">
        <v>19</v>
      </c>
      <c r="D82" s="20" t="s">
        <v>293</v>
      </c>
      <c r="E82" s="62">
        <f t="shared" si="7"/>
        <v>3899780</v>
      </c>
      <c r="F82" s="60">
        <v>3899780</v>
      </c>
      <c r="G82" s="63"/>
      <c r="H82" s="63"/>
      <c r="I82" s="59">
        <f t="shared" si="9"/>
        <v>3690753.47</v>
      </c>
      <c r="J82" s="61">
        <v>3690753.47</v>
      </c>
      <c r="K82" s="64"/>
      <c r="L82" s="64"/>
      <c r="M82" s="87">
        <f t="shared" si="3"/>
        <v>0.94640043028068255</v>
      </c>
      <c r="N82" s="87">
        <f t="shared" si="4"/>
        <v>0.94640043028068255</v>
      </c>
      <c r="O82" s="87" t="str">
        <f t="shared" si="5"/>
        <v/>
      </c>
      <c r="P82" s="87" t="str">
        <f t="shared" si="6"/>
        <v/>
      </c>
    </row>
    <row r="83" spans="1:16" s="41" customFormat="1" ht="36" x14ac:dyDescent="0.3">
      <c r="A83" s="19" t="s">
        <v>149</v>
      </c>
      <c r="B83" s="19" t="s">
        <v>146</v>
      </c>
      <c r="C83" s="19" t="s">
        <v>3</v>
      </c>
      <c r="D83" s="20" t="s">
        <v>147</v>
      </c>
      <c r="E83" s="59">
        <f t="shared" si="7"/>
        <v>3100000</v>
      </c>
      <c r="F83" s="60">
        <v>3100000</v>
      </c>
      <c r="G83" s="60"/>
      <c r="H83" s="60"/>
      <c r="I83" s="59">
        <f t="shared" si="9"/>
        <v>2968205.12</v>
      </c>
      <c r="J83" s="61">
        <v>2968205.12</v>
      </c>
      <c r="K83" s="61"/>
      <c r="L83" s="61"/>
      <c r="M83" s="87">
        <f t="shared" si="3"/>
        <v>0.95748552258064523</v>
      </c>
      <c r="N83" s="87">
        <f t="shared" si="4"/>
        <v>0.95748552258064523</v>
      </c>
      <c r="O83" s="87" t="str">
        <f t="shared" si="5"/>
        <v/>
      </c>
      <c r="P83" s="87" t="str">
        <f t="shared" si="6"/>
        <v/>
      </c>
    </row>
    <row r="84" spans="1:16" s="41" customFormat="1" ht="54" x14ac:dyDescent="0.3">
      <c r="A84" s="19" t="s">
        <v>67</v>
      </c>
      <c r="B84" s="19" t="s">
        <v>48</v>
      </c>
      <c r="C84" s="19" t="s">
        <v>20</v>
      </c>
      <c r="D84" s="20" t="s">
        <v>21</v>
      </c>
      <c r="E84" s="59">
        <f t="shared" si="7"/>
        <v>12357647</v>
      </c>
      <c r="F84" s="60">
        <v>12357647</v>
      </c>
      <c r="G84" s="60"/>
      <c r="H84" s="60"/>
      <c r="I84" s="59">
        <f t="shared" si="9"/>
        <v>10587557.810000001</v>
      </c>
      <c r="J84" s="61">
        <v>10517427.810000001</v>
      </c>
      <c r="K84" s="61">
        <f>70030+100</f>
        <v>70130</v>
      </c>
      <c r="L84" s="61"/>
      <c r="M84" s="87">
        <f t="shared" si="3"/>
        <v>0.85676163188671761</v>
      </c>
      <c r="N84" s="87">
        <f t="shared" si="4"/>
        <v>0.85108660329915564</v>
      </c>
      <c r="O84" s="87" t="str">
        <f t="shared" ref="O84:O85" si="52">IFERROR((K84/G84),"")</f>
        <v/>
      </c>
      <c r="P84" s="87" t="str">
        <f t="shared" ref="P84:P85" si="53">IFERROR((L84/H84),"")</f>
        <v/>
      </c>
    </row>
    <row r="85" spans="1:16" s="41" customFormat="1" ht="36" x14ac:dyDescent="0.3">
      <c r="A85" s="24" t="s">
        <v>366</v>
      </c>
      <c r="B85" s="23">
        <v>7520</v>
      </c>
      <c r="C85" s="24" t="s">
        <v>367</v>
      </c>
      <c r="D85" s="80" t="s">
        <v>368</v>
      </c>
      <c r="E85" s="59">
        <f t="shared" si="7"/>
        <v>500000</v>
      </c>
      <c r="F85" s="60">
        <v>295000</v>
      </c>
      <c r="G85" s="60">
        <v>205000</v>
      </c>
      <c r="H85" s="60">
        <v>205000</v>
      </c>
      <c r="I85" s="59">
        <f t="shared" si="9"/>
        <v>499860</v>
      </c>
      <c r="J85" s="61">
        <v>294960</v>
      </c>
      <c r="K85" s="61">
        <v>204900</v>
      </c>
      <c r="L85" s="61">
        <v>204900</v>
      </c>
      <c r="M85" s="87">
        <f t="shared" ref="M85" si="54">IFERROR((I85/E85),"")</f>
        <v>0.99972000000000005</v>
      </c>
      <c r="N85" s="87">
        <f t="shared" ref="N85" si="55">IFERROR((J85/F85),"")</f>
        <v>0.99986440677966104</v>
      </c>
      <c r="O85" s="87">
        <f t="shared" si="52"/>
        <v>0.99951219512195122</v>
      </c>
      <c r="P85" s="87">
        <f t="shared" si="53"/>
        <v>0.99951219512195122</v>
      </c>
    </row>
    <row r="86" spans="1:16" s="38" customFormat="1" ht="54" x14ac:dyDescent="0.3">
      <c r="A86" s="24" t="s">
        <v>284</v>
      </c>
      <c r="B86" s="23">
        <v>8110</v>
      </c>
      <c r="C86" s="24" t="s">
        <v>4</v>
      </c>
      <c r="D86" s="20" t="s">
        <v>137</v>
      </c>
      <c r="E86" s="59">
        <f t="shared" si="7"/>
        <v>8951457</v>
      </c>
      <c r="F86" s="60">
        <v>1198531.6399999999</v>
      </c>
      <c r="G86" s="60">
        <v>7752925.3600000003</v>
      </c>
      <c r="H86" s="60">
        <v>7752925.3600000003</v>
      </c>
      <c r="I86" s="59">
        <f t="shared" si="9"/>
        <v>1470762.19</v>
      </c>
      <c r="J86" s="61">
        <v>612485.43999999994</v>
      </c>
      <c r="K86" s="61">
        <v>858276.75</v>
      </c>
      <c r="L86" s="61">
        <v>858276.75</v>
      </c>
      <c r="M86" s="87">
        <f t="shared" si="3"/>
        <v>0.16430422332364439</v>
      </c>
      <c r="N86" s="87">
        <f t="shared" si="4"/>
        <v>0.51102984648782401</v>
      </c>
      <c r="O86" s="87">
        <f t="shared" si="5"/>
        <v>0.11070360027302004</v>
      </c>
      <c r="P86" s="87">
        <f t="shared" si="6"/>
        <v>0.11070360027302004</v>
      </c>
    </row>
    <row r="87" spans="1:16" s="44" customFormat="1" ht="52.2" x14ac:dyDescent="0.3">
      <c r="A87" s="17" t="s">
        <v>68</v>
      </c>
      <c r="B87" s="17" t="s">
        <v>231</v>
      </c>
      <c r="C87" s="17" t="s">
        <v>231</v>
      </c>
      <c r="D87" s="18" t="s">
        <v>250</v>
      </c>
      <c r="E87" s="57">
        <f t="shared" si="7"/>
        <v>118747381.06</v>
      </c>
      <c r="F87" s="58">
        <f>F88</f>
        <v>99515484.060000002</v>
      </c>
      <c r="G87" s="58">
        <f t="shared" ref="G87:L87" si="56">G88</f>
        <v>19231897</v>
      </c>
      <c r="H87" s="58">
        <f t="shared" si="56"/>
        <v>19175497</v>
      </c>
      <c r="I87" s="58">
        <f t="shared" si="56"/>
        <v>113073264.38</v>
      </c>
      <c r="J87" s="58">
        <f t="shared" si="56"/>
        <v>93348903.549999997</v>
      </c>
      <c r="K87" s="58">
        <f t="shared" si="56"/>
        <v>19724360.829999998</v>
      </c>
      <c r="L87" s="58">
        <f t="shared" si="56"/>
        <v>19008989.640000001</v>
      </c>
      <c r="M87" s="86">
        <f t="shared" si="3"/>
        <v>0.95221691098068917</v>
      </c>
      <c r="N87" s="86">
        <f t="shared" si="4"/>
        <v>0.93803395955666513</v>
      </c>
      <c r="O87" s="86">
        <f t="shared" si="6"/>
        <v>1.0256066174855241</v>
      </c>
      <c r="P87" s="86">
        <f t="shared" si="6"/>
        <v>0.99131666000625696</v>
      </c>
    </row>
    <row r="88" spans="1:16" s="38" customFormat="1" ht="52.2" x14ac:dyDescent="0.3">
      <c r="A88" s="17" t="s">
        <v>69</v>
      </c>
      <c r="B88" s="17" t="s">
        <v>231</v>
      </c>
      <c r="C88" s="17" t="s">
        <v>231</v>
      </c>
      <c r="D88" s="18" t="s">
        <v>250</v>
      </c>
      <c r="E88" s="57">
        <f t="shared" si="7"/>
        <v>118747381.06</v>
      </c>
      <c r="F88" s="58">
        <f>F89+F90+F91+F92+F93+F94+F95+F96+F97+F98+F99+F100+F101+F106+F107+F102+F108</f>
        <v>99515484.060000002</v>
      </c>
      <c r="G88" s="58">
        <f>G89+G90+G91+G92+G93+G94+G95+G96+G97+G98+G99+G100+G101+G106+G107+G103+G105+G104</f>
        <v>19231897</v>
      </c>
      <c r="H88" s="58">
        <f>H89+H90+H91+H92+H93+H94+H95+H96+H97+H98+H99+H100+H101+H106+H107+H103+H105+H104</f>
        <v>19175497</v>
      </c>
      <c r="I88" s="58">
        <f>J88+K88</f>
        <v>113073264.38</v>
      </c>
      <c r="J88" s="58">
        <f>J89+J90+J91+J92+J93+J94+J95+J96+J97+J98+J99+J100+J101+J106+J107+J102+J108</f>
        <v>93348903.549999997</v>
      </c>
      <c r="K88" s="58">
        <f>K89+K90+K91+K92+K93+K94+K95+K96+K97+K98+K99+K100+K101+K106+K107+K103+K105+K104</f>
        <v>19724360.829999998</v>
      </c>
      <c r="L88" s="58">
        <f t="shared" ref="L88" si="57">L89+L90+L91+L92+L93+L94+L95+L96+L97+L98+L99+L100+L101+L106+L107+L103+L105+L104</f>
        <v>19008989.640000001</v>
      </c>
      <c r="M88" s="86">
        <f t="shared" si="3"/>
        <v>0.95221691098068917</v>
      </c>
      <c r="N88" s="86">
        <f t="shared" si="4"/>
        <v>0.93803395955666513</v>
      </c>
      <c r="O88" s="86">
        <f t="shared" si="6"/>
        <v>1.0256066174855241</v>
      </c>
      <c r="P88" s="86">
        <f t="shared" si="6"/>
        <v>0.99131666000625696</v>
      </c>
    </row>
    <row r="89" spans="1:16" s="41" customFormat="1" ht="54" x14ac:dyDescent="0.3">
      <c r="A89" s="19" t="s">
        <v>70</v>
      </c>
      <c r="B89" s="19" t="s">
        <v>56</v>
      </c>
      <c r="C89" s="19" t="s">
        <v>2</v>
      </c>
      <c r="D89" s="20" t="s">
        <v>248</v>
      </c>
      <c r="E89" s="59">
        <f t="shared" si="7"/>
        <v>17811500</v>
      </c>
      <c r="F89" s="60">
        <v>17811500</v>
      </c>
      <c r="G89" s="60"/>
      <c r="H89" s="60"/>
      <c r="I89" s="59">
        <f t="shared" si="9"/>
        <v>17574578.870000001</v>
      </c>
      <c r="J89" s="61">
        <v>17574578.870000001</v>
      </c>
      <c r="K89" s="61"/>
      <c r="L89" s="61"/>
      <c r="M89" s="87">
        <f t="shared" si="3"/>
        <v>0.98669841787609136</v>
      </c>
      <c r="N89" s="87">
        <f t="shared" si="4"/>
        <v>0.98669841787609136</v>
      </c>
      <c r="O89" s="87" t="str">
        <f t="shared" si="5"/>
        <v/>
      </c>
      <c r="P89" s="87" t="str">
        <f t="shared" si="6"/>
        <v/>
      </c>
    </row>
    <row r="90" spans="1:16" s="38" customFormat="1" ht="36" x14ac:dyDescent="0.3">
      <c r="A90" s="19" t="s">
        <v>159</v>
      </c>
      <c r="B90" s="19" t="s">
        <v>9</v>
      </c>
      <c r="C90" s="19" t="s">
        <v>5</v>
      </c>
      <c r="D90" s="20" t="s">
        <v>102</v>
      </c>
      <c r="E90" s="59">
        <f t="shared" si="7"/>
        <v>110110</v>
      </c>
      <c r="F90" s="60">
        <v>110110</v>
      </c>
      <c r="G90" s="60"/>
      <c r="H90" s="60"/>
      <c r="I90" s="59">
        <f t="shared" si="9"/>
        <v>94505</v>
      </c>
      <c r="J90" s="61">
        <v>94505</v>
      </c>
      <c r="K90" s="61"/>
      <c r="L90" s="61"/>
      <c r="M90" s="87">
        <f t="shared" si="3"/>
        <v>0.85827808555081286</v>
      </c>
      <c r="N90" s="87">
        <f t="shared" si="4"/>
        <v>0.85827808555081286</v>
      </c>
      <c r="O90" s="87" t="str">
        <f t="shared" si="5"/>
        <v/>
      </c>
      <c r="P90" s="87" t="str">
        <f t="shared" si="6"/>
        <v/>
      </c>
    </row>
    <row r="91" spans="1:16" s="38" customFormat="1" ht="36" x14ac:dyDescent="0.3">
      <c r="A91" s="19" t="s">
        <v>105</v>
      </c>
      <c r="B91" s="19" t="s">
        <v>33</v>
      </c>
      <c r="C91" s="19" t="s">
        <v>14</v>
      </c>
      <c r="D91" s="20" t="s">
        <v>104</v>
      </c>
      <c r="E91" s="59">
        <f t="shared" si="7"/>
        <v>1805900</v>
      </c>
      <c r="F91" s="60">
        <v>1805900</v>
      </c>
      <c r="G91" s="60"/>
      <c r="H91" s="60"/>
      <c r="I91" s="59">
        <f t="shared" si="9"/>
        <v>1006014.83</v>
      </c>
      <c r="J91" s="61">
        <v>1006014.83</v>
      </c>
      <c r="K91" s="61"/>
      <c r="L91" s="61"/>
      <c r="M91" s="87">
        <f t="shared" si="3"/>
        <v>0.55707117226867486</v>
      </c>
      <c r="N91" s="87">
        <f t="shared" si="4"/>
        <v>0.55707117226867486</v>
      </c>
      <c r="O91" s="87" t="str">
        <f t="shared" si="5"/>
        <v/>
      </c>
      <c r="P91" s="87" t="str">
        <f t="shared" si="6"/>
        <v/>
      </c>
    </row>
    <row r="92" spans="1:16" s="38" customFormat="1" ht="36" x14ac:dyDescent="0.3">
      <c r="A92" s="19" t="s">
        <v>106</v>
      </c>
      <c r="B92" s="19" t="s">
        <v>107</v>
      </c>
      <c r="C92" s="19" t="s">
        <v>34</v>
      </c>
      <c r="D92" s="20" t="s">
        <v>251</v>
      </c>
      <c r="E92" s="59">
        <f t="shared" si="7"/>
        <v>4700</v>
      </c>
      <c r="F92" s="60">
        <v>4700</v>
      </c>
      <c r="G92" s="60"/>
      <c r="H92" s="60"/>
      <c r="I92" s="59">
        <f t="shared" si="9"/>
        <v>4603.3599999999997</v>
      </c>
      <c r="J92" s="61">
        <v>4603.3599999999997</v>
      </c>
      <c r="K92" s="61"/>
      <c r="L92" s="61"/>
      <c r="M92" s="87">
        <f t="shared" si="3"/>
        <v>0.97943829787234038</v>
      </c>
      <c r="N92" s="87">
        <f t="shared" si="4"/>
        <v>0.97943829787234038</v>
      </c>
      <c r="O92" s="87" t="str">
        <f t="shared" si="5"/>
        <v/>
      </c>
      <c r="P92" s="87" t="str">
        <f t="shared" si="6"/>
        <v/>
      </c>
    </row>
    <row r="93" spans="1:16" s="38" customFormat="1" ht="54" x14ac:dyDescent="0.3">
      <c r="A93" s="19" t="s">
        <v>167</v>
      </c>
      <c r="B93" s="19" t="s">
        <v>165</v>
      </c>
      <c r="C93" s="19" t="s">
        <v>34</v>
      </c>
      <c r="D93" s="20" t="s">
        <v>166</v>
      </c>
      <c r="E93" s="59">
        <f t="shared" ref="E93:E171" si="58">F93+G93</f>
        <v>444119</v>
      </c>
      <c r="F93" s="60">
        <v>444119</v>
      </c>
      <c r="G93" s="60"/>
      <c r="H93" s="60"/>
      <c r="I93" s="59">
        <f t="shared" si="9"/>
        <v>444119</v>
      </c>
      <c r="J93" s="61">
        <v>444119</v>
      </c>
      <c r="K93" s="61"/>
      <c r="L93" s="61"/>
      <c r="M93" s="87">
        <f t="shared" si="3"/>
        <v>1</v>
      </c>
      <c r="N93" s="87">
        <f t="shared" si="4"/>
        <v>1</v>
      </c>
      <c r="O93" s="87" t="str">
        <f t="shared" si="5"/>
        <v/>
      </c>
      <c r="P93" s="87" t="str">
        <f t="shared" si="6"/>
        <v/>
      </c>
    </row>
    <row r="94" spans="1:16" s="38" customFormat="1" ht="36" x14ac:dyDescent="0.3">
      <c r="A94" s="19" t="s">
        <v>168</v>
      </c>
      <c r="B94" s="19" t="s">
        <v>169</v>
      </c>
      <c r="C94" s="19" t="s">
        <v>14</v>
      </c>
      <c r="D94" s="20" t="s">
        <v>170</v>
      </c>
      <c r="E94" s="59">
        <f t="shared" si="58"/>
        <v>83516</v>
      </c>
      <c r="F94" s="60">
        <v>83516</v>
      </c>
      <c r="G94" s="60"/>
      <c r="H94" s="60"/>
      <c r="I94" s="59">
        <f t="shared" si="9"/>
        <v>83422</v>
      </c>
      <c r="J94" s="61">
        <v>83422</v>
      </c>
      <c r="K94" s="61"/>
      <c r="L94" s="61"/>
      <c r="M94" s="87">
        <f t="shared" si="3"/>
        <v>0.99887446716796779</v>
      </c>
      <c r="N94" s="87">
        <f t="shared" si="4"/>
        <v>0.99887446716796779</v>
      </c>
      <c r="O94" s="87" t="str">
        <f t="shared" si="5"/>
        <v/>
      </c>
      <c r="P94" s="87" t="str">
        <f t="shared" si="6"/>
        <v/>
      </c>
    </row>
    <row r="95" spans="1:16" s="41" customFormat="1" ht="72" x14ac:dyDescent="0.3">
      <c r="A95" s="19" t="s">
        <v>117</v>
      </c>
      <c r="B95" s="19" t="s">
        <v>116</v>
      </c>
      <c r="C95" s="19" t="s">
        <v>12</v>
      </c>
      <c r="D95" s="20" t="s">
        <v>252</v>
      </c>
      <c r="E95" s="59">
        <f t="shared" si="58"/>
        <v>18252753.059999999</v>
      </c>
      <c r="F95" s="60">
        <v>18196353.059999999</v>
      </c>
      <c r="G95" s="60">
        <v>56400</v>
      </c>
      <c r="H95" s="60"/>
      <c r="I95" s="59">
        <f t="shared" si="9"/>
        <v>16632293.08</v>
      </c>
      <c r="J95" s="61">
        <v>16609293.08</v>
      </c>
      <c r="K95" s="61">
        <v>23000</v>
      </c>
      <c r="L95" s="61">
        <v>0</v>
      </c>
      <c r="M95" s="87">
        <f t="shared" si="3"/>
        <v>0.91122106486220122</v>
      </c>
      <c r="N95" s="87">
        <f t="shared" si="4"/>
        <v>0.91278142522477534</v>
      </c>
      <c r="O95" s="87">
        <f t="shared" si="5"/>
        <v>0.40780141843971629</v>
      </c>
      <c r="P95" s="87" t="str">
        <f t="shared" si="6"/>
        <v/>
      </c>
    </row>
    <row r="96" spans="1:16" s="38" customFormat="1" ht="36" x14ac:dyDescent="0.3">
      <c r="A96" s="19" t="s">
        <v>72</v>
      </c>
      <c r="B96" s="19" t="s">
        <v>71</v>
      </c>
      <c r="C96" s="19" t="s">
        <v>19</v>
      </c>
      <c r="D96" s="20" t="s">
        <v>253</v>
      </c>
      <c r="E96" s="59">
        <f t="shared" si="58"/>
        <v>10473800</v>
      </c>
      <c r="F96" s="60">
        <v>8473800</v>
      </c>
      <c r="G96" s="60">
        <v>2000000</v>
      </c>
      <c r="H96" s="60">
        <v>2000000</v>
      </c>
      <c r="I96" s="59">
        <f t="shared" si="9"/>
        <v>10238140.35</v>
      </c>
      <c r="J96" s="61">
        <v>8364153.3499999996</v>
      </c>
      <c r="K96" s="61">
        <f>1852020+21967</f>
        <v>1873987</v>
      </c>
      <c r="L96" s="61">
        <v>1852020</v>
      </c>
      <c r="M96" s="87">
        <f t="shared" si="3"/>
        <v>0.97750008115488163</v>
      </c>
      <c r="N96" s="87">
        <f t="shared" si="4"/>
        <v>0.98706051004271989</v>
      </c>
      <c r="O96" s="87">
        <f t="shared" ref="O96" si="59">IFERROR((K96/G96),"")</f>
        <v>0.93699350000000003</v>
      </c>
      <c r="P96" s="87">
        <f t="shared" ref="P96" si="60">IFERROR((L96/H96),"")</f>
        <v>0.92601</v>
      </c>
    </row>
    <row r="97" spans="1:16" s="38" customFormat="1" ht="18" x14ac:dyDescent="0.3">
      <c r="A97" s="19" t="s">
        <v>254</v>
      </c>
      <c r="B97" s="19" t="s">
        <v>83</v>
      </c>
      <c r="C97" s="19" t="s">
        <v>19</v>
      </c>
      <c r="D97" s="20" t="s">
        <v>255</v>
      </c>
      <c r="E97" s="59">
        <f t="shared" si="58"/>
        <v>361500</v>
      </c>
      <c r="F97" s="60">
        <v>361500</v>
      </c>
      <c r="G97" s="60"/>
      <c r="H97" s="60"/>
      <c r="I97" s="59">
        <f t="shared" si="9"/>
        <v>361500</v>
      </c>
      <c r="J97" s="61">
        <v>361500</v>
      </c>
      <c r="K97" s="61"/>
      <c r="L97" s="61"/>
      <c r="M97" s="87">
        <f t="shared" ref="M97:M173" si="61">IFERROR((I97/E97),"")</f>
        <v>1</v>
      </c>
      <c r="N97" s="87">
        <f t="shared" ref="N97:N173" si="62">IFERROR((J97/F97),"")</f>
        <v>1</v>
      </c>
      <c r="O97" s="87" t="str">
        <f t="shared" ref="O97:O173" si="63">IFERROR((K97/G97),"")</f>
        <v/>
      </c>
      <c r="P97" s="87" t="str">
        <f t="shared" ref="P97:P173" si="64">IFERROR((L97/H97),"")</f>
        <v/>
      </c>
    </row>
    <row r="98" spans="1:16" s="38" customFormat="1" ht="108" x14ac:dyDescent="0.3">
      <c r="A98" s="19" t="s">
        <v>140</v>
      </c>
      <c r="B98" s="19" t="s">
        <v>141</v>
      </c>
      <c r="C98" s="19" t="s">
        <v>10</v>
      </c>
      <c r="D98" s="20" t="s">
        <v>256</v>
      </c>
      <c r="E98" s="59">
        <f t="shared" si="58"/>
        <v>2779000</v>
      </c>
      <c r="F98" s="60">
        <v>2779000</v>
      </c>
      <c r="G98" s="60"/>
      <c r="H98" s="60"/>
      <c r="I98" s="59">
        <f t="shared" ref="I98:I107" si="65">J98+K98</f>
        <v>2758807.56</v>
      </c>
      <c r="J98" s="61">
        <v>2758807.56</v>
      </c>
      <c r="K98" s="65"/>
      <c r="L98" s="65"/>
      <c r="M98" s="87">
        <f t="shared" si="61"/>
        <v>0.99273391867578265</v>
      </c>
      <c r="N98" s="87">
        <f t="shared" si="62"/>
        <v>0.99273391867578265</v>
      </c>
      <c r="O98" s="87" t="str">
        <f t="shared" si="63"/>
        <v/>
      </c>
      <c r="P98" s="87" t="str">
        <f t="shared" si="64"/>
        <v/>
      </c>
    </row>
    <row r="99" spans="1:16" s="38" customFormat="1" ht="72" x14ac:dyDescent="0.3">
      <c r="A99" s="19" t="s">
        <v>171</v>
      </c>
      <c r="B99" s="19" t="s">
        <v>172</v>
      </c>
      <c r="C99" s="19" t="s">
        <v>10</v>
      </c>
      <c r="D99" s="20" t="s">
        <v>173</v>
      </c>
      <c r="E99" s="59">
        <f t="shared" si="58"/>
        <v>28720</v>
      </c>
      <c r="F99" s="60">
        <v>28720</v>
      </c>
      <c r="G99" s="60"/>
      <c r="H99" s="60"/>
      <c r="I99" s="59">
        <f t="shared" si="65"/>
        <v>27368.9</v>
      </c>
      <c r="J99" s="61">
        <v>27368.9</v>
      </c>
      <c r="K99" s="65"/>
      <c r="L99" s="65"/>
      <c r="M99" s="87">
        <f t="shared" si="61"/>
        <v>0.95295612813370478</v>
      </c>
      <c r="N99" s="87">
        <f t="shared" si="62"/>
        <v>0.95295612813370478</v>
      </c>
      <c r="O99" s="87" t="str">
        <f t="shared" si="63"/>
        <v/>
      </c>
      <c r="P99" s="87" t="str">
        <f t="shared" si="64"/>
        <v/>
      </c>
    </row>
    <row r="100" spans="1:16" s="38" customFormat="1" ht="90" x14ac:dyDescent="0.3">
      <c r="A100" s="19" t="s">
        <v>142</v>
      </c>
      <c r="B100" s="19" t="s">
        <v>143</v>
      </c>
      <c r="C100" s="19" t="s">
        <v>29</v>
      </c>
      <c r="D100" s="20" t="s">
        <v>257</v>
      </c>
      <c r="E100" s="59">
        <f t="shared" si="58"/>
        <v>1061300</v>
      </c>
      <c r="F100" s="60">
        <v>1061300</v>
      </c>
      <c r="G100" s="60"/>
      <c r="H100" s="60"/>
      <c r="I100" s="59">
        <f t="shared" si="65"/>
        <v>971427.29</v>
      </c>
      <c r="J100" s="61">
        <v>971427.29</v>
      </c>
      <c r="K100" s="65"/>
      <c r="L100" s="65"/>
      <c r="M100" s="87">
        <f t="shared" si="61"/>
        <v>0.91531827946857636</v>
      </c>
      <c r="N100" s="87">
        <f t="shared" si="62"/>
        <v>0.91531827946857636</v>
      </c>
      <c r="O100" s="87" t="str">
        <f t="shared" si="63"/>
        <v/>
      </c>
      <c r="P100" s="87" t="str">
        <f t="shared" si="64"/>
        <v/>
      </c>
    </row>
    <row r="101" spans="1:16" s="38" customFormat="1" ht="54" x14ac:dyDescent="0.3">
      <c r="A101" s="19" t="s">
        <v>144</v>
      </c>
      <c r="B101" s="19" t="s">
        <v>145</v>
      </c>
      <c r="C101" s="19" t="s">
        <v>14</v>
      </c>
      <c r="D101" s="20" t="s">
        <v>258</v>
      </c>
      <c r="E101" s="59">
        <f t="shared" si="58"/>
        <v>71000</v>
      </c>
      <c r="F101" s="60">
        <v>71000</v>
      </c>
      <c r="G101" s="60"/>
      <c r="H101" s="60"/>
      <c r="I101" s="59">
        <f t="shared" si="65"/>
        <v>68021.240000000005</v>
      </c>
      <c r="J101" s="61">
        <v>68021.240000000005</v>
      </c>
      <c r="K101" s="65"/>
      <c r="L101" s="65"/>
      <c r="M101" s="87">
        <f t="shared" si="61"/>
        <v>0.95804563380281693</v>
      </c>
      <c r="N101" s="87">
        <f t="shared" si="62"/>
        <v>0.95804563380281693</v>
      </c>
      <c r="O101" s="87" t="str">
        <f t="shared" si="63"/>
        <v/>
      </c>
      <c r="P101" s="87" t="str">
        <f t="shared" si="64"/>
        <v/>
      </c>
    </row>
    <row r="102" spans="1:16" s="38" customFormat="1" ht="90" x14ac:dyDescent="0.3">
      <c r="A102" s="24" t="s">
        <v>392</v>
      </c>
      <c r="B102" s="23">
        <v>3193</v>
      </c>
      <c r="C102" s="23">
        <v>1030</v>
      </c>
      <c r="D102" s="80" t="s">
        <v>393</v>
      </c>
      <c r="E102" s="59">
        <f t="shared" ref="E102" si="66">F102+G102</f>
        <v>16126</v>
      </c>
      <c r="F102" s="60">
        <v>16126</v>
      </c>
      <c r="G102" s="60"/>
      <c r="H102" s="60"/>
      <c r="I102" s="59">
        <f t="shared" ref="I102" si="67">J102+K102</f>
        <v>11867.05</v>
      </c>
      <c r="J102" s="61">
        <v>11867.05</v>
      </c>
      <c r="K102" s="65"/>
      <c r="L102" s="65"/>
      <c r="M102" s="87">
        <f t="shared" ref="M102" si="68">IFERROR((I102/E102),"")</f>
        <v>0.73589544834428866</v>
      </c>
      <c r="N102" s="87">
        <f t="shared" ref="N102" si="69">IFERROR((J102/F102),"")</f>
        <v>0.73589544834428866</v>
      </c>
      <c r="O102" s="87" t="str">
        <f t="shared" ref="O102" si="70">IFERROR((K102/G102),"")</f>
        <v/>
      </c>
      <c r="P102" s="87" t="str">
        <f t="shared" ref="P102" si="71">IFERROR((L102/H102),"")</f>
        <v/>
      </c>
    </row>
    <row r="103" spans="1:16" s="38" customFormat="1" ht="409.6" x14ac:dyDescent="0.3">
      <c r="A103" s="24" t="s">
        <v>378</v>
      </c>
      <c r="B103" s="23">
        <v>3221</v>
      </c>
      <c r="C103" s="23">
        <v>1060</v>
      </c>
      <c r="D103" s="107" t="s">
        <v>379</v>
      </c>
      <c r="E103" s="59">
        <f t="shared" ref="E103:E105" si="72">F103+G103</f>
        <v>6191718</v>
      </c>
      <c r="F103" s="60"/>
      <c r="G103" s="60">
        <v>6191718</v>
      </c>
      <c r="H103" s="60">
        <v>6191718</v>
      </c>
      <c r="I103" s="59">
        <f t="shared" ref="I103:I105" si="73">J103+K103</f>
        <v>6185263.5099999998</v>
      </c>
      <c r="J103" s="61"/>
      <c r="K103" s="65">
        <v>6185263.5099999998</v>
      </c>
      <c r="L103" s="65">
        <f>K103</f>
        <v>6185263.5099999998</v>
      </c>
      <c r="M103" s="87">
        <f t="shared" ref="M103:M105" si="74">IFERROR((I103/E103),"")</f>
        <v>0.99895756072870245</v>
      </c>
      <c r="N103" s="87" t="str">
        <f t="shared" ref="N103:N105" si="75">IFERROR((J103/F103),"")</f>
        <v/>
      </c>
      <c r="O103" s="87">
        <f t="shared" ref="O103:O105" si="76">IFERROR((K103/G103),"")</f>
        <v>0.99895756072870245</v>
      </c>
      <c r="P103" s="87">
        <f t="shared" ref="P103:P105" si="77">IFERROR((L103/H103),"")</f>
        <v>0.99895756072870245</v>
      </c>
    </row>
    <row r="104" spans="1:16" s="38" customFormat="1" ht="409.6" x14ac:dyDescent="0.3">
      <c r="A104" s="24" t="s">
        <v>405</v>
      </c>
      <c r="B104" s="23">
        <v>3222</v>
      </c>
      <c r="C104" s="23">
        <v>1060</v>
      </c>
      <c r="D104" s="118" t="s">
        <v>406</v>
      </c>
      <c r="E104" s="59">
        <f t="shared" si="72"/>
        <v>6239090</v>
      </c>
      <c r="F104" s="60"/>
      <c r="G104" s="60">
        <v>6239090</v>
      </c>
      <c r="H104" s="60">
        <v>6239090</v>
      </c>
      <c r="I104" s="59">
        <f t="shared" si="73"/>
        <v>6239089.0300000003</v>
      </c>
      <c r="J104" s="61"/>
      <c r="K104" s="65">
        <v>6239089.0300000003</v>
      </c>
      <c r="L104" s="65">
        <v>6239089.0300000003</v>
      </c>
      <c r="M104" s="87"/>
      <c r="N104" s="87"/>
      <c r="O104" s="87">
        <f t="shared" ref="O104" si="78">IFERROR((K104/G104),"")</f>
        <v>0.99999984452860913</v>
      </c>
      <c r="P104" s="87">
        <f t="shared" ref="P104" si="79">IFERROR((L104/H104),"")</f>
        <v>0.99999984452860913</v>
      </c>
    </row>
    <row r="105" spans="1:16" s="38" customFormat="1" ht="288" x14ac:dyDescent="0.3">
      <c r="A105" s="24" t="s">
        <v>380</v>
      </c>
      <c r="B105" s="23">
        <v>3223</v>
      </c>
      <c r="C105" s="23">
        <v>1060</v>
      </c>
      <c r="D105" s="107" t="s">
        <v>381</v>
      </c>
      <c r="E105" s="59">
        <f t="shared" si="72"/>
        <v>4744689</v>
      </c>
      <c r="F105" s="60"/>
      <c r="G105" s="60">
        <v>4744689</v>
      </c>
      <c r="H105" s="60">
        <f>G105</f>
        <v>4744689</v>
      </c>
      <c r="I105" s="59">
        <f t="shared" si="73"/>
        <v>4732617.0999999996</v>
      </c>
      <c r="J105" s="61"/>
      <c r="K105" s="65">
        <v>4732617.0999999996</v>
      </c>
      <c r="L105" s="65">
        <v>4732617.0999999996</v>
      </c>
      <c r="M105" s="87">
        <f t="shared" si="74"/>
        <v>0.99745570257608029</v>
      </c>
      <c r="N105" s="87" t="str">
        <f t="shared" si="75"/>
        <v/>
      </c>
      <c r="O105" s="87">
        <f t="shared" si="76"/>
        <v>0.99745570257608029</v>
      </c>
      <c r="P105" s="87">
        <f t="shared" si="77"/>
        <v>0.99745570257608029</v>
      </c>
    </row>
    <row r="106" spans="1:16" s="38" customFormat="1" ht="54" x14ac:dyDescent="0.3">
      <c r="A106" s="25" t="s">
        <v>279</v>
      </c>
      <c r="B106" s="23">
        <v>3230</v>
      </c>
      <c r="C106" s="23">
        <v>1070</v>
      </c>
      <c r="D106" s="20" t="s">
        <v>278</v>
      </c>
      <c r="E106" s="59">
        <f t="shared" si="58"/>
        <v>497600</v>
      </c>
      <c r="F106" s="60">
        <v>497600</v>
      </c>
      <c r="G106" s="60">
        <v>0</v>
      </c>
      <c r="H106" s="60"/>
      <c r="I106" s="59">
        <f t="shared" si="65"/>
        <v>1048335.5</v>
      </c>
      <c r="J106" s="61">
        <v>478920</v>
      </c>
      <c r="K106" s="65">
        <v>569415.5</v>
      </c>
      <c r="L106" s="65"/>
      <c r="M106" s="87">
        <f t="shared" si="61"/>
        <v>2.1067835610932475</v>
      </c>
      <c r="N106" s="87">
        <f t="shared" si="62"/>
        <v>0.96245980707395495</v>
      </c>
      <c r="O106" s="87" t="s">
        <v>382</v>
      </c>
      <c r="P106" s="87" t="str">
        <f t="shared" si="64"/>
        <v/>
      </c>
    </row>
    <row r="107" spans="1:16" s="38" customFormat="1" ht="36" x14ac:dyDescent="0.3">
      <c r="A107" s="19" t="s">
        <v>150</v>
      </c>
      <c r="B107" s="19" t="s">
        <v>146</v>
      </c>
      <c r="C107" s="19" t="s">
        <v>3</v>
      </c>
      <c r="D107" s="20" t="s">
        <v>147</v>
      </c>
      <c r="E107" s="59">
        <f t="shared" si="58"/>
        <v>47690800</v>
      </c>
      <c r="F107" s="60">
        <f>45810900+1879900</f>
        <v>47690800</v>
      </c>
      <c r="G107" s="60">
        <v>0</v>
      </c>
      <c r="H107" s="60"/>
      <c r="I107" s="59">
        <f t="shared" si="65"/>
        <v>44519054.709999993</v>
      </c>
      <c r="J107" s="61">
        <f>42584767.62+1833298.4</f>
        <v>44418066.019999996</v>
      </c>
      <c r="K107" s="65">
        <v>100988.69</v>
      </c>
      <c r="L107" s="65"/>
      <c r="M107" s="87">
        <f t="shared" si="61"/>
        <v>0.93349356081256751</v>
      </c>
      <c r="N107" s="87">
        <f t="shared" si="62"/>
        <v>0.93137598907965469</v>
      </c>
      <c r="O107" s="87" t="s">
        <v>382</v>
      </c>
      <c r="P107" s="87" t="str">
        <f t="shared" si="64"/>
        <v/>
      </c>
    </row>
    <row r="108" spans="1:16" s="38" customFormat="1" ht="36" x14ac:dyDescent="0.3">
      <c r="A108" s="24" t="s">
        <v>394</v>
      </c>
      <c r="B108" s="24">
        <v>7520</v>
      </c>
      <c r="C108" s="24" t="s">
        <v>367</v>
      </c>
      <c r="D108" s="80" t="s">
        <v>368</v>
      </c>
      <c r="E108" s="59">
        <f t="shared" ref="E108" si="80">F108+G108</f>
        <v>79440</v>
      </c>
      <c r="F108" s="60">
        <f>72400+7040</f>
        <v>79440</v>
      </c>
      <c r="G108" s="60">
        <v>0</v>
      </c>
      <c r="H108" s="60"/>
      <c r="I108" s="59">
        <f t="shared" ref="I108" si="81">J108+K108</f>
        <v>72236</v>
      </c>
      <c r="J108" s="61">
        <f>72236</f>
        <v>72236</v>
      </c>
      <c r="K108" s="65"/>
      <c r="L108" s="65"/>
      <c r="M108" s="87">
        <f t="shared" ref="M108" si="82">IFERROR((I108/E108),"")</f>
        <v>0.90931520644511576</v>
      </c>
      <c r="N108" s="87">
        <f t="shared" ref="N108" si="83">IFERROR((J108/F108),"")</f>
        <v>0.90931520644511576</v>
      </c>
      <c r="O108" s="87" t="str">
        <f t="shared" ref="O108" si="84">IFERROR((K108/G108),"")</f>
        <v/>
      </c>
      <c r="P108" s="87" t="str">
        <f t="shared" ref="P108" si="85">IFERROR((L108/H108),"")</f>
        <v/>
      </c>
    </row>
    <row r="109" spans="1:16" s="38" customFormat="1" ht="52.2" x14ac:dyDescent="0.3">
      <c r="A109" s="49" t="s">
        <v>312</v>
      </c>
      <c r="B109" s="17" t="s">
        <v>231</v>
      </c>
      <c r="C109" s="17" t="s">
        <v>231</v>
      </c>
      <c r="D109" s="18" t="s">
        <v>313</v>
      </c>
      <c r="E109" s="57">
        <f t="shared" ref="E109" si="86">F109+G109</f>
        <v>7153235</v>
      </c>
      <c r="F109" s="58">
        <f>F110</f>
        <v>2921500</v>
      </c>
      <c r="G109" s="58">
        <f>G110</f>
        <v>4231735</v>
      </c>
      <c r="H109" s="58">
        <f>H110</f>
        <v>4231735</v>
      </c>
      <c r="I109" s="57">
        <f t="shared" ref="I109" si="87">J109+K109</f>
        <v>2840745.5</v>
      </c>
      <c r="J109" s="66">
        <f>J110</f>
        <v>2820656.8</v>
      </c>
      <c r="K109" s="58">
        <f>K110</f>
        <v>20088.7</v>
      </c>
      <c r="L109" s="58">
        <f>L110</f>
        <v>0</v>
      </c>
      <c r="M109" s="86">
        <f t="shared" si="61"/>
        <v>0.3971273836243322</v>
      </c>
      <c r="N109" s="86">
        <f t="shared" si="62"/>
        <v>0.96548238918363849</v>
      </c>
      <c r="O109" s="86">
        <f t="shared" si="63"/>
        <v>4.7471545359054857E-3</v>
      </c>
      <c r="P109" s="86">
        <f t="shared" si="64"/>
        <v>0</v>
      </c>
    </row>
    <row r="110" spans="1:16" s="38" customFormat="1" ht="52.2" x14ac:dyDescent="0.3">
      <c r="A110" s="49" t="s">
        <v>314</v>
      </c>
      <c r="B110" s="17" t="s">
        <v>231</v>
      </c>
      <c r="C110" s="17" t="s">
        <v>231</v>
      </c>
      <c r="D110" s="18" t="s">
        <v>313</v>
      </c>
      <c r="E110" s="58">
        <f>F110+G110</f>
        <v>7153235</v>
      </c>
      <c r="F110" s="58">
        <f>F111+F112+F113</f>
        <v>2921500</v>
      </c>
      <c r="G110" s="58">
        <f t="shared" ref="G110:H110" si="88">G111+G112+G113</f>
        <v>4231735</v>
      </c>
      <c r="H110" s="58">
        <f t="shared" si="88"/>
        <v>4231735</v>
      </c>
      <c r="I110" s="58">
        <f>J110+K110</f>
        <v>2840745.5</v>
      </c>
      <c r="J110" s="58">
        <f>J111+J112+J113</f>
        <v>2820656.8</v>
      </c>
      <c r="K110" s="58">
        <f t="shared" ref="K110:L110" si="89">K111+K112+K113</f>
        <v>20088.7</v>
      </c>
      <c r="L110" s="58">
        <f t="shared" si="89"/>
        <v>0</v>
      </c>
      <c r="M110" s="86">
        <f t="shared" si="61"/>
        <v>0.3971273836243322</v>
      </c>
      <c r="N110" s="86">
        <f t="shared" si="62"/>
        <v>0.96548238918363849</v>
      </c>
      <c r="O110" s="86">
        <f t="shared" si="63"/>
        <v>4.7471545359054857E-3</v>
      </c>
      <c r="P110" s="86">
        <f t="shared" si="64"/>
        <v>0</v>
      </c>
    </row>
    <row r="111" spans="1:16" s="38" customFormat="1" ht="54" x14ac:dyDescent="0.3">
      <c r="A111" s="25" t="s">
        <v>315</v>
      </c>
      <c r="B111" s="19" t="s">
        <v>56</v>
      </c>
      <c r="C111" s="19" t="s">
        <v>2</v>
      </c>
      <c r="D111" s="20" t="s">
        <v>248</v>
      </c>
      <c r="E111" s="59">
        <f t="shared" si="58"/>
        <v>2666500</v>
      </c>
      <c r="F111" s="60">
        <v>2666500</v>
      </c>
      <c r="G111" s="60"/>
      <c r="H111" s="60"/>
      <c r="I111" s="59">
        <f t="shared" ref="I111:I174" si="90">J111+K111</f>
        <v>2635940.15</v>
      </c>
      <c r="J111" s="61">
        <v>2635940.15</v>
      </c>
      <c r="K111" s="65"/>
      <c r="L111" s="65"/>
      <c r="M111" s="87">
        <f t="shared" si="61"/>
        <v>0.98853933995874743</v>
      </c>
      <c r="N111" s="87">
        <f t="shared" si="62"/>
        <v>0.98853933995874743</v>
      </c>
      <c r="O111" s="87" t="str">
        <f t="shared" si="63"/>
        <v/>
      </c>
      <c r="P111" s="87" t="str">
        <f t="shared" si="64"/>
        <v/>
      </c>
    </row>
    <row r="112" spans="1:16" s="38" customFormat="1" ht="36" x14ac:dyDescent="0.3">
      <c r="A112" s="25" t="s">
        <v>316</v>
      </c>
      <c r="B112" s="19" t="s">
        <v>35</v>
      </c>
      <c r="C112" s="19" t="s">
        <v>19</v>
      </c>
      <c r="D112" s="20" t="s">
        <v>44</v>
      </c>
      <c r="E112" s="59">
        <f t="shared" si="58"/>
        <v>205000</v>
      </c>
      <c r="F112" s="60">
        <v>205000</v>
      </c>
      <c r="G112" s="60"/>
      <c r="H112" s="60"/>
      <c r="I112" s="59">
        <f t="shared" si="90"/>
        <v>204805.35</v>
      </c>
      <c r="J112" s="61">
        <v>184716.65</v>
      </c>
      <c r="K112" s="65">
        <v>20088.7</v>
      </c>
      <c r="L112" s="65"/>
      <c r="M112" s="87">
        <f t="shared" si="61"/>
        <v>0.99905048780487804</v>
      </c>
      <c r="N112" s="87">
        <f t="shared" si="62"/>
        <v>0.90105682926829267</v>
      </c>
      <c r="O112" s="87" t="s">
        <v>382</v>
      </c>
      <c r="P112" s="87" t="str">
        <f t="shared" si="64"/>
        <v/>
      </c>
    </row>
    <row r="113" spans="1:16" s="38" customFormat="1" ht="108" x14ac:dyDescent="0.3">
      <c r="A113" s="24" t="s">
        <v>395</v>
      </c>
      <c r="B113" s="23">
        <v>6083</v>
      </c>
      <c r="C113" s="24" t="s">
        <v>285</v>
      </c>
      <c r="D113" s="80" t="s">
        <v>396</v>
      </c>
      <c r="E113" s="59">
        <f t="shared" si="58"/>
        <v>4281735</v>
      </c>
      <c r="F113" s="60">
        <v>50000</v>
      </c>
      <c r="G113" s="60">
        <v>4231735</v>
      </c>
      <c r="H113" s="60">
        <v>4231735</v>
      </c>
      <c r="I113" s="59">
        <f t="shared" si="90"/>
        <v>0</v>
      </c>
      <c r="J113" s="61">
        <v>0</v>
      </c>
      <c r="K113" s="65"/>
      <c r="L113" s="65"/>
      <c r="M113" s="87"/>
      <c r="N113" s="87"/>
      <c r="O113" s="87"/>
      <c r="P113" s="87"/>
    </row>
    <row r="114" spans="1:16" s="37" customFormat="1" ht="34.799999999999997" x14ac:dyDescent="0.3">
      <c r="A114" s="17" t="s">
        <v>73</v>
      </c>
      <c r="B114" s="17" t="s">
        <v>231</v>
      </c>
      <c r="C114" s="17" t="s">
        <v>231</v>
      </c>
      <c r="D114" s="18" t="s">
        <v>259</v>
      </c>
      <c r="E114" s="57">
        <f t="shared" si="58"/>
        <v>57707110</v>
      </c>
      <c r="F114" s="58">
        <f>F115</f>
        <v>56212110</v>
      </c>
      <c r="G114" s="58">
        <f t="shared" ref="G114:H114" si="91">G115</f>
        <v>1495000</v>
      </c>
      <c r="H114" s="58">
        <f t="shared" si="91"/>
        <v>190000</v>
      </c>
      <c r="I114" s="57">
        <f t="shared" si="90"/>
        <v>53636952.419999994</v>
      </c>
      <c r="J114" s="66">
        <f>J115</f>
        <v>52419664.939999998</v>
      </c>
      <c r="K114" s="66">
        <f t="shared" ref="K114:L114" si="92">K115</f>
        <v>1217287.48</v>
      </c>
      <c r="L114" s="66">
        <f t="shared" si="92"/>
        <v>190000</v>
      </c>
      <c r="M114" s="86">
        <f t="shared" si="61"/>
        <v>0.92946869839782298</v>
      </c>
      <c r="N114" s="86">
        <f t="shared" si="62"/>
        <v>0.93253330892578123</v>
      </c>
      <c r="O114" s="86">
        <f t="shared" si="63"/>
        <v>0.81423911705685614</v>
      </c>
      <c r="P114" s="86">
        <f t="shared" si="64"/>
        <v>1</v>
      </c>
    </row>
    <row r="115" spans="1:16" s="37" customFormat="1" ht="34.799999999999997" x14ac:dyDescent="0.3">
      <c r="A115" s="17" t="s">
        <v>74</v>
      </c>
      <c r="B115" s="17" t="s">
        <v>231</v>
      </c>
      <c r="C115" s="17" t="s">
        <v>231</v>
      </c>
      <c r="D115" s="18" t="s">
        <v>259</v>
      </c>
      <c r="E115" s="57">
        <f t="shared" si="58"/>
        <v>57707110</v>
      </c>
      <c r="F115" s="58">
        <f>F116+F117+F118+F120+F121+F122+F123+F124+F119+F125</f>
        <v>56212110</v>
      </c>
      <c r="G115" s="58">
        <f t="shared" ref="G115:L115" si="93">G116+G117+G118+G120+G121+G122+G123+G124+G119</f>
        <v>1495000</v>
      </c>
      <c r="H115" s="58">
        <f t="shared" si="93"/>
        <v>190000</v>
      </c>
      <c r="I115" s="58">
        <f t="shared" si="93"/>
        <v>53622952.420000002</v>
      </c>
      <c r="J115" s="58">
        <f>J116+J117+J118+J120+J121+J122+J123+J124+J119+J125</f>
        <v>52419664.939999998</v>
      </c>
      <c r="K115" s="58">
        <f t="shared" si="93"/>
        <v>1217287.48</v>
      </c>
      <c r="L115" s="58">
        <f t="shared" si="93"/>
        <v>190000</v>
      </c>
      <c r="M115" s="86">
        <f t="shared" si="61"/>
        <v>0.92922609397698142</v>
      </c>
      <c r="N115" s="86">
        <f t="shared" si="62"/>
        <v>0.93253330892578123</v>
      </c>
      <c r="O115" s="86">
        <f t="shared" si="63"/>
        <v>0.81423911705685614</v>
      </c>
      <c r="P115" s="86">
        <f t="shared" si="64"/>
        <v>1</v>
      </c>
    </row>
    <row r="116" spans="1:16" s="38" customFormat="1" ht="54" x14ac:dyDescent="0.3">
      <c r="A116" s="19" t="s">
        <v>75</v>
      </c>
      <c r="B116" s="19" t="s">
        <v>56</v>
      </c>
      <c r="C116" s="19" t="s">
        <v>2</v>
      </c>
      <c r="D116" s="20" t="s">
        <v>248</v>
      </c>
      <c r="E116" s="59">
        <f t="shared" si="58"/>
        <v>1073100</v>
      </c>
      <c r="F116" s="60">
        <v>1073100</v>
      </c>
      <c r="G116" s="60"/>
      <c r="H116" s="60"/>
      <c r="I116" s="59">
        <f t="shared" si="90"/>
        <v>1072753.6299999999</v>
      </c>
      <c r="J116" s="61">
        <v>1072753.6299999999</v>
      </c>
      <c r="K116" s="61"/>
      <c r="L116" s="61"/>
      <c r="M116" s="87">
        <f t="shared" si="61"/>
        <v>0.99967722486254762</v>
      </c>
      <c r="N116" s="87">
        <f t="shared" si="62"/>
        <v>0.99967722486254762</v>
      </c>
      <c r="O116" s="87" t="str">
        <f t="shared" si="63"/>
        <v/>
      </c>
      <c r="P116" s="87" t="str">
        <f t="shared" si="64"/>
        <v/>
      </c>
    </row>
    <row r="117" spans="1:16" s="38" customFormat="1" ht="36" x14ac:dyDescent="0.3">
      <c r="A117" s="19" t="s">
        <v>260</v>
      </c>
      <c r="B117" s="19" t="s">
        <v>9</v>
      </c>
      <c r="C117" s="19" t="s">
        <v>5</v>
      </c>
      <c r="D117" s="20" t="s">
        <v>102</v>
      </c>
      <c r="E117" s="59">
        <f t="shared" si="58"/>
        <v>94810</v>
      </c>
      <c r="F117" s="60">
        <v>94810</v>
      </c>
      <c r="G117" s="60"/>
      <c r="H117" s="60"/>
      <c r="I117" s="59">
        <f t="shared" si="90"/>
        <v>94810</v>
      </c>
      <c r="J117" s="65">
        <v>94810</v>
      </c>
      <c r="K117" s="61"/>
      <c r="L117" s="61"/>
      <c r="M117" s="87">
        <f t="shared" si="61"/>
        <v>1</v>
      </c>
      <c r="N117" s="87">
        <f t="shared" si="62"/>
        <v>1</v>
      </c>
      <c r="O117" s="87" t="str">
        <f t="shared" si="63"/>
        <v/>
      </c>
      <c r="P117" s="87" t="str">
        <f t="shared" si="64"/>
        <v/>
      </c>
    </row>
    <row r="118" spans="1:16" s="38" customFormat="1" ht="36" x14ac:dyDescent="0.3">
      <c r="A118" s="19" t="s">
        <v>208</v>
      </c>
      <c r="B118" s="19" t="s">
        <v>209</v>
      </c>
      <c r="C118" s="19" t="s">
        <v>16</v>
      </c>
      <c r="D118" s="20" t="s">
        <v>261</v>
      </c>
      <c r="E118" s="59">
        <f t="shared" si="58"/>
        <v>26543300</v>
      </c>
      <c r="F118" s="60">
        <v>25518300</v>
      </c>
      <c r="G118" s="60">
        <v>1025000</v>
      </c>
      <c r="H118" s="60"/>
      <c r="I118" s="59">
        <f t="shared" si="90"/>
        <v>24769698.460000001</v>
      </c>
      <c r="J118" s="65">
        <v>24229339.600000001</v>
      </c>
      <c r="K118" s="61">
        <f>358348.86+182010</f>
        <v>540358.86</v>
      </c>
      <c r="L118" s="61"/>
      <c r="M118" s="87">
        <f t="shared" si="61"/>
        <v>0.93318082001861113</v>
      </c>
      <c r="N118" s="87">
        <f t="shared" si="62"/>
        <v>0.94948878255996683</v>
      </c>
      <c r="O118" s="87">
        <f t="shared" si="63"/>
        <v>0.52717937560975603</v>
      </c>
      <c r="P118" s="87" t="str">
        <f t="shared" si="64"/>
        <v/>
      </c>
    </row>
    <row r="119" spans="1:16" s="38" customFormat="1" ht="90" x14ac:dyDescent="0.3">
      <c r="A119" s="23">
        <v>1013140</v>
      </c>
      <c r="B119" s="23">
        <v>3140</v>
      </c>
      <c r="C119" s="23">
        <v>1040</v>
      </c>
      <c r="D119" s="20" t="s">
        <v>293</v>
      </c>
      <c r="E119" s="59">
        <f t="shared" si="58"/>
        <v>150000</v>
      </c>
      <c r="F119" s="60">
        <v>150000</v>
      </c>
      <c r="G119" s="60"/>
      <c r="H119" s="60"/>
      <c r="I119" s="59">
        <f t="shared" si="90"/>
        <v>149320</v>
      </c>
      <c r="J119" s="65">
        <v>149320</v>
      </c>
      <c r="K119" s="61"/>
      <c r="L119" s="61"/>
      <c r="M119" s="87">
        <f t="shared" si="61"/>
        <v>0.99546666666666672</v>
      </c>
      <c r="N119" s="87">
        <f t="shared" si="62"/>
        <v>0.99546666666666672</v>
      </c>
      <c r="O119" s="87" t="str">
        <f t="shared" si="63"/>
        <v/>
      </c>
      <c r="P119" s="87" t="str">
        <f t="shared" si="64"/>
        <v/>
      </c>
    </row>
    <row r="120" spans="1:16" s="38" customFormat="1" ht="36" x14ac:dyDescent="0.3">
      <c r="A120" s="19" t="s">
        <v>77</v>
      </c>
      <c r="B120" s="19" t="s">
        <v>76</v>
      </c>
      <c r="C120" s="19" t="s">
        <v>37</v>
      </c>
      <c r="D120" s="20" t="s">
        <v>78</v>
      </c>
      <c r="E120" s="59">
        <f t="shared" si="58"/>
        <v>9660300</v>
      </c>
      <c r="F120" s="60">
        <v>9580300</v>
      </c>
      <c r="G120" s="60">
        <v>80000</v>
      </c>
      <c r="H120" s="60"/>
      <c r="I120" s="59">
        <f t="shared" si="90"/>
        <v>9050588</v>
      </c>
      <c r="J120" s="61">
        <v>8834563.5</v>
      </c>
      <c r="K120" s="61">
        <f>80224.5+135800</f>
        <v>216024.5</v>
      </c>
      <c r="L120" s="61"/>
      <c r="M120" s="87">
        <f t="shared" si="61"/>
        <v>0.93688477583511898</v>
      </c>
      <c r="N120" s="87">
        <f t="shared" si="62"/>
        <v>0.92215937914261559</v>
      </c>
      <c r="O120" s="87" t="s">
        <v>417</v>
      </c>
      <c r="P120" s="87" t="str">
        <f t="shared" si="64"/>
        <v/>
      </c>
    </row>
    <row r="121" spans="1:16" s="38" customFormat="1" ht="36" x14ac:dyDescent="0.3">
      <c r="A121" s="19" t="s">
        <v>80</v>
      </c>
      <c r="B121" s="19" t="s">
        <v>79</v>
      </c>
      <c r="C121" s="19" t="s">
        <v>37</v>
      </c>
      <c r="D121" s="20" t="s">
        <v>262</v>
      </c>
      <c r="E121" s="59">
        <f t="shared" si="58"/>
        <v>4372600</v>
      </c>
      <c r="F121" s="60">
        <v>4142600</v>
      </c>
      <c r="G121" s="60">
        <f>190000+40000</f>
        <v>230000</v>
      </c>
      <c r="H121" s="60">
        <v>190000</v>
      </c>
      <c r="I121" s="59">
        <f t="shared" si="90"/>
        <v>4167594.03</v>
      </c>
      <c r="J121" s="61">
        <v>3823220.51</v>
      </c>
      <c r="K121" s="61">
        <f>190000+34381.52+119992</f>
        <v>344373.52</v>
      </c>
      <c r="L121" s="61">
        <v>190000</v>
      </c>
      <c r="M121" s="87">
        <f t="shared" si="61"/>
        <v>0.95311577322416863</v>
      </c>
      <c r="N121" s="87">
        <f t="shared" si="62"/>
        <v>0.92290361367257268</v>
      </c>
      <c r="O121" s="87" t="s">
        <v>418</v>
      </c>
      <c r="P121" s="87">
        <f t="shared" si="64"/>
        <v>1</v>
      </c>
    </row>
    <row r="122" spans="1:16" s="38" customFormat="1" ht="54" x14ac:dyDescent="0.3">
      <c r="A122" s="19" t="s">
        <v>81</v>
      </c>
      <c r="B122" s="19" t="s">
        <v>36</v>
      </c>
      <c r="C122" s="19" t="s">
        <v>38</v>
      </c>
      <c r="D122" s="20" t="s">
        <v>263</v>
      </c>
      <c r="E122" s="59">
        <f t="shared" si="58"/>
        <v>12893200</v>
      </c>
      <c r="F122" s="60">
        <v>12733200</v>
      </c>
      <c r="G122" s="60">
        <v>160000</v>
      </c>
      <c r="H122" s="60"/>
      <c r="I122" s="59">
        <f t="shared" si="90"/>
        <v>11536926.83</v>
      </c>
      <c r="J122" s="61">
        <v>11420396.23</v>
      </c>
      <c r="K122" s="61">
        <v>116530.6</v>
      </c>
      <c r="L122" s="61"/>
      <c r="M122" s="87">
        <f t="shared" si="61"/>
        <v>0.89480709443737783</v>
      </c>
      <c r="N122" s="87">
        <f t="shared" si="62"/>
        <v>0.89689914789683667</v>
      </c>
      <c r="O122" s="87">
        <f t="shared" si="63"/>
        <v>0.72831625</v>
      </c>
      <c r="P122" s="87" t="str">
        <f t="shared" si="64"/>
        <v/>
      </c>
    </row>
    <row r="123" spans="1:16" s="38" customFormat="1" ht="36" x14ac:dyDescent="0.3">
      <c r="A123" s="19" t="s">
        <v>151</v>
      </c>
      <c r="B123" s="19" t="s">
        <v>132</v>
      </c>
      <c r="C123" s="19" t="s">
        <v>39</v>
      </c>
      <c r="D123" s="20" t="s">
        <v>133</v>
      </c>
      <c r="E123" s="59">
        <f t="shared" si="58"/>
        <v>2585800</v>
      </c>
      <c r="F123" s="60">
        <v>2585800</v>
      </c>
      <c r="G123" s="60"/>
      <c r="H123" s="60"/>
      <c r="I123" s="59">
        <f t="shared" si="90"/>
        <v>2474337.4700000002</v>
      </c>
      <c r="J123" s="61">
        <v>2474337.4700000002</v>
      </c>
      <c r="K123" s="61"/>
      <c r="L123" s="61"/>
      <c r="M123" s="87">
        <f t="shared" si="61"/>
        <v>0.95689437311470349</v>
      </c>
      <c r="N123" s="87">
        <f t="shared" si="62"/>
        <v>0.95689437311470349</v>
      </c>
      <c r="O123" s="87" t="str">
        <f t="shared" si="63"/>
        <v/>
      </c>
      <c r="P123" s="87" t="str">
        <f t="shared" si="64"/>
        <v/>
      </c>
    </row>
    <row r="124" spans="1:16" s="38" customFormat="1" ht="18" x14ac:dyDescent="0.3">
      <c r="A124" s="19" t="s">
        <v>130</v>
      </c>
      <c r="B124" s="19" t="s">
        <v>131</v>
      </c>
      <c r="C124" s="19" t="s">
        <v>39</v>
      </c>
      <c r="D124" s="20" t="s">
        <v>134</v>
      </c>
      <c r="E124" s="59">
        <f t="shared" si="58"/>
        <v>320000</v>
      </c>
      <c r="F124" s="60">
        <v>320000</v>
      </c>
      <c r="G124" s="60"/>
      <c r="H124" s="60"/>
      <c r="I124" s="59">
        <f t="shared" si="90"/>
        <v>306924</v>
      </c>
      <c r="J124" s="61">
        <v>306924</v>
      </c>
      <c r="K124" s="61"/>
      <c r="L124" s="61"/>
      <c r="M124" s="87">
        <f t="shared" si="61"/>
        <v>0.95913749999999998</v>
      </c>
      <c r="N124" s="87">
        <f t="shared" si="62"/>
        <v>0.95913749999999998</v>
      </c>
      <c r="O124" s="87" t="str">
        <f t="shared" si="63"/>
        <v/>
      </c>
      <c r="P124" s="87" t="str">
        <f t="shared" si="64"/>
        <v/>
      </c>
    </row>
    <row r="125" spans="1:16" s="38" customFormat="1" ht="36" x14ac:dyDescent="0.3">
      <c r="A125" s="23">
        <v>1017520</v>
      </c>
      <c r="B125" s="23">
        <v>7520</v>
      </c>
      <c r="C125" s="24" t="s">
        <v>367</v>
      </c>
      <c r="D125" s="80" t="s">
        <v>368</v>
      </c>
      <c r="E125" s="59">
        <f t="shared" si="58"/>
        <v>14000</v>
      </c>
      <c r="F125" s="60">
        <v>14000</v>
      </c>
      <c r="G125" s="60"/>
      <c r="H125" s="60"/>
      <c r="I125" s="59">
        <f t="shared" si="90"/>
        <v>14000</v>
      </c>
      <c r="J125" s="61">
        <v>14000</v>
      </c>
      <c r="K125" s="61"/>
      <c r="L125" s="61"/>
      <c r="M125" s="87">
        <f t="shared" si="61"/>
        <v>1</v>
      </c>
      <c r="N125" s="87">
        <f t="shared" si="62"/>
        <v>1</v>
      </c>
      <c r="O125" s="87"/>
      <c r="P125" s="87"/>
    </row>
    <row r="126" spans="1:16" s="36" customFormat="1" ht="52.2" x14ac:dyDescent="0.3">
      <c r="A126" s="17" t="s">
        <v>23</v>
      </c>
      <c r="B126" s="17" t="s">
        <v>231</v>
      </c>
      <c r="C126" s="17" t="s">
        <v>231</v>
      </c>
      <c r="D126" s="18" t="s">
        <v>264</v>
      </c>
      <c r="E126" s="57">
        <f t="shared" si="58"/>
        <v>7397674</v>
      </c>
      <c r="F126" s="58">
        <f>F127</f>
        <v>7397674</v>
      </c>
      <c r="G126" s="66">
        <f>G127</f>
        <v>0</v>
      </c>
      <c r="H126" s="66">
        <f>H127</f>
        <v>0</v>
      </c>
      <c r="I126" s="57">
        <f t="shared" si="90"/>
        <v>6875567.5300000003</v>
      </c>
      <c r="J126" s="66">
        <f>J127</f>
        <v>6875567.5300000003</v>
      </c>
      <c r="K126" s="66">
        <f>K127</f>
        <v>0</v>
      </c>
      <c r="L126" s="66">
        <f>L127</f>
        <v>0</v>
      </c>
      <c r="M126" s="86">
        <f t="shared" si="61"/>
        <v>0.92942288751842816</v>
      </c>
      <c r="N126" s="86">
        <f t="shared" si="62"/>
        <v>0.92942288751842816</v>
      </c>
      <c r="O126" s="86" t="str">
        <f t="shared" si="63"/>
        <v/>
      </c>
      <c r="P126" s="86" t="str">
        <f t="shared" si="64"/>
        <v/>
      </c>
    </row>
    <row r="127" spans="1:16" s="37" customFormat="1" ht="52.2" x14ac:dyDescent="0.3">
      <c r="A127" s="17" t="s">
        <v>24</v>
      </c>
      <c r="B127" s="17" t="s">
        <v>231</v>
      </c>
      <c r="C127" s="17" t="s">
        <v>231</v>
      </c>
      <c r="D127" s="18" t="s">
        <v>264</v>
      </c>
      <c r="E127" s="57">
        <f t="shared" si="58"/>
        <v>7397674</v>
      </c>
      <c r="F127" s="58">
        <f>F128+F129+F130+F131+F132+F134+F133</f>
        <v>7397674</v>
      </c>
      <c r="G127" s="58">
        <f>G128+G129+G130+G131+G132+G134</f>
        <v>0</v>
      </c>
      <c r="H127" s="58">
        <f>H128+H129+H130+H131+H132+H134</f>
        <v>0</v>
      </c>
      <c r="I127" s="58">
        <f>I128+I129+I130+I131+I132+I134+I133</f>
        <v>6875567.5300000003</v>
      </c>
      <c r="J127" s="58">
        <f>J128+J129+J130+J131+J132+J134+J133</f>
        <v>6875567.5300000003</v>
      </c>
      <c r="K127" s="66">
        <f>SUM(K128:K134)</f>
        <v>0</v>
      </c>
      <c r="L127" s="66">
        <f>SUM(L128:L134)</f>
        <v>0</v>
      </c>
      <c r="M127" s="86">
        <f t="shared" si="61"/>
        <v>0.92942288751842816</v>
      </c>
      <c r="N127" s="86">
        <f t="shared" si="62"/>
        <v>0.92942288751842816</v>
      </c>
      <c r="O127" s="86" t="str">
        <f t="shared" si="63"/>
        <v/>
      </c>
      <c r="P127" s="86" t="str">
        <f t="shared" si="64"/>
        <v/>
      </c>
    </row>
    <row r="128" spans="1:16" s="38" customFormat="1" ht="54" x14ac:dyDescent="0.3">
      <c r="A128" s="19" t="s">
        <v>82</v>
      </c>
      <c r="B128" s="19" t="s">
        <v>56</v>
      </c>
      <c r="C128" s="19" t="s">
        <v>2</v>
      </c>
      <c r="D128" s="20" t="s">
        <v>248</v>
      </c>
      <c r="E128" s="59">
        <f t="shared" si="58"/>
        <v>2242100</v>
      </c>
      <c r="F128" s="60">
        <v>2242100</v>
      </c>
      <c r="G128" s="60"/>
      <c r="H128" s="60"/>
      <c r="I128" s="59">
        <f t="shared" si="90"/>
        <v>2223601.79</v>
      </c>
      <c r="J128" s="61">
        <v>2223601.79</v>
      </c>
      <c r="K128" s="61"/>
      <c r="L128" s="61"/>
      <c r="M128" s="87">
        <f t="shared" si="61"/>
        <v>0.99174960528076361</v>
      </c>
      <c r="N128" s="87">
        <f t="shared" si="62"/>
        <v>0.99174960528076361</v>
      </c>
      <c r="O128" s="87" t="str">
        <f t="shared" si="63"/>
        <v/>
      </c>
      <c r="P128" s="87" t="str">
        <f t="shared" si="64"/>
        <v/>
      </c>
    </row>
    <row r="129" spans="1:16" s="38" customFormat="1" ht="36" x14ac:dyDescent="0.3">
      <c r="A129" s="19" t="s">
        <v>265</v>
      </c>
      <c r="B129" s="19" t="s">
        <v>9</v>
      </c>
      <c r="C129" s="19" t="s">
        <v>5</v>
      </c>
      <c r="D129" s="20" t="s">
        <v>102</v>
      </c>
      <c r="E129" s="59">
        <f t="shared" si="58"/>
        <v>64630</v>
      </c>
      <c r="F129" s="60">
        <v>64630</v>
      </c>
      <c r="G129" s="60"/>
      <c r="H129" s="60"/>
      <c r="I129" s="59">
        <f t="shared" si="90"/>
        <v>64630</v>
      </c>
      <c r="J129" s="61">
        <v>64630</v>
      </c>
      <c r="K129" s="61"/>
      <c r="L129" s="61"/>
      <c r="M129" s="87">
        <f t="shared" si="61"/>
        <v>1</v>
      </c>
      <c r="N129" s="87">
        <f t="shared" si="62"/>
        <v>1</v>
      </c>
      <c r="O129" s="87" t="str">
        <f t="shared" si="63"/>
        <v/>
      </c>
      <c r="P129" s="87" t="str">
        <f t="shared" si="64"/>
        <v/>
      </c>
    </row>
    <row r="130" spans="1:16" s="38" customFormat="1" ht="18" x14ac:dyDescent="0.3">
      <c r="A130" s="19" t="s">
        <v>85</v>
      </c>
      <c r="B130" s="19" t="s">
        <v>84</v>
      </c>
      <c r="C130" s="19" t="s">
        <v>19</v>
      </c>
      <c r="D130" s="20" t="s">
        <v>49</v>
      </c>
      <c r="E130" s="59">
        <f t="shared" si="58"/>
        <v>1930300</v>
      </c>
      <c r="F130" s="60">
        <f>913000+1017300</f>
        <v>1930300</v>
      </c>
      <c r="G130" s="60"/>
      <c r="H130" s="60"/>
      <c r="I130" s="59">
        <f t="shared" si="90"/>
        <v>1580874.62</v>
      </c>
      <c r="J130" s="61">
        <f>597261+983613.62</f>
        <v>1580874.62</v>
      </c>
      <c r="K130" s="61"/>
      <c r="L130" s="61"/>
      <c r="M130" s="87">
        <f t="shared" si="61"/>
        <v>0.81897871833393776</v>
      </c>
      <c r="N130" s="87">
        <f t="shared" si="62"/>
        <v>0.81897871833393776</v>
      </c>
      <c r="O130" s="87" t="str">
        <f t="shared" si="63"/>
        <v/>
      </c>
      <c r="P130" s="87" t="str">
        <f t="shared" si="64"/>
        <v/>
      </c>
    </row>
    <row r="131" spans="1:16" s="38" customFormat="1" ht="36" x14ac:dyDescent="0.3">
      <c r="A131" s="19" t="s">
        <v>26</v>
      </c>
      <c r="B131" s="19" t="s">
        <v>25</v>
      </c>
      <c r="C131" s="19" t="s">
        <v>20</v>
      </c>
      <c r="D131" s="20" t="s">
        <v>43</v>
      </c>
      <c r="E131" s="59">
        <f t="shared" si="58"/>
        <v>895000</v>
      </c>
      <c r="F131" s="60">
        <v>895000</v>
      </c>
      <c r="G131" s="60"/>
      <c r="H131" s="60"/>
      <c r="I131" s="59">
        <f t="shared" si="90"/>
        <v>836113.29</v>
      </c>
      <c r="J131" s="61">
        <v>836113.29</v>
      </c>
      <c r="K131" s="61"/>
      <c r="L131" s="61"/>
      <c r="M131" s="87">
        <f t="shared" si="61"/>
        <v>0.93420479329608941</v>
      </c>
      <c r="N131" s="87">
        <f t="shared" si="62"/>
        <v>0.93420479329608941</v>
      </c>
      <c r="O131" s="87" t="str">
        <f t="shared" si="63"/>
        <v/>
      </c>
      <c r="P131" s="87" t="str">
        <f t="shared" si="64"/>
        <v/>
      </c>
    </row>
    <row r="132" spans="1:16" s="38" customFormat="1" ht="36" x14ac:dyDescent="0.3">
      <c r="A132" s="19" t="s">
        <v>45</v>
      </c>
      <c r="B132" s="19" t="s">
        <v>46</v>
      </c>
      <c r="C132" s="19" t="s">
        <v>20</v>
      </c>
      <c r="D132" s="20" t="s">
        <v>47</v>
      </c>
      <c r="E132" s="59">
        <f t="shared" si="58"/>
        <v>320000</v>
      </c>
      <c r="F132" s="60">
        <v>320000</v>
      </c>
      <c r="G132" s="60"/>
      <c r="H132" s="60"/>
      <c r="I132" s="59">
        <f t="shared" si="90"/>
        <v>315070.63</v>
      </c>
      <c r="J132" s="61">
        <v>315070.63</v>
      </c>
      <c r="K132" s="61"/>
      <c r="L132" s="61"/>
      <c r="M132" s="87">
        <f t="shared" si="61"/>
        <v>0.98459571874999996</v>
      </c>
      <c r="N132" s="87">
        <f t="shared" si="62"/>
        <v>0.98459571874999996</v>
      </c>
      <c r="O132" s="87" t="str">
        <f t="shared" si="63"/>
        <v/>
      </c>
      <c r="P132" s="87" t="str">
        <f t="shared" si="64"/>
        <v/>
      </c>
    </row>
    <row r="133" spans="1:16" s="38" customFormat="1" ht="54" x14ac:dyDescent="0.3">
      <c r="A133" s="77" t="s">
        <v>355</v>
      </c>
      <c r="B133" s="77" t="s">
        <v>356</v>
      </c>
      <c r="C133" s="77" t="s">
        <v>20</v>
      </c>
      <c r="D133" s="81" t="s">
        <v>357</v>
      </c>
      <c r="E133" s="59">
        <f t="shared" ref="E133" si="94">F133+G133</f>
        <v>103944</v>
      </c>
      <c r="F133" s="60">
        <v>103944</v>
      </c>
      <c r="G133" s="60"/>
      <c r="H133" s="60"/>
      <c r="I133" s="59">
        <f t="shared" si="90"/>
        <v>83155.199999999997</v>
      </c>
      <c r="J133" s="61">
        <v>83155.199999999997</v>
      </c>
      <c r="K133" s="61"/>
      <c r="L133" s="61"/>
      <c r="M133" s="87">
        <f t="shared" si="61"/>
        <v>0.79999999999999993</v>
      </c>
      <c r="N133" s="87">
        <f t="shared" si="62"/>
        <v>0.79999999999999993</v>
      </c>
      <c r="O133" s="87" t="str">
        <f t="shared" si="63"/>
        <v/>
      </c>
      <c r="P133" s="87" t="str">
        <f t="shared" si="64"/>
        <v/>
      </c>
    </row>
    <row r="134" spans="1:16" s="38" customFormat="1" ht="72" x14ac:dyDescent="0.3">
      <c r="A134" s="19" t="s">
        <v>50</v>
      </c>
      <c r="B134" s="19" t="s">
        <v>51</v>
      </c>
      <c r="C134" s="19" t="s">
        <v>20</v>
      </c>
      <c r="D134" s="20" t="s">
        <v>266</v>
      </c>
      <c r="E134" s="59">
        <f t="shared" si="58"/>
        <v>1841700</v>
      </c>
      <c r="F134" s="60">
        <v>1841700</v>
      </c>
      <c r="G134" s="60"/>
      <c r="H134" s="60"/>
      <c r="I134" s="59">
        <f t="shared" si="90"/>
        <v>1772122</v>
      </c>
      <c r="J134" s="61">
        <v>1772122</v>
      </c>
      <c r="K134" s="61"/>
      <c r="L134" s="61"/>
      <c r="M134" s="87">
        <f t="shared" si="61"/>
        <v>0.96222077428462838</v>
      </c>
      <c r="N134" s="87">
        <f t="shared" si="62"/>
        <v>0.96222077428462838</v>
      </c>
      <c r="O134" s="87" t="str">
        <f t="shared" si="63"/>
        <v/>
      </c>
      <c r="P134" s="87" t="str">
        <f t="shared" si="64"/>
        <v/>
      </c>
    </row>
    <row r="135" spans="1:16" s="37" customFormat="1" ht="52.2" x14ac:dyDescent="0.3">
      <c r="A135" s="17" t="s">
        <v>86</v>
      </c>
      <c r="B135" s="17" t="s">
        <v>231</v>
      </c>
      <c r="C135" s="17" t="s">
        <v>231</v>
      </c>
      <c r="D135" s="18" t="s">
        <v>267</v>
      </c>
      <c r="E135" s="57">
        <f t="shared" si="58"/>
        <v>200111245.11000001</v>
      </c>
      <c r="F135" s="58">
        <f>F136</f>
        <v>166690017.22000003</v>
      </c>
      <c r="G135" s="58">
        <f t="shared" ref="G135:H135" si="95">G136</f>
        <v>33421227.890000001</v>
      </c>
      <c r="H135" s="58">
        <f t="shared" si="95"/>
        <v>32130880.16</v>
      </c>
      <c r="I135" s="57">
        <f t="shared" si="90"/>
        <v>187900768.24999997</v>
      </c>
      <c r="J135" s="66">
        <f>J136</f>
        <v>162345108.42999998</v>
      </c>
      <c r="K135" s="66">
        <f t="shared" ref="K135:L135" si="96">K136</f>
        <v>25555659.82</v>
      </c>
      <c r="L135" s="66">
        <f t="shared" si="96"/>
        <v>23669381.730000004</v>
      </c>
      <c r="M135" s="86">
        <f t="shared" si="61"/>
        <v>0.93898155571773079</v>
      </c>
      <c r="N135" s="86">
        <f t="shared" si="62"/>
        <v>0.97393419916523516</v>
      </c>
      <c r="O135" s="86">
        <f t="shared" si="63"/>
        <v>0.76465352811428378</v>
      </c>
      <c r="P135" s="86">
        <f t="shared" si="64"/>
        <v>0.73665525538470045</v>
      </c>
    </row>
    <row r="136" spans="1:16" s="38" customFormat="1" ht="52.2" x14ac:dyDescent="0.3">
      <c r="A136" s="17" t="s">
        <v>87</v>
      </c>
      <c r="B136" s="17" t="s">
        <v>231</v>
      </c>
      <c r="C136" s="17" t="s">
        <v>231</v>
      </c>
      <c r="D136" s="18" t="s">
        <v>267</v>
      </c>
      <c r="E136" s="57">
        <f t="shared" si="58"/>
        <v>200111245.11000001</v>
      </c>
      <c r="F136" s="58">
        <f>SUM(F137:F160)</f>
        <v>166690017.22000003</v>
      </c>
      <c r="G136" s="58">
        <f t="shared" ref="G136:L136" si="97">SUM(G137:G160)</f>
        <v>33421227.890000001</v>
      </c>
      <c r="H136" s="58">
        <f t="shared" si="97"/>
        <v>32130880.16</v>
      </c>
      <c r="I136" s="58">
        <f t="shared" si="97"/>
        <v>187900768.25</v>
      </c>
      <c r="J136" s="58">
        <f t="shared" si="97"/>
        <v>162345108.42999998</v>
      </c>
      <c r="K136" s="58">
        <f t="shared" si="97"/>
        <v>25555659.82</v>
      </c>
      <c r="L136" s="58">
        <f t="shared" si="97"/>
        <v>23669381.730000004</v>
      </c>
      <c r="M136" s="86">
        <f t="shared" si="61"/>
        <v>0.93898155571773101</v>
      </c>
      <c r="N136" s="86">
        <f t="shared" si="62"/>
        <v>0.97393419916523516</v>
      </c>
      <c r="O136" s="86">
        <f t="shared" si="63"/>
        <v>0.76465352811428378</v>
      </c>
      <c r="P136" s="86">
        <f t="shared" si="64"/>
        <v>0.73665525538470045</v>
      </c>
    </row>
    <row r="137" spans="1:16" s="41" customFormat="1" ht="54" x14ac:dyDescent="0.3">
      <c r="A137" s="19" t="s">
        <v>88</v>
      </c>
      <c r="B137" s="19" t="s">
        <v>56</v>
      </c>
      <c r="C137" s="19" t="s">
        <v>2</v>
      </c>
      <c r="D137" s="20" t="s">
        <v>248</v>
      </c>
      <c r="E137" s="59">
        <f t="shared" si="58"/>
        <v>4206808</v>
      </c>
      <c r="F137" s="60">
        <v>4206808</v>
      </c>
      <c r="G137" s="60"/>
      <c r="H137" s="60"/>
      <c r="I137" s="59">
        <f t="shared" si="90"/>
        <v>3928963.96</v>
      </c>
      <c r="J137" s="61">
        <v>3928963.96</v>
      </c>
      <c r="K137" s="61"/>
      <c r="L137" s="61"/>
      <c r="M137" s="87">
        <f t="shared" si="61"/>
        <v>0.93395371502573921</v>
      </c>
      <c r="N137" s="87">
        <f t="shared" si="62"/>
        <v>0.93395371502573921</v>
      </c>
      <c r="O137" s="87" t="str">
        <f t="shared" si="63"/>
        <v/>
      </c>
      <c r="P137" s="87" t="str">
        <f t="shared" si="64"/>
        <v/>
      </c>
    </row>
    <row r="138" spans="1:16" s="38" customFormat="1" ht="54" x14ac:dyDescent="0.3">
      <c r="A138" s="19" t="s">
        <v>187</v>
      </c>
      <c r="B138" s="19" t="s">
        <v>109</v>
      </c>
      <c r="C138" s="19" t="s">
        <v>110</v>
      </c>
      <c r="D138" s="20" t="s">
        <v>111</v>
      </c>
      <c r="E138" s="59">
        <f t="shared" si="58"/>
        <v>4600</v>
      </c>
      <c r="F138" s="60">
        <v>4600</v>
      </c>
      <c r="G138" s="60"/>
      <c r="H138" s="60"/>
      <c r="I138" s="59">
        <f t="shared" si="90"/>
        <v>4600</v>
      </c>
      <c r="J138" s="61">
        <v>4600</v>
      </c>
      <c r="K138" s="61"/>
      <c r="L138" s="61"/>
      <c r="M138" s="87">
        <f t="shared" si="61"/>
        <v>1</v>
      </c>
      <c r="N138" s="87">
        <f t="shared" si="62"/>
        <v>1</v>
      </c>
      <c r="O138" s="87" t="str">
        <f t="shared" si="63"/>
        <v/>
      </c>
      <c r="P138" s="87" t="str">
        <f t="shared" si="64"/>
        <v/>
      </c>
    </row>
    <row r="139" spans="1:16" s="38" customFormat="1" ht="36" x14ac:dyDescent="0.3">
      <c r="A139" s="19" t="s">
        <v>268</v>
      </c>
      <c r="B139" s="19" t="s">
        <v>9</v>
      </c>
      <c r="C139" s="19" t="s">
        <v>5</v>
      </c>
      <c r="D139" s="20" t="s">
        <v>102</v>
      </c>
      <c r="E139" s="59">
        <f t="shared" si="58"/>
        <v>49900</v>
      </c>
      <c r="F139" s="60">
        <v>49900</v>
      </c>
      <c r="G139" s="60"/>
      <c r="H139" s="60"/>
      <c r="I139" s="59">
        <f t="shared" si="90"/>
        <v>49900</v>
      </c>
      <c r="J139" s="61">
        <v>49900</v>
      </c>
      <c r="K139" s="61"/>
      <c r="L139" s="61"/>
      <c r="M139" s="87">
        <f t="shared" si="61"/>
        <v>1</v>
      </c>
      <c r="N139" s="87">
        <f t="shared" si="62"/>
        <v>1</v>
      </c>
      <c r="O139" s="87" t="str">
        <f t="shared" si="63"/>
        <v/>
      </c>
      <c r="P139" s="87" t="str">
        <f t="shared" si="64"/>
        <v/>
      </c>
    </row>
    <row r="140" spans="1:16" s="38" customFormat="1" ht="18" x14ac:dyDescent="0.3">
      <c r="A140" s="19" t="s">
        <v>139</v>
      </c>
      <c r="B140" s="19" t="s">
        <v>138</v>
      </c>
      <c r="C140" s="19" t="s">
        <v>118</v>
      </c>
      <c r="D140" s="20" t="s">
        <v>119</v>
      </c>
      <c r="E140" s="59">
        <f t="shared" si="58"/>
        <v>30000</v>
      </c>
      <c r="F140" s="60">
        <v>30000</v>
      </c>
      <c r="G140" s="60"/>
      <c r="H140" s="60"/>
      <c r="I140" s="59">
        <f t="shared" si="90"/>
        <v>9763.66</v>
      </c>
      <c r="J140" s="61">
        <v>9763.66</v>
      </c>
      <c r="K140" s="61"/>
      <c r="L140" s="61"/>
      <c r="M140" s="87">
        <f t="shared" si="61"/>
        <v>0.32545533333333332</v>
      </c>
      <c r="N140" s="87">
        <f t="shared" si="62"/>
        <v>0.32545533333333332</v>
      </c>
      <c r="O140" s="87" t="str">
        <f t="shared" si="63"/>
        <v/>
      </c>
      <c r="P140" s="87" t="str">
        <f t="shared" si="64"/>
        <v/>
      </c>
    </row>
    <row r="141" spans="1:16" s="38" customFormat="1" ht="36" x14ac:dyDescent="0.3">
      <c r="A141" s="27">
        <v>1216011</v>
      </c>
      <c r="B141" s="27">
        <v>6011</v>
      </c>
      <c r="C141" s="24" t="s">
        <v>285</v>
      </c>
      <c r="D141" s="28" t="s">
        <v>99</v>
      </c>
      <c r="E141" s="59">
        <f t="shared" si="58"/>
        <v>5712895</v>
      </c>
      <c r="F141" s="60">
        <v>319069</v>
      </c>
      <c r="G141" s="60">
        <v>5393826</v>
      </c>
      <c r="H141" s="60">
        <v>5393826</v>
      </c>
      <c r="I141" s="59">
        <f t="shared" si="90"/>
        <v>3375920.46</v>
      </c>
      <c r="J141" s="61"/>
      <c r="K141" s="61">
        <v>3375920.46</v>
      </c>
      <c r="L141" s="61">
        <v>3375920.46</v>
      </c>
      <c r="M141" s="87">
        <f t="shared" si="61"/>
        <v>0.59092989806394125</v>
      </c>
      <c r="N141" s="87">
        <f t="shared" si="62"/>
        <v>0</v>
      </c>
      <c r="O141" s="87">
        <f t="shared" si="63"/>
        <v>0.62588605194160873</v>
      </c>
      <c r="P141" s="87">
        <f t="shared" si="64"/>
        <v>0.62588605194160873</v>
      </c>
    </row>
    <row r="142" spans="1:16" s="38" customFormat="1" ht="36" x14ac:dyDescent="0.3">
      <c r="A142" s="23">
        <v>1216013</v>
      </c>
      <c r="B142" s="23">
        <v>6013</v>
      </c>
      <c r="C142" s="24" t="s">
        <v>8</v>
      </c>
      <c r="D142" s="80" t="s">
        <v>100</v>
      </c>
      <c r="E142" s="59">
        <f t="shared" ref="E142" si="98">F142+G142</f>
        <v>2134503</v>
      </c>
      <c r="F142" s="60">
        <v>59940</v>
      </c>
      <c r="G142" s="60">
        <v>2074563</v>
      </c>
      <c r="H142" s="60">
        <v>2074563</v>
      </c>
      <c r="I142" s="59">
        <f t="shared" si="90"/>
        <v>2134448.5</v>
      </c>
      <c r="J142" s="61">
        <v>59886</v>
      </c>
      <c r="K142" s="61">
        <v>2074562.5</v>
      </c>
      <c r="L142" s="61">
        <v>2074562.5</v>
      </c>
      <c r="M142" s="87">
        <f t="shared" si="61"/>
        <v>0.99997446712419702</v>
      </c>
      <c r="N142" s="87">
        <f t="shared" si="62"/>
        <v>0.99909909909909911</v>
      </c>
      <c r="O142" s="87">
        <f t="shared" si="63"/>
        <v>0.99999975898538629</v>
      </c>
      <c r="P142" s="87">
        <f t="shared" si="64"/>
        <v>0.99999975898538629</v>
      </c>
    </row>
    <row r="143" spans="1:16" s="38" customFormat="1" ht="36" x14ac:dyDescent="0.3">
      <c r="A143" s="19" t="s">
        <v>121</v>
      </c>
      <c r="B143" s="19" t="s">
        <v>120</v>
      </c>
      <c r="C143" s="19" t="s">
        <v>8</v>
      </c>
      <c r="D143" s="20" t="s">
        <v>122</v>
      </c>
      <c r="E143" s="59">
        <f t="shared" si="58"/>
        <v>1834392.76</v>
      </c>
      <c r="F143" s="60"/>
      <c r="G143" s="60">
        <v>1834392.76</v>
      </c>
      <c r="H143" s="60">
        <v>1834392.76</v>
      </c>
      <c r="I143" s="59">
        <f t="shared" si="90"/>
        <v>35060.639999999999</v>
      </c>
      <c r="J143" s="61">
        <v>0</v>
      </c>
      <c r="K143" s="61">
        <v>35060.639999999999</v>
      </c>
      <c r="L143" s="61">
        <v>35060.639999999999</v>
      </c>
      <c r="M143" s="87">
        <f t="shared" si="61"/>
        <v>1.9112940676891899E-2</v>
      </c>
      <c r="N143" s="87" t="str">
        <f t="shared" si="62"/>
        <v/>
      </c>
      <c r="O143" s="87">
        <f t="shared" si="63"/>
        <v>1.9112940676891899E-2</v>
      </c>
      <c r="P143" s="87">
        <f t="shared" si="64"/>
        <v>1.9112940676891899E-2</v>
      </c>
    </row>
    <row r="144" spans="1:16" s="38" customFormat="1" ht="36" x14ac:dyDescent="0.3">
      <c r="A144" s="19" t="s">
        <v>153</v>
      </c>
      <c r="B144" s="19" t="s">
        <v>154</v>
      </c>
      <c r="C144" s="19" t="s">
        <v>8</v>
      </c>
      <c r="D144" s="20" t="s">
        <v>269</v>
      </c>
      <c r="E144" s="59">
        <f t="shared" si="58"/>
        <v>2693000</v>
      </c>
      <c r="F144" s="60">
        <v>1493000</v>
      </c>
      <c r="G144" s="60">
        <v>1200000</v>
      </c>
      <c r="H144" s="60">
        <v>1200000</v>
      </c>
      <c r="I144" s="59">
        <f t="shared" si="90"/>
        <v>1596179.1199999999</v>
      </c>
      <c r="J144" s="61">
        <v>1492140.92</v>
      </c>
      <c r="K144" s="61">
        <v>104038.2</v>
      </c>
      <c r="L144" s="61">
        <v>104038.2</v>
      </c>
      <c r="M144" s="87">
        <f t="shared" si="61"/>
        <v>0.59271411808392127</v>
      </c>
      <c r="N144" s="87">
        <f t="shared" si="62"/>
        <v>0.99942459477561951</v>
      </c>
      <c r="O144" s="87">
        <f t="shared" si="63"/>
        <v>8.6698499999999998E-2</v>
      </c>
      <c r="P144" s="87">
        <f t="shared" si="64"/>
        <v>8.6698499999999998E-2</v>
      </c>
    </row>
    <row r="145" spans="1:16" s="38" customFormat="1" ht="72" x14ac:dyDescent="0.3">
      <c r="A145" s="23">
        <v>1216020</v>
      </c>
      <c r="B145" s="23">
        <v>6020</v>
      </c>
      <c r="C145" s="23" t="s">
        <v>8</v>
      </c>
      <c r="D145" s="80" t="s">
        <v>407</v>
      </c>
      <c r="E145" s="59">
        <f t="shared" si="58"/>
        <v>932973.4</v>
      </c>
      <c r="F145" s="60"/>
      <c r="G145" s="60">
        <v>932973.4</v>
      </c>
      <c r="H145" s="60">
        <v>932973.4</v>
      </c>
      <c r="I145" s="59">
        <f t="shared" si="90"/>
        <v>932952</v>
      </c>
      <c r="J145" s="61"/>
      <c r="K145" s="61">
        <v>932952</v>
      </c>
      <c r="L145" s="61">
        <v>932952</v>
      </c>
      <c r="M145" s="87"/>
      <c r="N145" s="87"/>
      <c r="O145" s="87">
        <f t="shared" si="63"/>
        <v>0.9999770625829203</v>
      </c>
      <c r="P145" s="87">
        <f t="shared" si="64"/>
        <v>0.9999770625829203</v>
      </c>
    </row>
    <row r="146" spans="1:16" s="41" customFormat="1" ht="36" x14ac:dyDescent="0.3">
      <c r="A146" s="19" t="s">
        <v>89</v>
      </c>
      <c r="B146" s="19" t="s">
        <v>40</v>
      </c>
      <c r="C146" s="19" t="s">
        <v>8</v>
      </c>
      <c r="D146" s="20" t="s">
        <v>240</v>
      </c>
      <c r="E146" s="59">
        <f t="shared" si="58"/>
        <v>76377309.24000001</v>
      </c>
      <c r="F146" s="60">
        <f>37962309.24+19050000+18485500</f>
        <v>75497809.24000001</v>
      </c>
      <c r="G146" s="60">
        <v>879500</v>
      </c>
      <c r="H146" s="60">
        <v>879500</v>
      </c>
      <c r="I146" s="59">
        <f t="shared" si="90"/>
        <v>74559790.600000009</v>
      </c>
      <c r="J146" s="61">
        <f>37209293.65+19020650+17151351.3</f>
        <v>73381294.950000003</v>
      </c>
      <c r="K146" s="61">
        <f>34400+1144095.65</f>
        <v>1178495.6499999999</v>
      </c>
      <c r="L146" s="61">
        <v>34400</v>
      </c>
      <c r="M146" s="87">
        <f t="shared" si="61"/>
        <v>0.97620342143386041</v>
      </c>
      <c r="N146" s="87">
        <f t="shared" si="62"/>
        <v>0.97196588468849709</v>
      </c>
      <c r="O146" s="87" t="s">
        <v>382</v>
      </c>
      <c r="P146" s="87">
        <f t="shared" si="64"/>
        <v>3.9113132461625927E-2</v>
      </c>
    </row>
    <row r="147" spans="1:16" s="41" customFormat="1" ht="18" x14ac:dyDescent="0.3">
      <c r="A147" s="23">
        <v>1217130</v>
      </c>
      <c r="B147" s="23">
        <v>7130</v>
      </c>
      <c r="C147" s="24" t="s">
        <v>296</v>
      </c>
      <c r="D147" s="80" t="s">
        <v>297</v>
      </c>
      <c r="E147" s="59">
        <f t="shared" ref="E147" si="99">F147+G147</f>
        <v>55000</v>
      </c>
      <c r="F147" s="60">
        <v>55000</v>
      </c>
      <c r="G147" s="60"/>
      <c r="H147" s="60"/>
      <c r="I147" s="59">
        <f t="shared" si="90"/>
        <v>55000</v>
      </c>
      <c r="J147" s="61">
        <v>55000</v>
      </c>
      <c r="K147" s="61"/>
      <c r="L147" s="61"/>
      <c r="M147" s="87">
        <f t="shared" si="61"/>
        <v>1</v>
      </c>
      <c r="N147" s="87">
        <f t="shared" si="62"/>
        <v>1</v>
      </c>
      <c r="O147" s="87" t="str">
        <f t="shared" si="63"/>
        <v/>
      </c>
      <c r="P147" s="87" t="str">
        <f t="shared" si="64"/>
        <v/>
      </c>
    </row>
    <row r="148" spans="1:16" s="38" customFormat="1" ht="54" x14ac:dyDescent="0.3">
      <c r="A148" s="19" t="s">
        <v>123</v>
      </c>
      <c r="B148" s="19" t="s">
        <v>97</v>
      </c>
      <c r="C148" s="19" t="s">
        <v>41</v>
      </c>
      <c r="D148" s="20" t="s">
        <v>98</v>
      </c>
      <c r="E148" s="59">
        <f t="shared" si="58"/>
        <v>25700000</v>
      </c>
      <c r="F148" s="60">
        <v>25700000</v>
      </c>
      <c r="G148" s="60"/>
      <c r="H148" s="60"/>
      <c r="I148" s="59">
        <f t="shared" si="90"/>
        <v>25688469.600000001</v>
      </c>
      <c r="J148" s="61">
        <v>25688469.600000001</v>
      </c>
      <c r="K148" s="61"/>
      <c r="L148" s="61"/>
      <c r="M148" s="87">
        <f t="shared" si="61"/>
        <v>0.99955134630350195</v>
      </c>
      <c r="N148" s="87">
        <f t="shared" si="62"/>
        <v>0.99955134630350195</v>
      </c>
      <c r="O148" s="87" t="str">
        <f t="shared" ref="O148:O158" si="100">IFERROR((K148/G148),"")</f>
        <v/>
      </c>
      <c r="P148" s="87" t="str">
        <f t="shared" ref="P148:P158" si="101">IFERROR((L148/H148),"")</f>
        <v/>
      </c>
    </row>
    <row r="149" spans="1:16" s="38" customFormat="1" ht="36" x14ac:dyDescent="0.3">
      <c r="A149" s="23">
        <v>1217520</v>
      </c>
      <c r="B149" s="23">
        <v>7520</v>
      </c>
      <c r="C149" s="24" t="s">
        <v>367</v>
      </c>
      <c r="D149" s="80" t="s">
        <v>368</v>
      </c>
      <c r="E149" s="59">
        <f t="shared" si="58"/>
        <v>36000</v>
      </c>
      <c r="F149" s="60"/>
      <c r="G149" s="60">
        <v>36000</v>
      </c>
      <c r="H149" s="60">
        <v>36000</v>
      </c>
      <c r="I149" s="59">
        <f t="shared" si="90"/>
        <v>0</v>
      </c>
      <c r="J149" s="61"/>
      <c r="K149" s="61"/>
      <c r="L149" s="61"/>
      <c r="M149" s="87"/>
      <c r="N149" s="87"/>
      <c r="O149" s="87">
        <f t="shared" si="100"/>
        <v>0</v>
      </c>
      <c r="P149" s="87">
        <f t="shared" si="101"/>
        <v>0</v>
      </c>
    </row>
    <row r="150" spans="1:16" s="38" customFormat="1" ht="36" x14ac:dyDescent="0.3">
      <c r="A150" s="23">
        <v>1217670</v>
      </c>
      <c r="B150" s="23">
        <v>7670</v>
      </c>
      <c r="C150" s="24" t="s">
        <v>22</v>
      </c>
      <c r="D150" s="80" t="s">
        <v>408</v>
      </c>
      <c r="E150" s="59">
        <f t="shared" si="58"/>
        <v>16769497</v>
      </c>
      <c r="F150" s="60"/>
      <c r="G150" s="60">
        <f>3410000+551197+600000+12208300</f>
        <v>16769497</v>
      </c>
      <c r="H150" s="60">
        <f>3410000+551197+600000+12208300</f>
        <v>16769497</v>
      </c>
      <c r="I150" s="59">
        <f t="shared" si="90"/>
        <v>14519595</v>
      </c>
      <c r="J150" s="61"/>
      <c r="K150" s="61">
        <f>1792500+551195+12175900</f>
        <v>14519595</v>
      </c>
      <c r="L150" s="61">
        <f>1792500+551195+12175900</f>
        <v>14519595</v>
      </c>
      <c r="M150" s="87"/>
      <c r="N150" s="87"/>
      <c r="O150" s="87">
        <f t="shared" si="100"/>
        <v>0.86583366215456548</v>
      </c>
      <c r="P150" s="87">
        <f t="shared" si="101"/>
        <v>0.86583366215456548</v>
      </c>
    </row>
    <row r="151" spans="1:16" s="38" customFormat="1" ht="162" x14ac:dyDescent="0.3">
      <c r="A151" s="23">
        <v>1217691</v>
      </c>
      <c r="B151" s="23">
        <v>7691</v>
      </c>
      <c r="C151" s="24" t="s">
        <v>22</v>
      </c>
      <c r="D151" s="20" t="s">
        <v>156</v>
      </c>
      <c r="E151" s="59">
        <f t="shared" si="58"/>
        <v>619546.29</v>
      </c>
      <c r="F151" s="60"/>
      <c r="G151" s="60">
        <v>619546.29</v>
      </c>
      <c r="H151" s="60"/>
      <c r="I151" s="59">
        <f t="shared" si="90"/>
        <v>222381</v>
      </c>
      <c r="J151" s="61"/>
      <c r="K151" s="61">
        <v>222381</v>
      </c>
      <c r="L151" s="61"/>
      <c r="M151" s="87">
        <f t="shared" si="61"/>
        <v>0.35894170232219452</v>
      </c>
      <c r="N151" s="87" t="str">
        <f t="shared" si="62"/>
        <v/>
      </c>
      <c r="O151" s="87">
        <f t="shared" si="100"/>
        <v>0.35894170232219452</v>
      </c>
      <c r="P151" s="87" t="str">
        <f t="shared" si="101"/>
        <v/>
      </c>
    </row>
    <row r="152" spans="1:16" s="38" customFormat="1" ht="36" x14ac:dyDescent="0.3">
      <c r="A152" s="23">
        <v>1217693</v>
      </c>
      <c r="B152" s="19" t="s">
        <v>136</v>
      </c>
      <c r="C152" s="19" t="s">
        <v>22</v>
      </c>
      <c r="D152" s="20" t="s">
        <v>270</v>
      </c>
      <c r="E152" s="59">
        <f t="shared" si="58"/>
        <v>53979634.980000004</v>
      </c>
      <c r="F152" s="60">
        <f>3816802+26000000+24162832.98</f>
        <v>53979634.980000004</v>
      </c>
      <c r="G152" s="60"/>
      <c r="H152" s="60"/>
      <c r="I152" s="59">
        <f t="shared" si="90"/>
        <v>53872818.43</v>
      </c>
      <c r="J152" s="61">
        <f>3709985.45+26000000+24162832.98</f>
        <v>53872818.43</v>
      </c>
      <c r="K152" s="61"/>
      <c r="L152" s="61"/>
      <c r="M152" s="87">
        <f t="shared" si="61"/>
        <v>0.9980211694643808</v>
      </c>
      <c r="N152" s="87">
        <f t="shared" si="62"/>
        <v>0.9980211694643808</v>
      </c>
      <c r="O152" s="87" t="str">
        <f t="shared" si="100"/>
        <v/>
      </c>
      <c r="P152" s="87" t="str">
        <f t="shared" si="101"/>
        <v/>
      </c>
    </row>
    <row r="153" spans="1:16" s="38" customFormat="1" ht="72" x14ac:dyDescent="0.3">
      <c r="A153" s="23">
        <v>1217700</v>
      </c>
      <c r="B153" s="23">
        <v>7700</v>
      </c>
      <c r="C153" s="24" t="s">
        <v>5</v>
      </c>
      <c r="D153" s="20" t="s">
        <v>361</v>
      </c>
      <c r="E153" s="59">
        <f t="shared" si="58"/>
        <v>420801.44</v>
      </c>
      <c r="F153" s="60"/>
      <c r="G153" s="60">
        <v>420801.44</v>
      </c>
      <c r="H153" s="60"/>
      <c r="I153" s="59">
        <f t="shared" si="90"/>
        <v>420801.44</v>
      </c>
      <c r="J153" s="61"/>
      <c r="K153" s="61">
        <v>420801.44</v>
      </c>
      <c r="L153" s="61"/>
      <c r="M153" s="87">
        <f t="shared" si="61"/>
        <v>1</v>
      </c>
      <c r="N153" s="87" t="str">
        <f t="shared" si="62"/>
        <v/>
      </c>
      <c r="O153" s="87">
        <f t="shared" si="100"/>
        <v>1</v>
      </c>
      <c r="P153" s="87" t="str">
        <f t="shared" si="101"/>
        <v/>
      </c>
    </row>
    <row r="154" spans="1:16" s="38" customFormat="1" ht="54" x14ac:dyDescent="0.3">
      <c r="A154" s="23">
        <v>1218110</v>
      </c>
      <c r="B154" s="23">
        <v>8110</v>
      </c>
      <c r="C154" s="24" t="s">
        <v>4</v>
      </c>
      <c r="D154" s="20" t="s">
        <v>137</v>
      </c>
      <c r="E154" s="59">
        <f t="shared" si="58"/>
        <v>6185856</v>
      </c>
      <c r="F154" s="60">
        <f>2634971+366395+1348990</f>
        <v>4350356</v>
      </c>
      <c r="G154" s="60">
        <f>1013000+150000+672500</f>
        <v>1835500</v>
      </c>
      <c r="H154" s="60">
        <f>1013000+150000+672500</f>
        <v>1835500</v>
      </c>
      <c r="I154" s="59">
        <f t="shared" si="90"/>
        <v>4382689.62</v>
      </c>
      <c r="J154" s="65">
        <f>1986239.59+248666.48+723456.72</f>
        <v>2958362.79</v>
      </c>
      <c r="K154" s="65">
        <f>629621+122205.83+672500</f>
        <v>1424326.83</v>
      </c>
      <c r="L154" s="65">
        <f>629621+122205.83+672500</f>
        <v>1424326.83</v>
      </c>
      <c r="M154" s="87">
        <f t="shared" si="61"/>
        <v>0.70850172069960893</v>
      </c>
      <c r="N154" s="87">
        <f t="shared" si="62"/>
        <v>0.68002774715448577</v>
      </c>
      <c r="O154" s="87">
        <f t="shared" si="100"/>
        <v>0.77598846635794061</v>
      </c>
      <c r="P154" s="87">
        <f t="shared" si="101"/>
        <v>0.77598846635794061</v>
      </c>
    </row>
    <row r="155" spans="1:16" s="38" customFormat="1" ht="18" x14ac:dyDescent="0.3">
      <c r="A155" s="23">
        <v>1218240</v>
      </c>
      <c r="B155" s="23">
        <v>8240</v>
      </c>
      <c r="C155" s="25" t="s">
        <v>160</v>
      </c>
      <c r="D155" s="26" t="s">
        <v>247</v>
      </c>
      <c r="E155" s="59">
        <f t="shared" si="58"/>
        <v>12700</v>
      </c>
      <c r="F155" s="60">
        <v>12700</v>
      </c>
      <c r="G155" s="60"/>
      <c r="H155" s="60"/>
      <c r="I155" s="59">
        <f t="shared" si="90"/>
        <v>12700</v>
      </c>
      <c r="J155" s="65">
        <v>12700</v>
      </c>
      <c r="K155" s="65"/>
      <c r="L155" s="65"/>
      <c r="M155" s="87">
        <f t="shared" si="61"/>
        <v>1</v>
      </c>
      <c r="N155" s="87">
        <f t="shared" si="62"/>
        <v>1</v>
      </c>
      <c r="O155" s="87" t="str">
        <f t="shared" si="100"/>
        <v/>
      </c>
      <c r="P155" s="87" t="str">
        <f t="shared" si="101"/>
        <v/>
      </c>
    </row>
    <row r="156" spans="1:16" s="40" customFormat="1" ht="36" x14ac:dyDescent="0.3">
      <c r="A156" s="19" t="s">
        <v>129</v>
      </c>
      <c r="B156" s="19" t="s">
        <v>126</v>
      </c>
      <c r="C156" s="19" t="s">
        <v>42</v>
      </c>
      <c r="D156" s="20" t="s">
        <v>135</v>
      </c>
      <c r="E156" s="59">
        <f t="shared" si="58"/>
        <v>250000</v>
      </c>
      <c r="F156" s="60"/>
      <c r="G156" s="60">
        <f>150000+100000</f>
        <v>250000</v>
      </c>
      <c r="H156" s="60"/>
      <c r="I156" s="59">
        <f t="shared" si="90"/>
        <v>99000</v>
      </c>
      <c r="J156" s="65"/>
      <c r="K156" s="65">
        <f>99000</f>
        <v>99000</v>
      </c>
      <c r="L156" s="65"/>
      <c r="M156" s="87">
        <f t="shared" ref="M156:M159" si="102">IFERROR((I156/E156),"")</f>
        <v>0.39600000000000002</v>
      </c>
      <c r="N156" s="87" t="str">
        <f t="shared" ref="N156:N159" si="103">IFERROR((J156/F156),"")</f>
        <v/>
      </c>
      <c r="O156" s="87">
        <f t="shared" si="100"/>
        <v>0.39600000000000002</v>
      </c>
      <c r="P156" s="87" t="str">
        <f t="shared" si="101"/>
        <v/>
      </c>
    </row>
    <row r="157" spans="1:16" s="40" customFormat="1" ht="90" x14ac:dyDescent="0.3">
      <c r="A157" s="24" t="s">
        <v>369</v>
      </c>
      <c r="B157" s="23">
        <v>8733</v>
      </c>
      <c r="C157" s="24" t="s">
        <v>41</v>
      </c>
      <c r="D157" s="80" t="s">
        <v>370</v>
      </c>
      <c r="E157" s="59">
        <f t="shared" si="58"/>
        <v>697200</v>
      </c>
      <c r="F157" s="60">
        <v>197200</v>
      </c>
      <c r="G157" s="60">
        <f>500000</f>
        <v>500000</v>
      </c>
      <c r="H157" s="60">
        <v>500000</v>
      </c>
      <c r="I157" s="59">
        <f t="shared" si="90"/>
        <v>676289.7</v>
      </c>
      <c r="J157" s="65">
        <v>182391.6</v>
      </c>
      <c r="K157" s="65">
        <v>493898.1</v>
      </c>
      <c r="L157" s="65">
        <v>493898.1</v>
      </c>
      <c r="M157" s="87">
        <f t="shared" si="102"/>
        <v>0.97000817555938035</v>
      </c>
      <c r="N157" s="87">
        <f t="shared" si="103"/>
        <v>0.92490669371196754</v>
      </c>
      <c r="O157" s="87">
        <f t="shared" si="100"/>
        <v>0.9877961999999999</v>
      </c>
      <c r="P157" s="87">
        <f t="shared" si="101"/>
        <v>0.9877961999999999</v>
      </c>
    </row>
    <row r="158" spans="1:16" s="40" customFormat="1" ht="72" x14ac:dyDescent="0.3">
      <c r="A158" s="24" t="s">
        <v>397</v>
      </c>
      <c r="B158" s="23">
        <v>8741</v>
      </c>
      <c r="C158" s="24" t="s">
        <v>285</v>
      </c>
      <c r="D158" s="80" t="s">
        <v>398</v>
      </c>
      <c r="E158" s="59">
        <f t="shared" si="58"/>
        <v>400000</v>
      </c>
      <c r="F158" s="60">
        <v>400000</v>
      </c>
      <c r="G158" s="60"/>
      <c r="H158" s="60"/>
      <c r="I158" s="59">
        <f t="shared" si="90"/>
        <v>362500.57</v>
      </c>
      <c r="J158" s="65">
        <v>362500.57</v>
      </c>
      <c r="K158" s="65"/>
      <c r="L158" s="65"/>
      <c r="M158" s="87">
        <f t="shared" ref="M158" si="104">IFERROR((I158/E158),"")</f>
        <v>0.906251425</v>
      </c>
      <c r="N158" s="87">
        <f t="shared" ref="N158" si="105">IFERROR((J158/F158),"")</f>
        <v>0.906251425</v>
      </c>
      <c r="O158" s="87" t="str">
        <f t="shared" si="100"/>
        <v/>
      </c>
      <c r="P158" s="87" t="str">
        <f t="shared" si="101"/>
        <v/>
      </c>
    </row>
    <row r="159" spans="1:16" s="40" customFormat="1" ht="90" x14ac:dyDescent="0.3">
      <c r="A159" s="24" t="s">
        <v>371</v>
      </c>
      <c r="B159" s="23">
        <v>8746</v>
      </c>
      <c r="C159" s="24" t="s">
        <v>372</v>
      </c>
      <c r="D159" s="80" t="s">
        <v>373</v>
      </c>
      <c r="E159" s="59">
        <f t="shared" si="58"/>
        <v>334000</v>
      </c>
      <c r="F159" s="60">
        <f>225000+109000</f>
        <v>334000</v>
      </c>
      <c r="G159" s="60"/>
      <c r="H159" s="60"/>
      <c r="I159" s="59">
        <f t="shared" si="90"/>
        <v>286315.95</v>
      </c>
      <c r="J159" s="65">
        <f>177315.95+109000</f>
        <v>286315.95</v>
      </c>
      <c r="K159" s="65"/>
      <c r="L159" s="65"/>
      <c r="M159" s="87">
        <f t="shared" si="102"/>
        <v>0.85723338323353293</v>
      </c>
      <c r="N159" s="87">
        <f t="shared" si="103"/>
        <v>0.85723338323353293</v>
      </c>
      <c r="O159" s="87"/>
      <c r="P159" s="87"/>
    </row>
    <row r="160" spans="1:16" s="40" customFormat="1" ht="72" x14ac:dyDescent="0.3">
      <c r="A160" s="23">
        <v>1218761</v>
      </c>
      <c r="B160" s="85" t="s">
        <v>42</v>
      </c>
      <c r="C160" s="85" t="s">
        <v>363</v>
      </c>
      <c r="D160" s="20" t="s">
        <v>362</v>
      </c>
      <c r="E160" s="59">
        <f t="shared" si="58"/>
        <v>674628</v>
      </c>
      <c r="F160" s="60"/>
      <c r="G160" s="60">
        <v>674628</v>
      </c>
      <c r="H160" s="60">
        <v>674628</v>
      </c>
      <c r="I160" s="59">
        <f t="shared" si="90"/>
        <v>674628</v>
      </c>
      <c r="J160" s="65"/>
      <c r="K160" s="65">
        <v>674628</v>
      </c>
      <c r="L160" s="65">
        <v>674628</v>
      </c>
      <c r="M160" s="87">
        <f t="shared" si="61"/>
        <v>1</v>
      </c>
      <c r="N160" s="87" t="str">
        <f t="shared" si="62"/>
        <v/>
      </c>
      <c r="O160" s="87">
        <f t="shared" si="63"/>
        <v>1</v>
      </c>
      <c r="P160" s="87">
        <f t="shared" si="64"/>
        <v>1</v>
      </c>
    </row>
    <row r="161" spans="1:18" s="40" customFormat="1" ht="52.2" x14ac:dyDescent="0.3">
      <c r="A161" s="17" t="s">
        <v>27</v>
      </c>
      <c r="B161" s="17" t="s">
        <v>231</v>
      </c>
      <c r="C161" s="17" t="s">
        <v>231</v>
      </c>
      <c r="D161" s="18" t="s">
        <v>271</v>
      </c>
      <c r="E161" s="57">
        <f t="shared" si="58"/>
        <v>237211432.62</v>
      </c>
      <c r="F161" s="58">
        <f>F162</f>
        <v>4650900</v>
      </c>
      <c r="G161" s="58">
        <f t="shared" ref="G161:L161" si="106">G162</f>
        <v>232560532.62</v>
      </c>
      <c r="H161" s="58">
        <f t="shared" si="106"/>
        <v>232211832.62</v>
      </c>
      <c r="I161" s="58">
        <f t="shared" si="106"/>
        <v>69631917.679999992</v>
      </c>
      <c r="J161" s="58">
        <f>J162</f>
        <v>4512301.21</v>
      </c>
      <c r="K161" s="58">
        <f t="shared" si="106"/>
        <v>65119616.470000006</v>
      </c>
      <c r="L161" s="58">
        <f t="shared" si="106"/>
        <v>64907092.260000005</v>
      </c>
      <c r="M161" s="86">
        <f t="shared" si="61"/>
        <v>0.29354368341742865</v>
      </c>
      <c r="N161" s="86">
        <f t="shared" si="62"/>
        <v>0.97019957642606802</v>
      </c>
      <c r="O161" s="86">
        <f t="shared" si="63"/>
        <v>0.28001146942849653</v>
      </c>
      <c r="P161" s="86">
        <f t="shared" si="64"/>
        <v>0.27951673059751592</v>
      </c>
      <c r="Q161" s="44"/>
      <c r="R161" s="46"/>
    </row>
    <row r="162" spans="1:18" s="40" customFormat="1" ht="52.2" x14ac:dyDescent="0.3">
      <c r="A162" s="17" t="s">
        <v>28</v>
      </c>
      <c r="B162" s="17" t="s">
        <v>231</v>
      </c>
      <c r="C162" s="17" t="s">
        <v>231</v>
      </c>
      <c r="D162" s="18" t="s">
        <v>271</v>
      </c>
      <c r="E162" s="57">
        <f t="shared" si="58"/>
        <v>237211432.62</v>
      </c>
      <c r="F162" s="58">
        <f>SUM(F163:F177)</f>
        <v>4650900</v>
      </c>
      <c r="G162" s="115">
        <f t="shared" ref="G162:H162" si="107">SUM(G163:G177)</f>
        <v>232560532.62</v>
      </c>
      <c r="H162" s="58">
        <f t="shared" si="107"/>
        <v>232211832.62</v>
      </c>
      <c r="I162" s="58">
        <f>SUM(I163:I177)</f>
        <v>69631917.679999992</v>
      </c>
      <c r="J162" s="58">
        <f t="shared" ref="J162:L162" si="108">SUM(J163:J177)</f>
        <v>4512301.21</v>
      </c>
      <c r="K162" s="58">
        <f t="shared" si="108"/>
        <v>65119616.470000006</v>
      </c>
      <c r="L162" s="58">
        <f t="shared" si="108"/>
        <v>64907092.260000005</v>
      </c>
      <c r="M162" s="86">
        <f t="shared" si="61"/>
        <v>0.29354368341742865</v>
      </c>
      <c r="N162" s="86">
        <f t="shared" si="62"/>
        <v>0.97019957642606802</v>
      </c>
      <c r="O162" s="86">
        <f t="shared" si="63"/>
        <v>0.28001146942849653</v>
      </c>
      <c r="P162" s="86">
        <f t="shared" si="64"/>
        <v>0.27951673059751592</v>
      </c>
      <c r="Q162" s="44"/>
      <c r="R162" s="46"/>
    </row>
    <row r="163" spans="1:18" s="40" customFormat="1" ht="54" x14ac:dyDescent="0.3">
      <c r="A163" s="19" t="s">
        <v>90</v>
      </c>
      <c r="B163" s="19" t="s">
        <v>56</v>
      </c>
      <c r="C163" s="19" t="s">
        <v>2</v>
      </c>
      <c r="D163" s="20" t="s">
        <v>248</v>
      </c>
      <c r="E163" s="59">
        <f t="shared" si="58"/>
        <v>4601000</v>
      </c>
      <c r="F163" s="60">
        <v>4601000</v>
      </c>
      <c r="G163" s="60"/>
      <c r="H163" s="60"/>
      <c r="I163" s="59">
        <f t="shared" si="90"/>
        <v>4462401.21</v>
      </c>
      <c r="J163" s="61">
        <v>4462401.21</v>
      </c>
      <c r="K163" s="61">
        <v>0</v>
      </c>
      <c r="L163" s="61">
        <v>0</v>
      </c>
      <c r="M163" s="87">
        <f t="shared" si="61"/>
        <v>0.96987637687459249</v>
      </c>
      <c r="N163" s="87">
        <f t="shared" si="62"/>
        <v>0.96987637687459249</v>
      </c>
      <c r="O163" s="87" t="str">
        <f t="shared" si="63"/>
        <v/>
      </c>
      <c r="P163" s="87" t="str">
        <f t="shared" si="64"/>
        <v/>
      </c>
      <c r="R163" s="88"/>
    </row>
    <row r="164" spans="1:18" s="40" customFormat="1" ht="36" x14ac:dyDescent="0.3">
      <c r="A164" s="19" t="s">
        <v>272</v>
      </c>
      <c r="B164" s="19" t="s">
        <v>9</v>
      </c>
      <c r="C164" s="19" t="s">
        <v>5</v>
      </c>
      <c r="D164" s="20" t="s">
        <v>102</v>
      </c>
      <c r="E164" s="59">
        <f t="shared" si="58"/>
        <v>49900</v>
      </c>
      <c r="F164" s="60">
        <v>49900</v>
      </c>
      <c r="G164" s="60"/>
      <c r="H164" s="60"/>
      <c r="I164" s="59">
        <f t="shared" si="90"/>
        <v>49900</v>
      </c>
      <c r="J164" s="61">
        <v>49900</v>
      </c>
      <c r="K164" s="61"/>
      <c r="L164" s="61"/>
      <c r="M164" s="87">
        <f t="shared" si="61"/>
        <v>1</v>
      </c>
      <c r="N164" s="87">
        <f t="shared" si="62"/>
        <v>1</v>
      </c>
      <c r="O164" s="87" t="str">
        <f t="shared" si="63"/>
        <v/>
      </c>
      <c r="P164" s="87" t="str">
        <f t="shared" si="64"/>
        <v/>
      </c>
      <c r="R164" s="88"/>
    </row>
    <row r="165" spans="1:18" s="40" customFormat="1" ht="36" x14ac:dyDescent="0.3">
      <c r="A165" s="23">
        <v>1512010</v>
      </c>
      <c r="B165" s="23">
        <v>2010</v>
      </c>
      <c r="C165" s="24" t="s">
        <v>31</v>
      </c>
      <c r="D165" s="20" t="s">
        <v>155</v>
      </c>
      <c r="E165" s="59">
        <f t="shared" si="58"/>
        <v>1130727</v>
      </c>
      <c r="F165" s="60"/>
      <c r="G165" s="60">
        <v>1130727</v>
      </c>
      <c r="H165" s="60">
        <v>1130727</v>
      </c>
      <c r="I165" s="59">
        <f t="shared" si="90"/>
        <v>1110730.92</v>
      </c>
      <c r="J165" s="61"/>
      <c r="K165" s="61">
        <v>1110730.92</v>
      </c>
      <c r="L165" s="61">
        <v>1110730.92</v>
      </c>
      <c r="M165" s="87">
        <f t="shared" si="61"/>
        <v>0.98231573138343731</v>
      </c>
      <c r="N165" s="87" t="str">
        <f t="shared" si="62"/>
        <v/>
      </c>
      <c r="O165" s="87">
        <f t="shared" si="63"/>
        <v>0.98231573138343731</v>
      </c>
      <c r="P165" s="87">
        <f t="shared" si="64"/>
        <v>0.98231573138343731</v>
      </c>
      <c r="R165" s="88"/>
    </row>
    <row r="166" spans="1:18" s="40" customFormat="1" ht="36" x14ac:dyDescent="0.3">
      <c r="A166" s="23">
        <v>1516013</v>
      </c>
      <c r="B166" s="23">
        <v>6013</v>
      </c>
      <c r="C166" s="25" t="s">
        <v>8</v>
      </c>
      <c r="D166" s="20" t="s">
        <v>100</v>
      </c>
      <c r="E166" s="59">
        <f t="shared" si="58"/>
        <v>382750</v>
      </c>
      <c r="F166" s="60"/>
      <c r="G166" s="60">
        <v>382750</v>
      </c>
      <c r="H166" s="60">
        <v>382750</v>
      </c>
      <c r="I166" s="59">
        <f t="shared" si="90"/>
        <v>382749.55</v>
      </c>
      <c r="J166" s="61"/>
      <c r="K166" s="61">
        <v>382749.55</v>
      </c>
      <c r="L166" s="61">
        <v>382749.55</v>
      </c>
      <c r="M166" s="87">
        <f t="shared" si="61"/>
        <v>0.99999882429784448</v>
      </c>
      <c r="N166" s="87" t="str">
        <f t="shared" si="62"/>
        <v/>
      </c>
      <c r="O166" s="87">
        <f t="shared" si="63"/>
        <v>0.99999882429784448</v>
      </c>
      <c r="P166" s="87">
        <f t="shared" si="64"/>
        <v>0.99999882429784448</v>
      </c>
      <c r="R166" s="88"/>
    </row>
    <row r="167" spans="1:18" s="40" customFormat="1" ht="36" x14ac:dyDescent="0.3">
      <c r="A167" s="23">
        <v>1516015</v>
      </c>
      <c r="B167" s="19" t="s">
        <v>120</v>
      </c>
      <c r="C167" s="19" t="s">
        <v>8</v>
      </c>
      <c r="D167" s="20" t="s">
        <v>122</v>
      </c>
      <c r="E167" s="59">
        <f t="shared" si="58"/>
        <v>15718117</v>
      </c>
      <c r="F167" s="60"/>
      <c r="G167" s="60">
        <f>15318217+399900</f>
        <v>15718117</v>
      </c>
      <c r="H167" s="60">
        <f>15318217+399900</f>
        <v>15718117</v>
      </c>
      <c r="I167" s="59">
        <f t="shared" si="90"/>
        <v>9291160.2300000004</v>
      </c>
      <c r="J167" s="61"/>
      <c r="K167" s="61">
        <f>8891260.23+399900</f>
        <v>9291160.2300000004</v>
      </c>
      <c r="L167" s="61">
        <f>8891260.23+399900</f>
        <v>9291160.2300000004</v>
      </c>
      <c r="M167" s="87">
        <f t="shared" si="61"/>
        <v>0.59111153263460248</v>
      </c>
      <c r="N167" s="87" t="str">
        <f t="shared" si="62"/>
        <v/>
      </c>
      <c r="O167" s="87">
        <f t="shared" si="63"/>
        <v>0.59111153263460248</v>
      </c>
      <c r="P167" s="87">
        <f t="shared" si="64"/>
        <v>0.59111153263460248</v>
      </c>
      <c r="R167" s="88"/>
    </row>
    <row r="168" spans="1:18" s="40" customFormat="1" ht="36" x14ac:dyDescent="0.3">
      <c r="A168" s="23">
        <v>1516017</v>
      </c>
      <c r="B168" s="24" t="s">
        <v>154</v>
      </c>
      <c r="C168" s="24" t="s">
        <v>8</v>
      </c>
      <c r="D168" s="80" t="s">
        <v>409</v>
      </c>
      <c r="E168" s="59">
        <f t="shared" si="58"/>
        <v>330000</v>
      </c>
      <c r="F168" s="60"/>
      <c r="G168" s="60">
        <v>330000</v>
      </c>
      <c r="H168" s="60">
        <v>330000</v>
      </c>
      <c r="I168" s="59">
        <f t="shared" si="90"/>
        <v>325134.46000000002</v>
      </c>
      <c r="J168" s="61"/>
      <c r="K168" s="61">
        <v>325134.46000000002</v>
      </c>
      <c r="L168" s="61">
        <v>325134.46000000002</v>
      </c>
      <c r="M168" s="87">
        <f t="shared" si="61"/>
        <v>0.98525593939393941</v>
      </c>
      <c r="N168" s="87"/>
      <c r="O168" s="87">
        <f t="shared" si="63"/>
        <v>0.98525593939393941</v>
      </c>
      <c r="P168" s="87">
        <f t="shared" si="64"/>
        <v>0.98525593939393941</v>
      </c>
      <c r="R168" s="88"/>
    </row>
    <row r="169" spans="1:18" s="40" customFormat="1" ht="72" x14ac:dyDescent="0.3">
      <c r="A169" s="23">
        <v>1516050</v>
      </c>
      <c r="B169" s="24" t="s">
        <v>334</v>
      </c>
      <c r="C169" s="24" t="s">
        <v>8</v>
      </c>
      <c r="D169" s="20" t="s">
        <v>335</v>
      </c>
      <c r="E169" s="59">
        <f t="shared" si="58"/>
        <v>1194873</v>
      </c>
      <c r="F169" s="60"/>
      <c r="G169" s="60">
        <v>1194873</v>
      </c>
      <c r="H169" s="60">
        <v>1194873</v>
      </c>
      <c r="I169" s="59">
        <f t="shared" si="90"/>
        <v>1194872.49</v>
      </c>
      <c r="J169" s="61"/>
      <c r="K169" s="61">
        <v>1194872.49</v>
      </c>
      <c r="L169" s="61">
        <v>1194872.49</v>
      </c>
      <c r="M169" s="87">
        <f t="shared" si="61"/>
        <v>0.99999957317639609</v>
      </c>
      <c r="N169" s="87" t="str">
        <f t="shared" si="62"/>
        <v/>
      </c>
      <c r="O169" s="87">
        <f t="shared" si="63"/>
        <v>0.99999957317639609</v>
      </c>
      <c r="P169" s="87">
        <f t="shared" si="64"/>
        <v>0.99999957317639609</v>
      </c>
      <c r="R169" s="88"/>
    </row>
    <row r="170" spans="1:18" s="40" customFormat="1" ht="36" x14ac:dyDescent="0.3">
      <c r="A170" s="23">
        <v>1517310</v>
      </c>
      <c r="B170" s="23">
        <v>7310</v>
      </c>
      <c r="C170" s="25" t="s">
        <v>125</v>
      </c>
      <c r="D170" s="20" t="s">
        <v>337</v>
      </c>
      <c r="E170" s="59">
        <f t="shared" si="58"/>
        <v>47512003.619999997</v>
      </c>
      <c r="F170" s="60"/>
      <c r="G170" s="60">
        <f>13512003.62+34000000</f>
        <v>47512003.619999997</v>
      </c>
      <c r="H170" s="60">
        <f>13512003.62+34000000</f>
        <v>47512003.619999997</v>
      </c>
      <c r="I170" s="59">
        <f t="shared" si="90"/>
        <v>17418394.039999999</v>
      </c>
      <c r="J170" s="61"/>
      <c r="K170" s="61">
        <f>8433377.81+8985016.23</f>
        <v>17418394.039999999</v>
      </c>
      <c r="L170" s="61">
        <f>8433377.81+8985016.23</f>
        <v>17418394.039999999</v>
      </c>
      <c r="M170" s="87">
        <f t="shared" si="61"/>
        <v>0.36661038712052529</v>
      </c>
      <c r="N170" s="87" t="str">
        <f t="shared" si="62"/>
        <v/>
      </c>
      <c r="O170" s="87">
        <f t="shared" si="63"/>
        <v>0.36661038712052529</v>
      </c>
      <c r="P170" s="87">
        <f t="shared" si="64"/>
        <v>0.36661038712052529</v>
      </c>
      <c r="R170" s="88"/>
    </row>
    <row r="171" spans="1:18" s="40" customFormat="1" ht="18" x14ac:dyDescent="0.3">
      <c r="A171" s="23">
        <v>1517321</v>
      </c>
      <c r="B171" s="23">
        <v>7321</v>
      </c>
      <c r="C171" s="25" t="s">
        <v>125</v>
      </c>
      <c r="D171" s="20" t="s">
        <v>338</v>
      </c>
      <c r="E171" s="59">
        <f t="shared" si="58"/>
        <v>87576460</v>
      </c>
      <c r="F171" s="60"/>
      <c r="G171" s="60">
        <v>87576460</v>
      </c>
      <c r="H171" s="60">
        <v>87576460</v>
      </c>
      <c r="I171" s="59">
        <f t="shared" si="90"/>
        <v>557583.1</v>
      </c>
      <c r="J171" s="61"/>
      <c r="K171" s="61">
        <v>557583.1</v>
      </c>
      <c r="L171" s="61">
        <v>557583.1</v>
      </c>
      <c r="M171" s="87">
        <f t="shared" si="61"/>
        <v>6.3668147810496106E-3</v>
      </c>
      <c r="N171" s="87" t="str">
        <f t="shared" si="62"/>
        <v/>
      </c>
      <c r="O171" s="87">
        <f t="shared" si="63"/>
        <v>6.3668147810496106E-3</v>
      </c>
      <c r="P171" s="87">
        <f t="shared" si="64"/>
        <v>6.3668147810496106E-3</v>
      </c>
      <c r="R171" s="88"/>
    </row>
    <row r="172" spans="1:18" s="40" customFormat="1" ht="36" x14ac:dyDescent="0.3">
      <c r="A172" s="25" t="s">
        <v>322</v>
      </c>
      <c r="B172" s="25" t="s">
        <v>323</v>
      </c>
      <c r="C172" s="25" t="s">
        <v>22</v>
      </c>
      <c r="D172" s="20" t="s">
        <v>324</v>
      </c>
      <c r="E172" s="59">
        <f t="shared" ref="E172" si="109">F172+G172</f>
        <v>26491442</v>
      </c>
      <c r="F172" s="60"/>
      <c r="G172" s="60">
        <v>26491442</v>
      </c>
      <c r="H172" s="60">
        <v>26491442</v>
      </c>
      <c r="I172" s="59">
        <f t="shared" si="90"/>
        <v>10675714.380000001</v>
      </c>
      <c r="J172" s="61"/>
      <c r="K172" s="61">
        <v>10675714.380000001</v>
      </c>
      <c r="L172" s="61">
        <v>10675714.380000001</v>
      </c>
      <c r="M172" s="87">
        <f t="shared" si="61"/>
        <v>0.40298728849867821</v>
      </c>
      <c r="N172" s="87" t="str">
        <f t="shared" si="62"/>
        <v/>
      </c>
      <c r="O172" s="87">
        <f t="shared" si="63"/>
        <v>0.40298728849867821</v>
      </c>
      <c r="P172" s="87">
        <f t="shared" si="64"/>
        <v>0.40298728849867821</v>
      </c>
      <c r="R172" s="88"/>
    </row>
    <row r="173" spans="1:18" s="40" customFormat="1" ht="36" x14ac:dyDescent="0.3">
      <c r="A173" s="23">
        <v>1517370</v>
      </c>
      <c r="B173" s="23">
        <v>7370</v>
      </c>
      <c r="C173" s="25" t="s">
        <v>22</v>
      </c>
      <c r="D173" s="20" t="s">
        <v>124</v>
      </c>
      <c r="E173" s="59">
        <f t="shared" ref="E173:E208" si="110">F173+G173</f>
        <v>27703591</v>
      </c>
      <c r="F173" s="60"/>
      <c r="G173" s="60">
        <f>27585022+118569</f>
        <v>27703591</v>
      </c>
      <c r="H173" s="60">
        <f>27585022+118569</f>
        <v>27703591</v>
      </c>
      <c r="I173" s="59">
        <f t="shared" si="90"/>
        <v>7664434.9000000004</v>
      </c>
      <c r="J173" s="61">
        <v>0</v>
      </c>
      <c r="K173" s="61">
        <v>7664434.9000000004</v>
      </c>
      <c r="L173" s="61">
        <v>7664434.9000000004</v>
      </c>
      <c r="M173" s="87">
        <f t="shared" si="61"/>
        <v>0.27665853498920051</v>
      </c>
      <c r="N173" s="87" t="str">
        <f t="shared" si="62"/>
        <v/>
      </c>
      <c r="O173" s="87">
        <f t="shared" si="63"/>
        <v>0.27665853498920051</v>
      </c>
      <c r="P173" s="87">
        <f t="shared" si="64"/>
        <v>0.27665853498920051</v>
      </c>
      <c r="R173" s="88"/>
    </row>
    <row r="174" spans="1:18" s="40" customFormat="1" ht="72" x14ac:dyDescent="0.3">
      <c r="A174" s="24" t="s">
        <v>410</v>
      </c>
      <c r="B174" s="23">
        <v>7373</v>
      </c>
      <c r="C174" s="24" t="s">
        <v>22</v>
      </c>
      <c r="D174" s="80" t="s">
        <v>411</v>
      </c>
      <c r="E174" s="59">
        <f t="shared" si="110"/>
        <v>550000</v>
      </c>
      <c r="F174" s="60"/>
      <c r="G174" s="60">
        <v>550000</v>
      </c>
      <c r="H174" s="60">
        <v>550000</v>
      </c>
      <c r="I174" s="59">
        <f t="shared" si="90"/>
        <v>0</v>
      </c>
      <c r="J174" s="61"/>
      <c r="K174" s="61"/>
      <c r="L174" s="61"/>
      <c r="M174" s="87"/>
      <c r="N174" s="87"/>
      <c r="O174" s="87"/>
      <c r="P174" s="87"/>
      <c r="R174" s="88"/>
    </row>
    <row r="175" spans="1:18" s="40" customFormat="1" ht="18" x14ac:dyDescent="0.3">
      <c r="A175" s="23">
        <v>1517640</v>
      </c>
      <c r="B175" s="23">
        <v>7640</v>
      </c>
      <c r="C175" s="25" t="s">
        <v>6</v>
      </c>
      <c r="D175" s="20" t="s">
        <v>7</v>
      </c>
      <c r="E175" s="59">
        <f t="shared" si="110"/>
        <v>6451791</v>
      </c>
      <c r="F175" s="60"/>
      <c r="G175" s="60">
        <v>6451791</v>
      </c>
      <c r="H175" s="60">
        <v>6451791</v>
      </c>
      <c r="I175" s="59">
        <f t="shared" ref="I175:I177" si="111">J175+K175</f>
        <v>5907548.5999999996</v>
      </c>
      <c r="J175" s="65"/>
      <c r="K175" s="65">
        <v>5907548.5999999996</v>
      </c>
      <c r="L175" s="65">
        <v>5907548.5999999996</v>
      </c>
      <c r="M175" s="87">
        <f t="shared" ref="M175:M220" si="112">IFERROR((I175/E175),"")</f>
        <v>0.91564475662649325</v>
      </c>
      <c r="N175" s="87" t="str">
        <f t="shared" ref="N175:N220" si="113">IFERROR((J175/F175),"")</f>
        <v/>
      </c>
      <c r="O175" s="87">
        <f t="shared" ref="O175:O220" si="114">IFERROR((K175/G175),"")</f>
        <v>0.91564475662649325</v>
      </c>
      <c r="P175" s="87">
        <f t="shared" ref="P175:P220" si="115">IFERROR((L175/H175),"")</f>
        <v>0.91564475662649325</v>
      </c>
      <c r="R175" s="88"/>
    </row>
    <row r="176" spans="1:18" s="40" customFormat="1" ht="54" x14ac:dyDescent="0.3">
      <c r="A176" s="24" t="s">
        <v>281</v>
      </c>
      <c r="B176" s="23">
        <v>8110</v>
      </c>
      <c r="C176" s="25" t="s">
        <v>4</v>
      </c>
      <c r="D176" s="20" t="s">
        <v>137</v>
      </c>
      <c r="E176" s="59">
        <f t="shared" si="110"/>
        <v>17170078</v>
      </c>
      <c r="F176" s="60"/>
      <c r="G176" s="60">
        <f>7105844+10064234</f>
        <v>17170078</v>
      </c>
      <c r="H176" s="60">
        <f>7105844+10064234</f>
        <v>17170078</v>
      </c>
      <c r="I176" s="59">
        <f t="shared" si="111"/>
        <v>10378769.59</v>
      </c>
      <c r="J176" s="65"/>
      <c r="K176" s="65">
        <f>5314559.09+5064210.5</f>
        <v>10378769.59</v>
      </c>
      <c r="L176" s="65">
        <f>5314559.09+5064210.5</f>
        <v>10378769.59</v>
      </c>
      <c r="M176" s="87">
        <f t="shared" si="112"/>
        <v>0.60446840078420139</v>
      </c>
      <c r="N176" s="87" t="str">
        <f t="shared" si="113"/>
        <v/>
      </c>
      <c r="O176" s="87">
        <f t="shared" si="114"/>
        <v>0.60446840078420139</v>
      </c>
      <c r="P176" s="87">
        <f t="shared" si="115"/>
        <v>0.60446840078420139</v>
      </c>
      <c r="R176" s="88"/>
    </row>
    <row r="177" spans="1:18" s="40" customFormat="1" ht="36" x14ac:dyDescent="0.3">
      <c r="A177" s="23">
        <v>1518340</v>
      </c>
      <c r="B177" s="24" t="s">
        <v>126</v>
      </c>
      <c r="C177" s="24" t="s">
        <v>42</v>
      </c>
      <c r="D177" s="80" t="s">
        <v>135</v>
      </c>
      <c r="E177" s="59">
        <f t="shared" si="110"/>
        <v>348700</v>
      </c>
      <c r="F177" s="60"/>
      <c r="G177" s="60">
        <v>348700</v>
      </c>
      <c r="H177" s="60"/>
      <c r="I177" s="59">
        <f t="shared" si="111"/>
        <v>212524.21</v>
      </c>
      <c r="J177" s="65"/>
      <c r="K177" s="65">
        <v>212524.21</v>
      </c>
      <c r="L177" s="65"/>
      <c r="M177" s="87">
        <f t="shared" ref="M177" si="116">IFERROR((I177/E177),"")</f>
        <v>0.60947579581301981</v>
      </c>
      <c r="N177" s="87" t="str">
        <f t="shared" ref="N177" si="117">IFERROR((J177/F177),"")</f>
        <v/>
      </c>
      <c r="O177" s="87">
        <f t="shared" ref="O177" si="118">IFERROR((K177/G177),"")</f>
        <v>0.60947579581301981</v>
      </c>
      <c r="P177" s="87" t="str">
        <f t="shared" ref="P177" si="119">IFERROR((L177/H177),"")</f>
        <v/>
      </c>
      <c r="R177" s="88"/>
    </row>
    <row r="178" spans="1:18" s="38" customFormat="1" ht="52.2" x14ac:dyDescent="0.3">
      <c r="A178" s="17" t="s">
        <v>91</v>
      </c>
      <c r="B178" s="17" t="s">
        <v>231</v>
      </c>
      <c r="C178" s="17" t="s">
        <v>231</v>
      </c>
      <c r="D178" s="18" t="s">
        <v>273</v>
      </c>
      <c r="E178" s="57">
        <f t="shared" si="110"/>
        <v>23597796</v>
      </c>
      <c r="F178" s="58">
        <f>F179</f>
        <v>23569296</v>
      </c>
      <c r="G178" s="58">
        <f t="shared" ref="G178:H178" si="120">G179</f>
        <v>28500</v>
      </c>
      <c r="H178" s="58">
        <f t="shared" si="120"/>
        <v>28500</v>
      </c>
      <c r="I178" s="57">
        <f t="shared" ref="I178:I208" si="121">J178+K178</f>
        <v>20746016.84</v>
      </c>
      <c r="J178" s="68">
        <f>J179</f>
        <v>20717516.84</v>
      </c>
      <c r="K178" s="68">
        <f>K179</f>
        <v>28500</v>
      </c>
      <c r="L178" s="68">
        <f>L179</f>
        <v>28500</v>
      </c>
      <c r="M178" s="86">
        <f t="shared" si="112"/>
        <v>0.87915061389631477</v>
      </c>
      <c r="N178" s="86">
        <f t="shared" si="113"/>
        <v>0.87900448278132703</v>
      </c>
      <c r="O178" s="86">
        <f t="shared" si="114"/>
        <v>1</v>
      </c>
      <c r="P178" s="86">
        <f t="shared" si="115"/>
        <v>1</v>
      </c>
    </row>
    <row r="179" spans="1:18" s="38" customFormat="1" ht="52.2" x14ac:dyDescent="0.3">
      <c r="A179" s="17" t="s">
        <v>92</v>
      </c>
      <c r="B179" s="17" t="s">
        <v>231</v>
      </c>
      <c r="C179" s="17" t="s">
        <v>231</v>
      </c>
      <c r="D179" s="18" t="s">
        <v>273</v>
      </c>
      <c r="E179" s="57">
        <f t="shared" si="110"/>
        <v>23597796</v>
      </c>
      <c r="F179" s="58">
        <f t="shared" ref="F179:L179" si="122">SUM(F180:F186)</f>
        <v>23569296</v>
      </c>
      <c r="G179" s="58">
        <f t="shared" si="122"/>
        <v>28500</v>
      </c>
      <c r="H179" s="58">
        <f t="shared" si="122"/>
        <v>28500</v>
      </c>
      <c r="I179" s="58">
        <f t="shared" si="122"/>
        <v>20746016.84</v>
      </c>
      <c r="J179" s="58">
        <f t="shared" si="122"/>
        <v>20717516.84</v>
      </c>
      <c r="K179" s="58">
        <f t="shared" si="122"/>
        <v>28500</v>
      </c>
      <c r="L179" s="58">
        <f t="shared" si="122"/>
        <v>28500</v>
      </c>
      <c r="M179" s="86">
        <f t="shared" si="112"/>
        <v>0.87915061389631477</v>
      </c>
      <c r="N179" s="86">
        <f t="shared" si="113"/>
        <v>0.87900448278132703</v>
      </c>
      <c r="O179" s="86">
        <f t="shared" si="114"/>
        <v>1</v>
      </c>
      <c r="P179" s="86">
        <f t="shared" si="115"/>
        <v>1</v>
      </c>
    </row>
    <row r="180" spans="1:18" s="38" customFormat="1" ht="54" x14ac:dyDescent="0.3">
      <c r="A180" s="19" t="s">
        <v>93</v>
      </c>
      <c r="B180" s="19" t="s">
        <v>56</v>
      </c>
      <c r="C180" s="19" t="s">
        <v>2</v>
      </c>
      <c r="D180" s="20" t="s">
        <v>248</v>
      </c>
      <c r="E180" s="59">
        <f t="shared" si="110"/>
        <v>3962800</v>
      </c>
      <c r="F180" s="60">
        <v>3962800</v>
      </c>
      <c r="G180" s="60"/>
      <c r="H180" s="60"/>
      <c r="I180" s="59">
        <f t="shared" si="121"/>
        <v>3878976.31</v>
      </c>
      <c r="J180" s="65">
        <v>3878976.31</v>
      </c>
      <c r="K180" s="65"/>
      <c r="L180" s="65"/>
      <c r="M180" s="87">
        <f t="shared" si="112"/>
        <v>0.97884735792873723</v>
      </c>
      <c r="N180" s="87">
        <f t="shared" si="113"/>
        <v>0.97884735792873723</v>
      </c>
      <c r="O180" s="87" t="str">
        <f t="shared" si="114"/>
        <v/>
      </c>
      <c r="P180" s="87" t="str">
        <f t="shared" si="115"/>
        <v/>
      </c>
    </row>
    <row r="181" spans="1:18" s="38" customFormat="1" ht="36" x14ac:dyDescent="0.3">
      <c r="A181" s="19" t="s">
        <v>101</v>
      </c>
      <c r="B181" s="19" t="s">
        <v>9</v>
      </c>
      <c r="C181" s="19" t="s">
        <v>5</v>
      </c>
      <c r="D181" s="20" t="s">
        <v>102</v>
      </c>
      <c r="E181" s="59">
        <f t="shared" si="110"/>
        <v>121900</v>
      </c>
      <c r="F181" s="60">
        <v>121900</v>
      </c>
      <c r="G181" s="60"/>
      <c r="H181" s="60"/>
      <c r="I181" s="59">
        <f t="shared" si="121"/>
        <v>99900</v>
      </c>
      <c r="J181" s="65">
        <v>99900</v>
      </c>
      <c r="K181" s="65"/>
      <c r="L181" s="65"/>
      <c r="M181" s="87">
        <f t="shared" si="112"/>
        <v>0.81952420016406891</v>
      </c>
      <c r="N181" s="87">
        <f t="shared" si="113"/>
        <v>0.81952420016406891</v>
      </c>
      <c r="O181" s="87" t="str">
        <f t="shared" si="114"/>
        <v/>
      </c>
      <c r="P181" s="87" t="str">
        <f t="shared" si="115"/>
        <v/>
      </c>
    </row>
    <row r="182" spans="1:18" s="38" customFormat="1" ht="36" x14ac:dyDescent="0.3">
      <c r="A182" s="19" t="s">
        <v>185</v>
      </c>
      <c r="B182" s="19" t="s">
        <v>154</v>
      </c>
      <c r="C182" s="19" t="s">
        <v>8</v>
      </c>
      <c r="D182" s="20" t="s">
        <v>269</v>
      </c>
      <c r="E182" s="59">
        <f t="shared" si="110"/>
        <v>194000</v>
      </c>
      <c r="F182" s="60">
        <v>194000</v>
      </c>
      <c r="G182" s="60"/>
      <c r="H182" s="60"/>
      <c r="I182" s="59">
        <f t="shared" si="121"/>
        <v>194000</v>
      </c>
      <c r="J182" s="65">
        <v>194000</v>
      </c>
      <c r="K182" s="65"/>
      <c r="L182" s="65"/>
      <c r="M182" s="87">
        <f t="shared" si="112"/>
        <v>1</v>
      </c>
      <c r="N182" s="87">
        <f t="shared" si="113"/>
        <v>1</v>
      </c>
      <c r="O182" s="87" t="str">
        <f t="shared" si="114"/>
        <v/>
      </c>
      <c r="P182" s="87" t="str">
        <f t="shared" si="115"/>
        <v/>
      </c>
    </row>
    <row r="183" spans="1:18" s="38" customFormat="1" ht="18" x14ac:dyDescent="0.3">
      <c r="A183" s="19" t="s">
        <v>294</v>
      </c>
      <c r="B183" s="19" t="s">
        <v>295</v>
      </c>
      <c r="C183" s="19" t="s">
        <v>296</v>
      </c>
      <c r="D183" s="20" t="s">
        <v>297</v>
      </c>
      <c r="E183" s="59">
        <f t="shared" si="110"/>
        <v>194000</v>
      </c>
      <c r="F183" s="60">
        <v>194000</v>
      </c>
      <c r="G183" s="60"/>
      <c r="H183" s="60"/>
      <c r="I183" s="59">
        <f t="shared" si="121"/>
        <v>194000</v>
      </c>
      <c r="J183" s="65">
        <v>194000</v>
      </c>
      <c r="K183" s="65"/>
      <c r="L183" s="65"/>
      <c r="M183" s="87">
        <f t="shared" si="112"/>
        <v>1</v>
      </c>
      <c r="N183" s="87">
        <f t="shared" si="113"/>
        <v>1</v>
      </c>
      <c r="O183" s="87" t="str">
        <f t="shared" si="114"/>
        <v/>
      </c>
      <c r="P183" s="87" t="str">
        <f t="shared" si="115"/>
        <v/>
      </c>
    </row>
    <row r="184" spans="1:18" s="38" customFormat="1" ht="36" x14ac:dyDescent="0.3">
      <c r="A184" s="23">
        <v>3117350</v>
      </c>
      <c r="B184" s="23">
        <v>7350</v>
      </c>
      <c r="C184" s="24" t="s">
        <v>125</v>
      </c>
      <c r="D184" s="20" t="s">
        <v>311</v>
      </c>
      <c r="E184" s="59">
        <f t="shared" si="110"/>
        <v>1500000</v>
      </c>
      <c r="F184" s="60">
        <v>1500000</v>
      </c>
      <c r="G184" s="60"/>
      <c r="H184" s="60"/>
      <c r="I184" s="59">
        <f t="shared" si="121"/>
        <v>1499932</v>
      </c>
      <c r="J184" s="65">
        <v>1499932</v>
      </c>
      <c r="K184" s="65"/>
      <c r="L184" s="65"/>
      <c r="M184" s="87">
        <f t="shared" si="112"/>
        <v>0.99995466666666666</v>
      </c>
      <c r="N184" s="87">
        <f t="shared" si="113"/>
        <v>0.99995466666666666</v>
      </c>
      <c r="O184" s="87" t="str">
        <f t="shared" si="114"/>
        <v/>
      </c>
      <c r="P184" s="87" t="str">
        <f t="shared" si="115"/>
        <v/>
      </c>
    </row>
    <row r="185" spans="1:18" s="38" customFormat="1" ht="36" x14ac:dyDescent="0.3">
      <c r="A185" s="19" t="s">
        <v>174</v>
      </c>
      <c r="B185" s="19" t="s">
        <v>136</v>
      </c>
      <c r="C185" s="19" t="s">
        <v>22</v>
      </c>
      <c r="D185" s="20" t="s">
        <v>270</v>
      </c>
      <c r="E185" s="59">
        <f t="shared" si="110"/>
        <v>17475096</v>
      </c>
      <c r="F185" s="60">
        <f>1786746+80250+15579600</f>
        <v>17446596</v>
      </c>
      <c r="G185" s="60">
        <v>28500</v>
      </c>
      <c r="H185" s="60">
        <v>28500</v>
      </c>
      <c r="I185" s="59">
        <f t="shared" si="121"/>
        <v>14771208.84</v>
      </c>
      <c r="J185" s="65">
        <f>1711497.66+77702.39+12953508.79</f>
        <v>14742708.84</v>
      </c>
      <c r="K185" s="65">
        <v>28500</v>
      </c>
      <c r="L185" s="65">
        <v>28500</v>
      </c>
      <c r="M185" s="87">
        <f t="shared" si="112"/>
        <v>0.84527197103809903</v>
      </c>
      <c r="N185" s="87">
        <f t="shared" si="113"/>
        <v>0.84501921406330494</v>
      </c>
      <c r="O185" s="87">
        <f t="shared" si="114"/>
        <v>1</v>
      </c>
      <c r="P185" s="87">
        <f t="shared" si="115"/>
        <v>1</v>
      </c>
    </row>
    <row r="186" spans="1:18" s="47" customFormat="1" ht="18" x14ac:dyDescent="0.3">
      <c r="A186" s="25" t="s">
        <v>280</v>
      </c>
      <c r="B186" s="25" t="s">
        <v>246</v>
      </c>
      <c r="C186" s="25" t="s">
        <v>160</v>
      </c>
      <c r="D186" s="26" t="s">
        <v>247</v>
      </c>
      <c r="E186" s="59">
        <f t="shared" si="110"/>
        <v>150000</v>
      </c>
      <c r="F186" s="60">
        <v>150000</v>
      </c>
      <c r="G186" s="60"/>
      <c r="H186" s="60"/>
      <c r="I186" s="59">
        <f t="shared" si="121"/>
        <v>107999.69</v>
      </c>
      <c r="J186" s="65">
        <v>107999.69</v>
      </c>
      <c r="K186" s="67"/>
      <c r="L186" s="67"/>
      <c r="M186" s="87">
        <f t="shared" si="112"/>
        <v>0.7199979333333334</v>
      </c>
      <c r="N186" s="87">
        <f t="shared" si="113"/>
        <v>0.7199979333333334</v>
      </c>
      <c r="O186" s="87" t="str">
        <f t="shared" si="114"/>
        <v/>
      </c>
      <c r="P186" s="87" t="str">
        <f t="shared" si="115"/>
        <v/>
      </c>
    </row>
    <row r="187" spans="1:18" s="47" customFormat="1" ht="52.2" x14ac:dyDescent="0.3">
      <c r="A187" s="17" t="s">
        <v>94</v>
      </c>
      <c r="B187" s="17" t="s">
        <v>231</v>
      </c>
      <c r="C187" s="17" t="s">
        <v>231</v>
      </c>
      <c r="D187" s="18" t="s">
        <v>274</v>
      </c>
      <c r="E187" s="57">
        <f t="shared" si="110"/>
        <v>106017685</v>
      </c>
      <c r="F187" s="58">
        <f>F188</f>
        <v>27872242</v>
      </c>
      <c r="G187" s="58">
        <f t="shared" ref="G187:H187" si="123">G188</f>
        <v>78145443</v>
      </c>
      <c r="H187" s="58">
        <f t="shared" si="123"/>
        <v>78145443</v>
      </c>
      <c r="I187" s="57">
        <f t="shared" si="121"/>
        <v>99923031.769999996</v>
      </c>
      <c r="J187" s="58">
        <f t="shared" ref="J187:L187" si="124">J188</f>
        <v>25477692.550000001</v>
      </c>
      <c r="K187" s="58">
        <f t="shared" si="124"/>
        <v>74445339.219999999</v>
      </c>
      <c r="L187" s="58">
        <f t="shared" si="124"/>
        <v>74445206.469999999</v>
      </c>
      <c r="M187" s="86">
        <f t="shared" si="112"/>
        <v>0.94251286254741362</v>
      </c>
      <c r="N187" s="86">
        <f t="shared" si="113"/>
        <v>0.9140883804754566</v>
      </c>
      <c r="O187" s="86">
        <f t="shared" si="114"/>
        <v>0.95265106143169476</v>
      </c>
      <c r="P187" s="86">
        <f t="shared" si="115"/>
        <v>0.95264936267620881</v>
      </c>
    </row>
    <row r="188" spans="1:18" s="47" customFormat="1" ht="52.2" x14ac:dyDescent="0.3">
      <c r="A188" s="17" t="s">
        <v>95</v>
      </c>
      <c r="B188" s="17" t="s">
        <v>231</v>
      </c>
      <c r="C188" s="17" t="s">
        <v>231</v>
      </c>
      <c r="D188" s="18" t="s">
        <v>274</v>
      </c>
      <c r="E188" s="57">
        <f t="shared" si="110"/>
        <v>106017685</v>
      </c>
      <c r="F188" s="58">
        <f>F189+F190+F191+F192+F199</f>
        <v>27872242</v>
      </c>
      <c r="G188" s="58">
        <f>G189+G190+G191+G192+G199</f>
        <v>78145443</v>
      </c>
      <c r="H188" s="58">
        <f>H189+H190+H191+H192+H199</f>
        <v>78145443</v>
      </c>
      <c r="I188" s="57">
        <f t="shared" si="121"/>
        <v>99923031.769999996</v>
      </c>
      <c r="J188" s="58">
        <f>J189+J190+J191+J192+J199</f>
        <v>25477692.550000001</v>
      </c>
      <c r="K188" s="58">
        <f>K189+K190+K191+K192+K199</f>
        <v>74445339.219999999</v>
      </c>
      <c r="L188" s="58">
        <f>L189+L190+L191+L192+L199</f>
        <v>74445206.469999999</v>
      </c>
      <c r="M188" s="86">
        <f t="shared" si="112"/>
        <v>0.94251286254741362</v>
      </c>
      <c r="N188" s="86">
        <f t="shared" si="113"/>
        <v>0.9140883804754566</v>
      </c>
      <c r="O188" s="86">
        <f t="shared" si="114"/>
        <v>0.95265106143169476</v>
      </c>
      <c r="P188" s="86">
        <f t="shared" si="115"/>
        <v>0.95264936267620881</v>
      </c>
    </row>
    <row r="189" spans="1:18" s="47" customFormat="1" ht="54" x14ac:dyDescent="0.3">
      <c r="A189" s="19" t="s">
        <v>96</v>
      </c>
      <c r="B189" s="19" t="s">
        <v>56</v>
      </c>
      <c r="C189" s="19" t="s">
        <v>2</v>
      </c>
      <c r="D189" s="20" t="s">
        <v>248</v>
      </c>
      <c r="E189" s="59">
        <f t="shared" si="110"/>
        <v>6423700</v>
      </c>
      <c r="F189" s="60">
        <v>6423700</v>
      </c>
      <c r="G189" s="60"/>
      <c r="H189" s="60"/>
      <c r="I189" s="59">
        <f t="shared" ref="I189:I190" si="125">J189+K189</f>
        <v>6370105.4199999999</v>
      </c>
      <c r="J189" s="65">
        <v>6369972.6699999999</v>
      </c>
      <c r="K189" s="65">
        <v>132.75</v>
      </c>
      <c r="L189" s="65"/>
      <c r="M189" s="87">
        <f t="shared" si="112"/>
        <v>0.99165674299858331</v>
      </c>
      <c r="N189" s="87">
        <f t="shared" si="113"/>
        <v>0.99163607733860548</v>
      </c>
      <c r="O189" s="87" t="s">
        <v>382</v>
      </c>
      <c r="P189" s="87" t="str">
        <f t="shared" si="115"/>
        <v/>
      </c>
    </row>
    <row r="190" spans="1:18" s="38" customFormat="1" ht="36" x14ac:dyDescent="0.3">
      <c r="A190" s="19" t="s">
        <v>103</v>
      </c>
      <c r="B190" s="19" t="s">
        <v>9</v>
      </c>
      <c r="C190" s="19" t="s">
        <v>5</v>
      </c>
      <c r="D190" s="20" t="s">
        <v>102</v>
      </c>
      <c r="E190" s="59">
        <f t="shared" si="110"/>
        <v>52900</v>
      </c>
      <c r="F190" s="60">
        <v>52900</v>
      </c>
      <c r="G190" s="60"/>
      <c r="H190" s="60"/>
      <c r="I190" s="59">
        <f t="shared" si="125"/>
        <v>50850</v>
      </c>
      <c r="J190" s="65">
        <v>50850</v>
      </c>
      <c r="K190" s="65"/>
      <c r="L190" s="65"/>
      <c r="M190" s="87">
        <f t="shared" si="112"/>
        <v>0.96124763705103966</v>
      </c>
      <c r="N190" s="87">
        <f t="shared" si="113"/>
        <v>0.96124763705103966</v>
      </c>
      <c r="O190" s="87" t="str">
        <f t="shared" si="114"/>
        <v/>
      </c>
      <c r="P190" s="87" t="str">
        <f t="shared" si="115"/>
        <v/>
      </c>
    </row>
    <row r="191" spans="1:18" s="38" customFormat="1" ht="18" x14ac:dyDescent="0.3">
      <c r="A191" s="19" t="s">
        <v>210</v>
      </c>
      <c r="B191" s="19" t="s">
        <v>211</v>
      </c>
      <c r="C191" s="19" t="s">
        <v>5</v>
      </c>
      <c r="D191" s="20" t="s">
        <v>275</v>
      </c>
      <c r="E191" s="59">
        <f t="shared" si="110"/>
        <v>2304182</v>
      </c>
      <c r="F191" s="60">
        <v>2304182</v>
      </c>
      <c r="G191" s="60"/>
      <c r="H191" s="60"/>
      <c r="I191" s="59">
        <f t="shared" si="121"/>
        <v>0</v>
      </c>
      <c r="J191" s="65">
        <v>0</v>
      </c>
      <c r="K191" s="65"/>
      <c r="L191" s="65"/>
      <c r="M191" s="87">
        <f t="shared" si="112"/>
        <v>0</v>
      </c>
      <c r="N191" s="87">
        <f t="shared" si="113"/>
        <v>0</v>
      </c>
      <c r="O191" s="87" t="str">
        <f t="shared" si="114"/>
        <v/>
      </c>
      <c r="P191" s="87" t="str">
        <f t="shared" si="115"/>
        <v/>
      </c>
    </row>
    <row r="192" spans="1:18" s="47" customFormat="1" ht="18" x14ac:dyDescent="0.3">
      <c r="A192" s="23">
        <v>3719770</v>
      </c>
      <c r="B192" s="29">
        <v>9770</v>
      </c>
      <c r="C192" s="25" t="s">
        <v>9</v>
      </c>
      <c r="D192" s="48" t="s">
        <v>158</v>
      </c>
      <c r="E192" s="59">
        <f t="shared" si="110"/>
        <v>6207500</v>
      </c>
      <c r="F192" s="60">
        <v>4124000</v>
      </c>
      <c r="G192" s="60">
        <v>2083500</v>
      </c>
      <c r="H192" s="60">
        <f>G192</f>
        <v>2083500</v>
      </c>
      <c r="I192" s="59">
        <f t="shared" si="121"/>
        <v>6207500</v>
      </c>
      <c r="J192" s="60">
        <v>4124000</v>
      </c>
      <c r="K192" s="60">
        <f>SUM(K194:K198)</f>
        <v>2083500</v>
      </c>
      <c r="L192" s="60">
        <f>SUM(L194:L198)</f>
        <v>2083500</v>
      </c>
      <c r="M192" s="87">
        <f t="shared" si="112"/>
        <v>1</v>
      </c>
      <c r="N192" s="87">
        <f t="shared" si="113"/>
        <v>1</v>
      </c>
      <c r="O192" s="87">
        <f t="shared" si="114"/>
        <v>1</v>
      </c>
      <c r="P192" s="87">
        <f t="shared" si="115"/>
        <v>1</v>
      </c>
    </row>
    <row r="193" spans="1:16" s="47" customFormat="1" ht="18" x14ac:dyDescent="0.3">
      <c r="A193" s="19"/>
      <c r="B193" s="29"/>
      <c r="C193" s="25"/>
      <c r="D193" s="20" t="s">
        <v>325</v>
      </c>
      <c r="E193" s="59">
        <f t="shared" si="110"/>
        <v>0</v>
      </c>
      <c r="F193" s="60"/>
      <c r="G193" s="60"/>
      <c r="H193" s="60"/>
      <c r="I193" s="62"/>
      <c r="J193" s="67"/>
      <c r="K193" s="67"/>
      <c r="L193" s="67"/>
      <c r="M193" s="87" t="str">
        <f t="shared" si="112"/>
        <v/>
      </c>
      <c r="N193" s="87" t="str">
        <f t="shared" si="113"/>
        <v/>
      </c>
      <c r="O193" s="87" t="str">
        <f t="shared" si="114"/>
        <v/>
      </c>
      <c r="P193" s="87" t="str">
        <f t="shared" si="115"/>
        <v/>
      </c>
    </row>
    <row r="194" spans="1:16" s="50" customFormat="1" ht="144" x14ac:dyDescent="0.3">
      <c r="A194" s="21"/>
      <c r="B194" s="21"/>
      <c r="C194" s="30"/>
      <c r="D194" s="22" t="s">
        <v>326</v>
      </c>
      <c r="E194" s="69">
        <f t="shared" si="110"/>
        <v>1570500</v>
      </c>
      <c r="F194" s="113">
        <f>1261500+309000-283500</f>
        <v>1287000</v>
      </c>
      <c r="G194" s="113">
        <v>283500</v>
      </c>
      <c r="H194" s="113">
        <v>283500</v>
      </c>
      <c r="I194" s="69">
        <f t="shared" si="121"/>
        <v>1570500</v>
      </c>
      <c r="J194" s="113">
        <f>1261500+309000-283500</f>
        <v>1287000</v>
      </c>
      <c r="K194" s="113">
        <v>283500</v>
      </c>
      <c r="L194" s="113">
        <v>283500</v>
      </c>
      <c r="M194" s="89">
        <f t="shared" si="112"/>
        <v>1</v>
      </c>
      <c r="N194" s="89">
        <f t="shared" si="113"/>
        <v>1</v>
      </c>
      <c r="O194" s="89">
        <f t="shared" si="114"/>
        <v>1</v>
      </c>
      <c r="P194" s="89">
        <f t="shared" si="115"/>
        <v>1</v>
      </c>
    </row>
    <row r="195" spans="1:16" s="50" customFormat="1" ht="54" x14ac:dyDescent="0.3">
      <c r="A195" s="21"/>
      <c r="B195" s="21"/>
      <c r="C195" s="30"/>
      <c r="D195" s="22" t="s">
        <v>327</v>
      </c>
      <c r="E195" s="69">
        <f t="shared" si="110"/>
        <v>300000</v>
      </c>
      <c r="F195" s="113">
        <v>300000</v>
      </c>
      <c r="G195" s="113"/>
      <c r="H195" s="113"/>
      <c r="I195" s="69">
        <f t="shared" si="121"/>
        <v>300000</v>
      </c>
      <c r="J195" s="113">
        <v>300000</v>
      </c>
      <c r="K195" s="113"/>
      <c r="L195" s="113"/>
      <c r="M195" s="89">
        <f t="shared" si="112"/>
        <v>1</v>
      </c>
      <c r="N195" s="89">
        <f t="shared" si="113"/>
        <v>1</v>
      </c>
      <c r="O195" s="89" t="str">
        <f t="shared" si="114"/>
        <v/>
      </c>
      <c r="P195" s="89" t="str">
        <f t="shared" si="115"/>
        <v/>
      </c>
    </row>
    <row r="196" spans="1:16" s="50" customFormat="1" ht="72" x14ac:dyDescent="0.3">
      <c r="A196" s="21"/>
      <c r="B196" s="21"/>
      <c r="C196" s="30"/>
      <c r="D196" s="22" t="s">
        <v>328</v>
      </c>
      <c r="E196" s="69">
        <f t="shared" si="110"/>
        <v>2237000</v>
      </c>
      <c r="F196" s="113">
        <v>2237000</v>
      </c>
      <c r="G196" s="113"/>
      <c r="H196" s="113"/>
      <c r="I196" s="69">
        <f t="shared" si="121"/>
        <v>2237000</v>
      </c>
      <c r="J196" s="113">
        <v>2237000</v>
      </c>
      <c r="K196" s="113"/>
      <c r="L196" s="113"/>
      <c r="M196" s="89">
        <f t="shared" si="112"/>
        <v>1</v>
      </c>
      <c r="N196" s="89">
        <f t="shared" si="113"/>
        <v>1</v>
      </c>
      <c r="O196" s="89" t="str">
        <f t="shared" si="114"/>
        <v/>
      </c>
      <c r="P196" s="89" t="str">
        <f t="shared" si="115"/>
        <v/>
      </c>
    </row>
    <row r="197" spans="1:16" s="50" customFormat="1" ht="72" x14ac:dyDescent="0.3">
      <c r="A197" s="21"/>
      <c r="B197" s="21"/>
      <c r="C197" s="30"/>
      <c r="D197" s="22" t="s">
        <v>358</v>
      </c>
      <c r="E197" s="69">
        <f t="shared" si="110"/>
        <v>300000</v>
      </c>
      <c r="F197" s="113">
        <v>300000</v>
      </c>
      <c r="G197" s="113"/>
      <c r="H197" s="113"/>
      <c r="I197" s="69">
        <f t="shared" si="121"/>
        <v>300000</v>
      </c>
      <c r="J197" s="113">
        <v>300000</v>
      </c>
      <c r="K197" s="113"/>
      <c r="L197" s="113"/>
      <c r="M197" s="89">
        <f t="shared" si="112"/>
        <v>1</v>
      </c>
      <c r="N197" s="89">
        <f t="shared" si="113"/>
        <v>1</v>
      </c>
      <c r="O197" s="89" t="str">
        <f t="shared" si="114"/>
        <v/>
      </c>
      <c r="P197" s="89" t="str">
        <f t="shared" si="115"/>
        <v/>
      </c>
    </row>
    <row r="198" spans="1:16" s="50" customFormat="1" ht="90" x14ac:dyDescent="0.3">
      <c r="A198" s="21"/>
      <c r="B198" s="21"/>
      <c r="C198" s="30"/>
      <c r="D198" s="22" t="s">
        <v>321</v>
      </c>
      <c r="E198" s="69">
        <f t="shared" si="110"/>
        <v>1800000</v>
      </c>
      <c r="F198" s="113"/>
      <c r="G198" s="113">
        <v>1800000</v>
      </c>
      <c r="H198" s="113">
        <v>1800000</v>
      </c>
      <c r="I198" s="69">
        <f t="shared" si="121"/>
        <v>1800000</v>
      </c>
      <c r="J198" s="113"/>
      <c r="K198" s="113">
        <v>1800000</v>
      </c>
      <c r="L198" s="113">
        <v>1800000</v>
      </c>
      <c r="M198" s="89">
        <f t="shared" si="112"/>
        <v>1</v>
      </c>
      <c r="N198" s="89" t="str">
        <f t="shared" si="113"/>
        <v/>
      </c>
      <c r="O198" s="89">
        <f t="shared" si="114"/>
        <v>1</v>
      </c>
      <c r="P198" s="89">
        <f t="shared" si="115"/>
        <v>1</v>
      </c>
    </row>
    <row r="199" spans="1:16" s="51" customFormat="1" ht="54" x14ac:dyDescent="0.3">
      <c r="A199" s="23">
        <v>3719800</v>
      </c>
      <c r="B199" s="23">
        <v>9800</v>
      </c>
      <c r="C199" s="25" t="s">
        <v>9</v>
      </c>
      <c r="D199" s="20" t="s">
        <v>230</v>
      </c>
      <c r="E199" s="71">
        <f t="shared" si="110"/>
        <v>91029403</v>
      </c>
      <c r="F199" s="72">
        <v>14967460</v>
      </c>
      <c r="G199" s="72">
        <f t="shared" ref="G199:H199" si="126">SUM(G201:G208)</f>
        <v>76061943</v>
      </c>
      <c r="H199" s="72">
        <f t="shared" si="126"/>
        <v>76061943</v>
      </c>
      <c r="I199" s="72">
        <f>SUM(I201:I208)</f>
        <v>87294576.349999994</v>
      </c>
      <c r="J199" s="72">
        <v>14932869.880000001</v>
      </c>
      <c r="K199" s="72">
        <f t="shared" ref="K199:L199" si="127">SUM(K201:K208)</f>
        <v>72361706.469999999</v>
      </c>
      <c r="L199" s="72">
        <f t="shared" si="127"/>
        <v>72361706.469999999</v>
      </c>
      <c r="M199" s="87">
        <f t="shared" si="112"/>
        <v>0.95897120571031313</v>
      </c>
      <c r="N199" s="87">
        <f t="shared" si="113"/>
        <v>0.99768897862429573</v>
      </c>
      <c r="O199" s="87">
        <f t="shared" si="114"/>
        <v>0.95135232701063133</v>
      </c>
      <c r="P199" s="87">
        <f t="shared" si="115"/>
        <v>0.95135232701063133</v>
      </c>
    </row>
    <row r="200" spans="1:16" s="50" customFormat="1" ht="18" x14ac:dyDescent="0.3">
      <c r="A200" s="31"/>
      <c r="B200" s="31"/>
      <c r="C200" s="30"/>
      <c r="D200" s="20" t="s">
        <v>157</v>
      </c>
      <c r="E200" s="69"/>
      <c r="F200" s="70"/>
      <c r="G200" s="70"/>
      <c r="H200" s="70"/>
      <c r="I200" s="69"/>
      <c r="J200" s="70"/>
      <c r="K200" s="70"/>
      <c r="L200" s="70"/>
      <c r="M200" s="89" t="str">
        <f t="shared" si="112"/>
        <v/>
      </c>
      <c r="N200" s="89" t="str">
        <f t="shared" si="113"/>
        <v/>
      </c>
      <c r="O200" s="89" t="str">
        <f t="shared" si="114"/>
        <v/>
      </c>
      <c r="P200" s="89" t="str">
        <f t="shared" si="115"/>
        <v/>
      </c>
    </row>
    <row r="201" spans="1:16" s="50" customFormat="1" ht="162" x14ac:dyDescent="0.3">
      <c r="A201" s="31"/>
      <c r="B201" s="31"/>
      <c r="C201" s="30"/>
      <c r="D201" s="22" t="s">
        <v>359</v>
      </c>
      <c r="E201" s="69">
        <f t="shared" si="110"/>
        <v>64653003</v>
      </c>
      <c r="F201" s="113">
        <f>190000+1000000+1290000+545334+1000000+2000000+295600+2377680+2949666+172780</f>
        <v>11821060</v>
      </c>
      <c r="G201" s="113">
        <f>1300000+6800000+840000+1062000+4750000+1943963+2204400+5202404+4100000+6000000+10044456+5757500+2827220</f>
        <v>52831943</v>
      </c>
      <c r="H201" s="113">
        <f>1300000+6800000+840000+1062000+4750000+1943963+2204400+5202404+4100000+6000000+10044456+5757500+2827220</f>
        <v>52831943</v>
      </c>
      <c r="I201" s="69">
        <f t="shared" si="121"/>
        <v>60953003</v>
      </c>
      <c r="J201" s="70">
        <v>11821060</v>
      </c>
      <c r="K201" s="70">
        <v>49131943</v>
      </c>
      <c r="L201" s="70">
        <v>49131943</v>
      </c>
      <c r="M201" s="89">
        <f t="shared" si="112"/>
        <v>0.94277141310822021</v>
      </c>
      <c r="N201" s="89">
        <f t="shared" si="113"/>
        <v>1</v>
      </c>
      <c r="O201" s="89">
        <f t="shared" si="114"/>
        <v>0.92996661129801717</v>
      </c>
      <c r="P201" s="89">
        <f t="shared" si="115"/>
        <v>0.92996661129801717</v>
      </c>
    </row>
    <row r="202" spans="1:16" s="50" customFormat="1" ht="90" x14ac:dyDescent="0.3">
      <c r="A202" s="31"/>
      <c r="B202" s="31"/>
      <c r="C202" s="30"/>
      <c r="D202" s="22" t="s">
        <v>321</v>
      </c>
      <c r="E202" s="69">
        <f t="shared" si="110"/>
        <v>16200000</v>
      </c>
      <c r="F202" s="113"/>
      <c r="G202" s="113">
        <f>5000000+3200000+8000000</f>
        <v>16200000</v>
      </c>
      <c r="H202" s="113">
        <f>5000000+3200000+8000000</f>
        <v>16200000</v>
      </c>
      <c r="I202" s="69">
        <f t="shared" si="121"/>
        <v>16199789</v>
      </c>
      <c r="J202" s="70"/>
      <c r="K202" s="70">
        <v>16199789</v>
      </c>
      <c r="L202" s="70">
        <v>16199789</v>
      </c>
      <c r="M202" s="89">
        <f t="shared" si="112"/>
        <v>0.999986975308642</v>
      </c>
      <c r="N202" s="89" t="str">
        <f t="shared" si="113"/>
        <v/>
      </c>
      <c r="O202" s="89">
        <f t="shared" si="114"/>
        <v>0.999986975308642</v>
      </c>
      <c r="P202" s="89">
        <f t="shared" si="115"/>
        <v>0.999986975308642</v>
      </c>
    </row>
    <row r="203" spans="1:16" s="50" customFormat="1" ht="54" x14ac:dyDescent="0.3">
      <c r="A203" s="31"/>
      <c r="B203" s="31"/>
      <c r="C203" s="30"/>
      <c r="D203" s="22" t="s">
        <v>329</v>
      </c>
      <c r="E203" s="69">
        <f t="shared" si="110"/>
        <v>2526400</v>
      </c>
      <c r="F203" s="113">
        <f>950000+26400</f>
        <v>976400</v>
      </c>
      <c r="G203" s="113">
        <v>1550000</v>
      </c>
      <c r="H203" s="113">
        <v>1550000</v>
      </c>
      <c r="I203" s="69">
        <f t="shared" si="121"/>
        <v>2491784.35</v>
      </c>
      <c r="J203" s="70">
        <v>941809.88</v>
      </c>
      <c r="K203" s="70">
        <v>1549974.47</v>
      </c>
      <c r="L203" s="70">
        <v>1549974.47</v>
      </c>
      <c r="M203" s="89">
        <f t="shared" si="112"/>
        <v>0.98629842859404693</v>
      </c>
      <c r="N203" s="89">
        <f t="shared" si="113"/>
        <v>0.96457382220401477</v>
      </c>
      <c r="O203" s="89">
        <f t="shared" si="114"/>
        <v>0.99998352903225807</v>
      </c>
      <c r="P203" s="89">
        <f t="shared" si="115"/>
        <v>0.99998352903225807</v>
      </c>
    </row>
    <row r="204" spans="1:16" s="50" customFormat="1" ht="72" x14ac:dyDescent="0.3">
      <c r="A204" s="31"/>
      <c r="B204" s="31"/>
      <c r="C204" s="30"/>
      <c r="D204" s="22" t="s">
        <v>330</v>
      </c>
      <c r="E204" s="69">
        <f t="shared" si="110"/>
        <v>2000000</v>
      </c>
      <c r="F204" s="113">
        <v>2000000</v>
      </c>
      <c r="G204" s="113"/>
      <c r="H204" s="113"/>
      <c r="I204" s="69">
        <f t="shared" si="121"/>
        <v>2000000</v>
      </c>
      <c r="J204" s="70">
        <v>2000000</v>
      </c>
      <c r="K204" s="70"/>
      <c r="L204" s="70"/>
      <c r="M204" s="89">
        <f t="shared" si="112"/>
        <v>1</v>
      </c>
      <c r="N204" s="89">
        <f t="shared" si="113"/>
        <v>1</v>
      </c>
      <c r="O204" s="89" t="str">
        <f t="shared" si="114"/>
        <v/>
      </c>
      <c r="P204" s="89" t="str">
        <f t="shared" si="115"/>
        <v/>
      </c>
    </row>
    <row r="205" spans="1:16" s="50" customFormat="1" ht="54" x14ac:dyDescent="0.3">
      <c r="A205" s="31"/>
      <c r="B205" s="31"/>
      <c r="C205" s="30"/>
      <c r="D205" s="22" t="s">
        <v>360</v>
      </c>
      <c r="E205" s="69">
        <f t="shared" si="110"/>
        <v>950000</v>
      </c>
      <c r="F205" s="113"/>
      <c r="G205" s="113">
        <v>950000</v>
      </c>
      <c r="H205" s="113">
        <v>950000</v>
      </c>
      <c r="I205" s="69">
        <f t="shared" si="121"/>
        <v>950000</v>
      </c>
      <c r="J205" s="70"/>
      <c r="K205" s="76">
        <v>950000</v>
      </c>
      <c r="L205" s="76">
        <v>950000</v>
      </c>
      <c r="M205" s="89">
        <f t="shared" si="112"/>
        <v>1</v>
      </c>
      <c r="N205" s="89" t="str">
        <f t="shared" si="113"/>
        <v/>
      </c>
      <c r="O205" s="89">
        <f t="shared" si="114"/>
        <v>1</v>
      </c>
      <c r="P205" s="89">
        <f t="shared" si="115"/>
        <v>1</v>
      </c>
    </row>
    <row r="206" spans="1:16" s="50" customFormat="1" ht="54" x14ac:dyDescent="0.3">
      <c r="A206" s="31"/>
      <c r="B206" s="31"/>
      <c r="C206" s="30"/>
      <c r="D206" s="22" t="s">
        <v>399</v>
      </c>
      <c r="E206" s="69">
        <f t="shared" si="110"/>
        <v>1000000</v>
      </c>
      <c r="F206" s="113"/>
      <c r="G206" s="113">
        <v>1000000</v>
      </c>
      <c r="H206" s="113">
        <v>1000000</v>
      </c>
      <c r="I206" s="69">
        <f t="shared" si="121"/>
        <v>1000000</v>
      </c>
      <c r="J206" s="76"/>
      <c r="K206" s="76">
        <v>1000000</v>
      </c>
      <c r="L206" s="76">
        <v>1000000</v>
      </c>
      <c r="M206" s="89">
        <f t="shared" si="112"/>
        <v>1</v>
      </c>
      <c r="N206" s="89" t="str">
        <f t="shared" si="113"/>
        <v/>
      </c>
      <c r="O206" s="89">
        <f t="shared" si="114"/>
        <v>1</v>
      </c>
      <c r="P206" s="89">
        <f t="shared" si="115"/>
        <v>1</v>
      </c>
    </row>
    <row r="207" spans="1:16" s="50" customFormat="1" ht="54" x14ac:dyDescent="0.3">
      <c r="A207" s="31"/>
      <c r="B207" s="31"/>
      <c r="C207" s="30"/>
      <c r="D207" s="22" t="s">
        <v>400</v>
      </c>
      <c r="E207" s="69">
        <f t="shared" si="110"/>
        <v>2700000</v>
      </c>
      <c r="F207" s="113"/>
      <c r="G207" s="113">
        <v>2700000</v>
      </c>
      <c r="H207" s="113">
        <v>2700000</v>
      </c>
      <c r="I207" s="69">
        <f t="shared" si="121"/>
        <v>2700000</v>
      </c>
      <c r="J207" s="76"/>
      <c r="K207" s="99">
        <v>2700000</v>
      </c>
      <c r="L207" s="99">
        <v>2700000</v>
      </c>
      <c r="M207" s="89">
        <f t="shared" si="112"/>
        <v>1</v>
      </c>
      <c r="N207" s="89" t="str">
        <f t="shared" si="113"/>
        <v/>
      </c>
      <c r="O207" s="89">
        <f t="shared" si="114"/>
        <v>1</v>
      </c>
      <c r="P207" s="89">
        <f t="shared" si="115"/>
        <v>1</v>
      </c>
    </row>
    <row r="208" spans="1:16" s="50" customFormat="1" ht="90" x14ac:dyDescent="0.3">
      <c r="A208" s="31"/>
      <c r="B208" s="31"/>
      <c r="C208" s="30"/>
      <c r="D208" s="22" t="s">
        <v>401</v>
      </c>
      <c r="E208" s="69">
        <f t="shared" si="110"/>
        <v>1000000</v>
      </c>
      <c r="F208" s="113">
        <v>170000</v>
      </c>
      <c r="G208" s="113">
        <v>830000</v>
      </c>
      <c r="H208" s="113">
        <v>830000</v>
      </c>
      <c r="I208" s="69">
        <f t="shared" si="121"/>
        <v>1000000</v>
      </c>
      <c r="J208" s="76">
        <v>170000</v>
      </c>
      <c r="K208" s="99">
        <v>830000</v>
      </c>
      <c r="L208" s="99">
        <v>830000</v>
      </c>
      <c r="M208" s="89">
        <f t="shared" si="112"/>
        <v>1</v>
      </c>
      <c r="N208" s="89">
        <f t="shared" si="113"/>
        <v>1</v>
      </c>
      <c r="O208" s="89">
        <f t="shared" si="114"/>
        <v>1</v>
      </c>
      <c r="P208" s="89">
        <f t="shared" si="115"/>
        <v>1</v>
      </c>
    </row>
    <row r="209" spans="1:16" s="51" customFormat="1" ht="18" x14ac:dyDescent="0.3">
      <c r="A209" s="32" t="s">
        <v>276</v>
      </c>
      <c r="B209" s="17" t="s">
        <v>276</v>
      </c>
      <c r="C209" s="17" t="s">
        <v>276</v>
      </c>
      <c r="D209" s="17" t="s">
        <v>277</v>
      </c>
      <c r="E209" s="73">
        <f>F209+G209</f>
        <v>1451302886.7800002</v>
      </c>
      <c r="F209" s="73">
        <f>F16+F53+F87+F114+F126+F135+F161+F178+F187+F109</f>
        <v>1014297906.9100001</v>
      </c>
      <c r="G209" s="73">
        <f>G16+G53+G87+G114+G126+G135+G161+G178+G187+G109</f>
        <v>437004979.87</v>
      </c>
      <c r="H209" s="73">
        <f>H16+H53+H87+H114+H126+H135+H161+H178+H187+H109</f>
        <v>406671013.13999999</v>
      </c>
      <c r="I209" s="73">
        <f>J209+K209</f>
        <v>1175749143.0999999</v>
      </c>
      <c r="J209" s="73">
        <f>J16+J53+J87+J114+J126+J135+J161+J178+J187+J109</f>
        <v>937959522.94999981</v>
      </c>
      <c r="K209" s="73">
        <f>K16+K53+K87+K114+K126+K135+K161+K178+K187+K109</f>
        <v>237789620.14999998</v>
      </c>
      <c r="L209" s="73">
        <f>L16+L53+L87+L114+L126+L135+L161+L178+L187+L109</f>
        <v>208467372.08000001</v>
      </c>
      <c r="M209" s="86">
        <f t="shared" si="112"/>
        <v>0.8101335384983831</v>
      </c>
      <c r="N209" s="86">
        <f t="shared" si="113"/>
        <v>0.92473770926673726</v>
      </c>
      <c r="O209" s="86">
        <f t="shared" si="114"/>
        <v>0.54413480647460244</v>
      </c>
      <c r="P209" s="86">
        <f t="shared" si="115"/>
        <v>0.51261920654333271</v>
      </c>
    </row>
    <row r="210" spans="1:16" s="51" customFormat="1" ht="36" x14ac:dyDescent="0.3">
      <c r="A210" s="52"/>
      <c r="B210" s="52"/>
      <c r="C210" s="53" t="s">
        <v>216</v>
      </c>
      <c r="D210" s="54" t="s">
        <v>217</v>
      </c>
      <c r="E210" s="72">
        <f>F210+G210</f>
        <v>136541971</v>
      </c>
      <c r="F210" s="72">
        <f>F18+F23+F24+F55+F56+F89+F90+F116+F117+F137+F163+F164+F180+F181+F189+F190+F128+F129+F138+F139+F111</f>
        <v>135303371</v>
      </c>
      <c r="G210" s="72">
        <f>G18+G23+G24+G55+G56+G89+G90+G116+G117+G137+G163+G164+G180+G181+G189+G190+G128+G129+G138+G139+G111</f>
        <v>1238600</v>
      </c>
      <c r="H210" s="72">
        <f>H18+H23+H24+H55+H56+H89+H90+H116+H117+H137+H163+H164+H180+H181+H189+H190+H128+H129+H138+H139+H111</f>
        <v>1100000</v>
      </c>
      <c r="I210" s="71">
        <f t="shared" ref="I210:I219" si="128">J210+K210</f>
        <v>131444636.03999999</v>
      </c>
      <c r="J210" s="72">
        <f>J18+J23+J24+J55+J56+J89+J90+J116+J117+J137+J163+J164+J180+J181+J189+J190+J128+J129+J138+J139+J111</f>
        <v>123602518.33</v>
      </c>
      <c r="K210" s="72">
        <f>K18+K23+K24+K55+K56+K89+K90+K116+K117+K137+K163+K164+K180+K181+K189+K190+K128+K129+K138+K139+K111</f>
        <v>7842117.709999999</v>
      </c>
      <c r="L210" s="72">
        <f>L18+L23+L24+L55+L56+L89+L90+L116+L117+L137+L163+L164+L180+L181+L189+L190+L128+L129+L138+L139+L111</f>
        <v>1100000</v>
      </c>
      <c r="M210" s="87">
        <f t="shared" si="112"/>
        <v>0.96266836546544354</v>
      </c>
      <c r="N210" s="87">
        <f t="shared" si="113"/>
        <v>0.91352135143772584</v>
      </c>
      <c r="O210" s="87" t="s">
        <v>414</v>
      </c>
      <c r="P210" s="87">
        <f t="shared" si="115"/>
        <v>1</v>
      </c>
    </row>
    <row r="211" spans="1:16" s="51" customFormat="1" ht="18" x14ac:dyDescent="0.3">
      <c r="A211" s="52"/>
      <c r="B211" s="52"/>
      <c r="C211" s="53" t="s">
        <v>218</v>
      </c>
      <c r="D211" s="54" t="s">
        <v>219</v>
      </c>
      <c r="E211" s="72">
        <f t="shared" ref="E211:E219" si="129">F211+G211</f>
        <v>494648460.99000001</v>
      </c>
      <c r="F211" s="72">
        <f>F57+F58+F59+F60+F61+F62+F63+F64+F65+F66+F68+F118+F67+F75+F79+F71+F81</f>
        <v>447940537.99000001</v>
      </c>
      <c r="G211" s="72">
        <f>G57+G58+G59+G60+G61+G62+G63+G64+G65+G66+G68+G118+G80+G79+G70+G69+G81</f>
        <v>46707923</v>
      </c>
      <c r="H211" s="72">
        <f>H57+H58+H59+H60+H61+H62+H63+H64+H65+H66+H68+H118+H80+H79+H70+H69</f>
        <v>18597904</v>
      </c>
      <c r="I211" s="71">
        <f t="shared" si="128"/>
        <v>443059844.65000004</v>
      </c>
      <c r="J211" s="72">
        <f>J57+J58+J59+J60+J61+J62+J63+J64+J65+J66+J68+J118+J67+J75+J79+J71+J81</f>
        <v>406618918.64000005</v>
      </c>
      <c r="K211" s="72">
        <f>K57+K58+K59+K60+K61+K62+K63+K64+K65+K66+K68+K118+K80+K79+K70+K69</f>
        <v>36440926.009999998</v>
      </c>
      <c r="L211" s="72">
        <f>L57+L58+L59+L60+L61+L62+L63+L64+L65+L66+L68+L118+L80+L79+L70+L69</f>
        <v>17302116.460000001</v>
      </c>
      <c r="M211" s="87">
        <f t="shared" si="112"/>
        <v>0.89570650591583889</v>
      </c>
      <c r="N211" s="87">
        <f t="shared" si="113"/>
        <v>0.90775199865719136</v>
      </c>
      <c r="O211" s="87">
        <f t="shared" si="114"/>
        <v>0.78018725024446067</v>
      </c>
      <c r="P211" s="87">
        <f t="shared" si="115"/>
        <v>0.93032615180721445</v>
      </c>
    </row>
    <row r="212" spans="1:16" s="51" customFormat="1" ht="18" x14ac:dyDescent="0.3">
      <c r="A212" s="52"/>
      <c r="B212" s="52"/>
      <c r="C212" s="53" t="s">
        <v>220</v>
      </c>
      <c r="D212" s="54" t="s">
        <v>221</v>
      </c>
      <c r="E212" s="72">
        <f t="shared" si="129"/>
        <v>57017601</v>
      </c>
      <c r="F212" s="72">
        <f>F25+F26+F27+F28+F165</f>
        <v>47832625</v>
      </c>
      <c r="G212" s="72">
        <f>G25+G26+G27+G28+G165</f>
        <v>9184976</v>
      </c>
      <c r="H212" s="72">
        <f>H25+H26+H27+H28+H165</f>
        <v>9184976</v>
      </c>
      <c r="I212" s="71">
        <f t="shared" si="128"/>
        <v>52334066.179999992</v>
      </c>
      <c r="J212" s="72">
        <f>J25+J26+J27+J28+J165</f>
        <v>46802948.489999995</v>
      </c>
      <c r="K212" s="72">
        <f>K25+K26+K27+K28+K165</f>
        <v>5531117.6899999995</v>
      </c>
      <c r="L212" s="72">
        <f>L25+L26+L27+L28+L165</f>
        <v>5531117.6899999995</v>
      </c>
      <c r="M212" s="87">
        <f t="shared" si="112"/>
        <v>0.91785808701421856</v>
      </c>
      <c r="N212" s="87">
        <f t="shared" si="113"/>
        <v>0.97847334303730971</v>
      </c>
      <c r="O212" s="87">
        <f t="shared" si="114"/>
        <v>0.60219185003858466</v>
      </c>
      <c r="P212" s="87">
        <f t="shared" si="115"/>
        <v>0.60219185003858466</v>
      </c>
    </row>
    <row r="213" spans="1:16" s="51" customFormat="1" ht="18" x14ac:dyDescent="0.3">
      <c r="A213" s="52"/>
      <c r="B213" s="52"/>
      <c r="C213" s="53" t="s">
        <v>222</v>
      </c>
      <c r="D213" s="54" t="s">
        <v>223</v>
      </c>
      <c r="E213" s="72">
        <f t="shared" si="129"/>
        <v>114161311.06</v>
      </c>
      <c r="F213" s="72">
        <f>F29+F83+F91+F92+F93+F94+F95+F96+F97+F98+F99+F100+F101+F106+F107+F130+F140+F82+F119+F112+F102</f>
        <v>94929414.060000002</v>
      </c>
      <c r="G213" s="72">
        <f>G29+G83+G91+G92+G93+G94+G95+G96+G97+G98+G99+G100+G101+G106+G107+G130+G140+G82+G119+G112+G103+G105+G104</f>
        <v>19231897</v>
      </c>
      <c r="H213" s="72">
        <f>H29+H83+H91+H92+H93+H94+H95+H96+H97+H98+H99+H100+H101+H106+H107+H130+H140+H82+H119+H112+H103+H105+H104</f>
        <v>19175497</v>
      </c>
      <c r="I213" s="71">
        <f t="shared" si="128"/>
        <v>107629666.73</v>
      </c>
      <c r="J213" s="72">
        <f>J29+J83+J91+J92+J93+J94+J95+J96+J97+J98+J99+J100+J101+J106+J107+J130+J140+J82+J119+J112+J102</f>
        <v>87885217.200000003</v>
      </c>
      <c r="K213" s="72">
        <f>K29+K83+K91+K92+K93+K94+K95+K96+K97+K98+K99+K100+K101+K106+K107+K130+K140+K82+K119+K112+K103+K105+K104</f>
        <v>19744449.530000001</v>
      </c>
      <c r="L213" s="72">
        <f>L29+L83+L91+L92+L93+L94+L95+L96+L97+L98+L99+L100+L101+L106+L107+L130+L140+L82+L119+L112+L103+L105+L104</f>
        <v>19008989.640000001</v>
      </c>
      <c r="M213" s="87">
        <f t="shared" si="112"/>
        <v>0.94278583287671647</v>
      </c>
      <c r="N213" s="87">
        <f t="shared" si="113"/>
        <v>0.92579542463468989</v>
      </c>
      <c r="O213" s="87">
        <f t="shared" si="114"/>
        <v>1.0266511686288671</v>
      </c>
      <c r="P213" s="87">
        <f t="shared" si="115"/>
        <v>0.99131666000625696</v>
      </c>
    </row>
    <row r="214" spans="1:16" s="51" customFormat="1" ht="18" x14ac:dyDescent="0.3">
      <c r="A214" s="52"/>
      <c r="B214" s="52"/>
      <c r="C214" s="53" t="s">
        <v>224</v>
      </c>
      <c r="D214" s="54" t="s">
        <v>225</v>
      </c>
      <c r="E214" s="72">
        <f t="shared" si="129"/>
        <v>29831900</v>
      </c>
      <c r="F214" s="72">
        <f>F120+F121+F122+F123+F124</f>
        <v>29361900</v>
      </c>
      <c r="G214" s="72">
        <f>G120+G121+G122+G123+G124</f>
        <v>470000</v>
      </c>
      <c r="H214" s="72">
        <f>H120+H121+H122+H123+H124</f>
        <v>190000</v>
      </c>
      <c r="I214" s="71">
        <f t="shared" si="128"/>
        <v>27536370.330000002</v>
      </c>
      <c r="J214" s="72">
        <f>J120+J121+J122+J123+J124</f>
        <v>26859441.710000001</v>
      </c>
      <c r="K214" s="72">
        <f>K120+K121+K122+K123+K124</f>
        <v>676928.62</v>
      </c>
      <c r="L214" s="72">
        <f>L120+L121+L122+L123+L124</f>
        <v>190000</v>
      </c>
      <c r="M214" s="87">
        <f t="shared" si="112"/>
        <v>0.92305117441396634</v>
      </c>
      <c r="N214" s="87">
        <f t="shared" si="113"/>
        <v>0.91477192245733419</v>
      </c>
      <c r="O214" s="87">
        <f t="shared" si="114"/>
        <v>1.4402736595744681</v>
      </c>
      <c r="P214" s="87">
        <f t="shared" si="115"/>
        <v>1</v>
      </c>
    </row>
    <row r="215" spans="1:16" s="51" customFormat="1" ht="36" x14ac:dyDescent="0.3">
      <c r="A215" s="52"/>
      <c r="B215" s="52"/>
      <c r="C215" s="53" t="s">
        <v>226</v>
      </c>
      <c r="D215" s="54" t="s">
        <v>227</v>
      </c>
      <c r="E215" s="72">
        <f t="shared" si="129"/>
        <v>15518291</v>
      </c>
      <c r="F215" s="72">
        <f>F84+F131+F132+F134+F133</f>
        <v>15518291</v>
      </c>
      <c r="G215" s="72"/>
      <c r="H215" s="72"/>
      <c r="I215" s="71">
        <f t="shared" si="128"/>
        <v>13594018.930000002</v>
      </c>
      <c r="J215" s="72">
        <f>J84+J131+J132+J134+J133</f>
        <v>13523888.930000002</v>
      </c>
      <c r="K215" s="72">
        <f>K84</f>
        <v>70130</v>
      </c>
      <c r="L215" s="72"/>
      <c r="M215" s="87">
        <f t="shared" si="112"/>
        <v>0.87599974314181905</v>
      </c>
      <c r="N215" s="87">
        <f t="shared" si="113"/>
        <v>0.87148055994052442</v>
      </c>
      <c r="O215" s="87" t="s">
        <v>382</v>
      </c>
      <c r="P215" s="87" t="str">
        <f t="shared" si="115"/>
        <v/>
      </c>
    </row>
    <row r="216" spans="1:16" s="51" customFormat="1" ht="18" x14ac:dyDescent="0.3">
      <c r="A216" s="52"/>
      <c r="B216" s="52"/>
      <c r="C216" s="53" t="s">
        <v>228</v>
      </c>
      <c r="D216" s="54" t="s">
        <v>229</v>
      </c>
      <c r="E216" s="72">
        <f t="shared" si="129"/>
        <v>122811348.40000001</v>
      </c>
      <c r="F216" s="72">
        <f>F30+F141+F143+F144+F146+F166+F167+F169+F182+F142+F113</f>
        <v>88638618.24000001</v>
      </c>
      <c r="G216" s="72">
        <f>G30+G141+G143+G144+G146+G166+G167+G169+G182+G142+G145+G168+G113</f>
        <v>34172730.159999996</v>
      </c>
      <c r="H216" s="72">
        <f>H30+H141+H143+H144+H146+H166+H167+H169+H182+H142+H145+H168+H113</f>
        <v>34172730.159999996</v>
      </c>
      <c r="I216" s="71">
        <f t="shared" si="128"/>
        <v>104854811.44999999</v>
      </c>
      <c r="J216" s="72">
        <f>J30+J141+J143+J144+J146+J166+J167+J169+J182+J142</f>
        <v>85959865.269999996</v>
      </c>
      <c r="K216" s="72">
        <f t="shared" ref="K216:L216" si="130">K30+K141+K143+K144+K146+K166+K167+K169+K182+K142+K145+K168+K113+K81</f>
        <v>18894946.18</v>
      </c>
      <c r="L216" s="72">
        <f t="shared" si="130"/>
        <v>17750850.530000001</v>
      </c>
      <c r="M216" s="87">
        <f t="shared" si="112"/>
        <v>0.85378764109392336</v>
      </c>
      <c r="N216" s="87">
        <f t="shared" si="113"/>
        <v>0.96977894034012402</v>
      </c>
      <c r="O216" s="87">
        <f t="shared" si="114"/>
        <v>0.55292468853182208</v>
      </c>
      <c r="P216" s="87">
        <f t="shared" si="115"/>
        <v>0.5194449037840646</v>
      </c>
    </row>
    <row r="217" spans="1:16" s="51" customFormat="1" ht="18" x14ac:dyDescent="0.3">
      <c r="A217" s="52"/>
      <c r="B217" s="52"/>
      <c r="C217" s="53" t="s">
        <v>298</v>
      </c>
      <c r="D217" s="54" t="s">
        <v>299</v>
      </c>
      <c r="E217" s="72">
        <f t="shared" si="129"/>
        <v>318109854.32999998</v>
      </c>
      <c r="F217" s="72">
        <f>F170+F171+F173+F183+F148+F44+F151+F152+F185+F184+F35+F34+F147+F85+F108+F125+F36</f>
        <v>100521424.98</v>
      </c>
      <c r="G217" s="72">
        <f>G170+G171+G173+G183+G148+G44+G151+G152+G185+G184+G175+G172+G43+G153+G35+G36+G85+G149+G150+G174</f>
        <v>217588429.34999999</v>
      </c>
      <c r="H217" s="72">
        <f>H170+H171+H173+H183+H148+H44+H151+H152+H185+H184+H175+H172+H43+H153+H35+H36+H85+H149+H150+H174</f>
        <v>216548081.62</v>
      </c>
      <c r="I217" s="71">
        <f t="shared" si="128"/>
        <v>156029766.28999999</v>
      </c>
      <c r="J217" s="72">
        <f>J170+J171+J173+J183+J148+J44+J151+J152+J185+J184+J35+J34+J147+J85+J108+J125+J36</f>
        <v>97672637.829999998</v>
      </c>
      <c r="K217" s="72">
        <f>K170+K171+K173+K183+K148+K44+K151+K152+K185+K184+K175+K172+K43+K153+K35+K36+K85+K149+K150+K174</f>
        <v>58357128.460000001</v>
      </c>
      <c r="L217" s="72">
        <f>L170+L171+L173+L183+L148+L44+L151+L152+L185+L184+L175+L172+L43+L153+L35+L36+L85+L149+L150+L174</f>
        <v>57713946.020000003</v>
      </c>
      <c r="M217" s="87">
        <f t="shared" si="112"/>
        <v>0.49049020068437815</v>
      </c>
      <c r="N217" s="87">
        <f t="shared" si="113"/>
        <v>0.97165990085629195</v>
      </c>
      <c r="O217" s="87">
        <f t="shared" si="114"/>
        <v>0.26819959422626349</v>
      </c>
      <c r="P217" s="87">
        <f t="shared" si="115"/>
        <v>0.26651792797350576</v>
      </c>
    </row>
    <row r="218" spans="1:16" s="51" customFormat="1" ht="18" x14ac:dyDescent="0.3">
      <c r="A218" s="52"/>
      <c r="B218" s="52"/>
      <c r="C218" s="53" t="s">
        <v>301</v>
      </c>
      <c r="D218" s="54" t="s">
        <v>300</v>
      </c>
      <c r="E218" s="72">
        <f t="shared" si="129"/>
        <v>65425246</v>
      </c>
      <c r="F218" s="72">
        <f>F86+F154+F176+F46+F47+F48+F186+F155+F50+F156+F191+F49+F52+F45+F159+F157+F51+F158</f>
        <v>35160264.640000001</v>
      </c>
      <c r="G218" s="72">
        <f>G86+G154+G176+G46+G47+G48+G186+G155+G50+G156+G191+G49+G160+G157+G159+G177+G45</f>
        <v>30264981.359999999</v>
      </c>
      <c r="H218" s="72">
        <f>H86+H154+H176+H46+H47+H48+H186+H155+H50+H156+H191+H49+H160+H157+H159+H177+H45</f>
        <v>29556381.359999999</v>
      </c>
      <c r="I218" s="71">
        <f t="shared" si="128"/>
        <v>45763886.150000006</v>
      </c>
      <c r="J218" s="72">
        <f>J86+J154+J176+J46+J47+J48+J186+J155+J50+J156+J191+J49+J52+J45+J159+J157+J51+J158</f>
        <v>29977216.670000002</v>
      </c>
      <c r="K218" s="72">
        <f t="shared" ref="K218:L218" si="131">K86+K154+K176+K46+K47+K48+K186+K155+K50+K156+K191+K49+K160+K157+K159+K177+K45</f>
        <v>15786669.48</v>
      </c>
      <c r="L218" s="72">
        <f t="shared" si="131"/>
        <v>15425145.27</v>
      </c>
      <c r="M218" s="87">
        <f t="shared" si="112"/>
        <v>0.69948359307659314</v>
      </c>
      <c r="N218" s="87">
        <f t="shared" si="113"/>
        <v>0.85258791357037977</v>
      </c>
      <c r="O218" s="87">
        <f t="shared" si="114"/>
        <v>0.52161504057176133</v>
      </c>
      <c r="P218" s="87">
        <f t="shared" si="115"/>
        <v>0.52188882942468573</v>
      </c>
    </row>
    <row r="219" spans="1:16" s="51" customFormat="1" ht="18" x14ac:dyDescent="0.3">
      <c r="A219" s="55"/>
      <c r="B219" s="55"/>
      <c r="C219" s="53" t="s">
        <v>302</v>
      </c>
      <c r="D219" s="19" t="s">
        <v>303</v>
      </c>
      <c r="E219" s="72">
        <f t="shared" si="129"/>
        <v>97236903</v>
      </c>
      <c r="F219" s="72">
        <f>F192+F199</f>
        <v>19091460</v>
      </c>
      <c r="G219" s="72">
        <f>G192+G199</f>
        <v>78145443</v>
      </c>
      <c r="H219" s="72">
        <f>H192+H199</f>
        <v>78145443</v>
      </c>
      <c r="I219" s="71">
        <f t="shared" si="128"/>
        <v>93502076.349999994</v>
      </c>
      <c r="J219" s="72">
        <f>J192+J199</f>
        <v>19056869.880000003</v>
      </c>
      <c r="K219" s="72">
        <f>K192+K199</f>
        <v>74445206.469999999</v>
      </c>
      <c r="L219" s="72">
        <f>L192+L199</f>
        <v>74445206.469999999</v>
      </c>
      <c r="M219" s="87">
        <f t="shared" si="112"/>
        <v>0.96159044010276629</v>
      </c>
      <c r="N219" s="87">
        <f t="shared" si="113"/>
        <v>0.99818818885512173</v>
      </c>
      <c r="O219" s="87">
        <f t="shared" si="114"/>
        <v>0.95264936267620881</v>
      </c>
      <c r="P219" s="87">
        <f t="shared" si="115"/>
        <v>0.95264936267620881</v>
      </c>
    </row>
    <row r="220" spans="1:16" s="56" customFormat="1" ht="21" x14ac:dyDescent="0.4">
      <c r="A220" s="35"/>
      <c r="B220" s="35"/>
      <c r="C220" s="35"/>
      <c r="D220" s="35" t="s">
        <v>1</v>
      </c>
      <c r="E220" s="74">
        <f>F220+G220</f>
        <v>1451302886.78</v>
      </c>
      <c r="F220" s="74">
        <f t="shared" ref="F220" si="132">SUM(F210:F219)</f>
        <v>1014297906.91</v>
      </c>
      <c r="G220" s="74">
        <f t="shared" ref="G220:L220" si="133">SUM(G210:G219)</f>
        <v>437004979.87</v>
      </c>
      <c r="H220" s="74">
        <f t="shared" si="133"/>
        <v>406671013.13999999</v>
      </c>
      <c r="I220" s="74">
        <f>SUM(I210:I219)</f>
        <v>1175749143.0999999</v>
      </c>
      <c r="J220" s="74">
        <f t="shared" si="133"/>
        <v>937959522.95000005</v>
      </c>
      <c r="K220" s="74">
        <f t="shared" si="133"/>
        <v>237789620.15000001</v>
      </c>
      <c r="L220" s="74">
        <f t="shared" si="133"/>
        <v>208467372.07999998</v>
      </c>
      <c r="M220" s="86">
        <f t="shared" si="112"/>
        <v>0.81013353849838332</v>
      </c>
      <c r="N220" s="86">
        <f t="shared" si="113"/>
        <v>0.9247377092667376</v>
      </c>
      <c r="O220" s="86">
        <f t="shared" si="114"/>
        <v>0.54413480647460244</v>
      </c>
      <c r="P220" s="86">
        <f t="shared" si="115"/>
        <v>0.5126192065433326</v>
      </c>
    </row>
    <row r="221" spans="1:16" s="2" customFormat="1" ht="18" x14ac:dyDescent="0.35">
      <c r="A221" s="33"/>
      <c r="B221" s="33"/>
      <c r="C221" s="33"/>
      <c r="D221" s="15"/>
      <c r="E221" s="79"/>
      <c r="F221" s="16"/>
      <c r="G221" s="15"/>
      <c r="H221" s="15"/>
      <c r="I221" s="15"/>
      <c r="J221" s="16"/>
      <c r="K221" s="15"/>
      <c r="L221" s="15"/>
      <c r="M221" s="93"/>
      <c r="N221" s="93"/>
      <c r="O221" s="93"/>
      <c r="P221" s="93"/>
    </row>
    <row r="222" spans="1:16" s="2" customFormat="1" ht="18" x14ac:dyDescent="0.35">
      <c r="A222" s="33"/>
      <c r="B222" s="33"/>
      <c r="C222" s="33"/>
      <c r="D222" s="15"/>
      <c r="E222" s="16" t="s">
        <v>286</v>
      </c>
      <c r="F222" s="16"/>
      <c r="G222" s="16"/>
      <c r="H222" s="16"/>
      <c r="I222" s="16"/>
      <c r="J222" s="143" t="s">
        <v>287</v>
      </c>
      <c r="K222" s="143"/>
      <c r="L222" s="16">
        <f>L209-L220</f>
        <v>0</v>
      </c>
      <c r="M222" s="94"/>
      <c r="N222" s="94"/>
      <c r="O222" s="94"/>
      <c r="P222" s="94"/>
    </row>
    <row r="223" spans="1:16" s="2" customFormat="1" ht="18" x14ac:dyDescent="0.35">
      <c r="A223" s="33"/>
      <c r="B223" s="33"/>
      <c r="C223" s="33"/>
      <c r="D223" s="15"/>
      <c r="E223" s="16">
        <f>E220-E209</f>
        <v>0</v>
      </c>
      <c r="F223" s="16">
        <f t="shared" ref="F223:P223" si="134">F220-F209</f>
        <v>0</v>
      </c>
      <c r="G223" s="16">
        <f t="shared" si="134"/>
        <v>0</v>
      </c>
      <c r="H223" s="16">
        <f t="shared" si="134"/>
        <v>0</v>
      </c>
      <c r="I223" s="16">
        <f t="shared" si="134"/>
        <v>0</v>
      </c>
      <c r="J223" s="16">
        <f t="shared" si="134"/>
        <v>0</v>
      </c>
      <c r="K223" s="16">
        <f t="shared" si="134"/>
        <v>0</v>
      </c>
      <c r="L223" s="16">
        <f t="shared" si="134"/>
        <v>0</v>
      </c>
      <c r="M223" s="95">
        <f t="shared" si="134"/>
        <v>0</v>
      </c>
      <c r="N223" s="95">
        <f t="shared" si="134"/>
        <v>0</v>
      </c>
      <c r="O223" s="95">
        <f t="shared" si="134"/>
        <v>0</v>
      </c>
      <c r="P223" s="95">
        <f t="shared" si="134"/>
        <v>0</v>
      </c>
    </row>
    <row r="224" spans="1:16" s="78" customFormat="1" x14ac:dyDescent="0.3">
      <c r="A224" s="5"/>
      <c r="B224" s="5"/>
      <c r="C224" s="5"/>
      <c r="D224" s="75"/>
      <c r="E224" s="75"/>
      <c r="F224" s="75"/>
      <c r="G224" s="75"/>
      <c r="H224" s="75"/>
      <c r="I224" s="75"/>
      <c r="J224" s="75"/>
      <c r="K224" s="75"/>
      <c r="L224" s="75"/>
      <c r="M224" s="108"/>
      <c r="N224" s="108"/>
      <c r="O224" s="108"/>
      <c r="P224" s="108"/>
    </row>
    <row r="225" spans="7:11" x14ac:dyDescent="0.3">
      <c r="I225" s="34"/>
      <c r="J225" s="34"/>
    </row>
    <row r="226" spans="7:11" ht="18" x14ac:dyDescent="0.35">
      <c r="G226" s="97"/>
      <c r="K226" s="100"/>
    </row>
    <row r="227" spans="7:11" x14ac:dyDescent="0.3">
      <c r="G227" s="75"/>
      <c r="K227" s="34"/>
    </row>
    <row r="228" spans="7:11" x14ac:dyDescent="0.3">
      <c r="G228" s="34"/>
      <c r="H228" s="109">
        <f>G216-H216</f>
        <v>0</v>
      </c>
      <c r="K228" s="34"/>
    </row>
  </sheetData>
  <customSheetViews>
    <customSheetView guid="{22648713-93C4-4BCC-9593-E6D578C36006}" scale="72" showPageBreaks="1" fitToPage="1" printArea="1" hiddenRows="1" view="pageBreakPreview">
      <pane xSplit="4" ySplit="12" topLeftCell="E91" activePane="bottomRight" state="frozen"/>
      <selection pane="bottomRight" activeCell="E99" sqref="E99"/>
      <rowBreaks count="2" manualBreakCount="2">
        <brk id="70" max="15" man="1"/>
        <brk id="98" max="15" man="1"/>
      </rowBreaks>
      <pageMargins left="0.39370078740157483" right="0.15748031496062992" top="0.15748031496062992" bottom="0.11811023622047245" header="0.15748031496062992" footer="0.11811023622047245"/>
      <pageSetup paperSize="9" scale="45" fitToHeight="15" orientation="landscape" r:id="rId1"/>
    </customSheetView>
  </customSheetViews>
  <mergeCells count="29">
    <mergeCell ref="J222:K222"/>
    <mergeCell ref="M1:P1"/>
    <mergeCell ref="A6:P6"/>
    <mergeCell ref="G13:G14"/>
    <mergeCell ref="O13:O14"/>
    <mergeCell ref="G12:H12"/>
    <mergeCell ref="J12:J14"/>
    <mergeCell ref="A10:A14"/>
    <mergeCell ref="M10:P10"/>
    <mergeCell ref="M11:M14"/>
    <mergeCell ref="N11:P11"/>
    <mergeCell ref="F11:H11"/>
    <mergeCell ref="E11:E14"/>
    <mergeCell ref="E10:H10"/>
    <mergeCell ref="M4:O4"/>
    <mergeCell ref="B10:B14"/>
    <mergeCell ref="C10:C14"/>
    <mergeCell ref="N12:N14"/>
    <mergeCell ref="O12:P12"/>
    <mergeCell ref="K13:K14"/>
    <mergeCell ref="A5:P5"/>
    <mergeCell ref="M2:P2"/>
    <mergeCell ref="M3:P3"/>
    <mergeCell ref="D10:D14"/>
    <mergeCell ref="F12:F14"/>
    <mergeCell ref="K12:L12"/>
    <mergeCell ref="J11:L11"/>
    <mergeCell ref="I10:L10"/>
    <mergeCell ref="I11:I14"/>
  </mergeCells>
  <pageMargins left="0.19685039370078741" right="0.19685039370078741" top="0.39370078740157483" bottom="0.39370078740157483" header="0.15748031496062992" footer="0.11811023622047245"/>
  <pageSetup paperSize="9" scale="47" fitToWidth="12" fitToHeight="12" orientation="landscape" r:id="rId2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2024</vt:lpstr>
      <vt:lpstr>'2024'!Заголовки_для_друку</vt:lpstr>
      <vt:lpstr>'2024'!Область_друку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220FU2</cp:lastModifiedBy>
  <cp:lastPrinted>2025-01-23T08:28:15Z</cp:lastPrinted>
  <dcterms:created xsi:type="dcterms:W3CDTF">2012-12-15T07:44:03Z</dcterms:created>
  <dcterms:modified xsi:type="dcterms:W3CDTF">2025-01-23T08:41:05Z</dcterms:modified>
</cp:coreProperties>
</file>