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ВИКОНКОМ 28.01.2025\1.2\"/>
    </mc:Choice>
  </mc:AlternateContent>
  <xr:revisionPtr revIDLastSave="0" documentId="13_ncr:1_{8BBE45D3-A9A6-4368-A3CA-D3773FEB8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1" r:id="rId1"/>
  </sheets>
  <definedNames>
    <definedName name="_xlnm.Print_Titles" localSheetId="0">'2025'!$13:$17</definedName>
    <definedName name="_xlnm.Print_Area" localSheetId="0">'2025'!$A$1:$P$195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0" i="1" l="1"/>
  <c r="E179" i="1"/>
  <c r="I191" i="1" l="1"/>
  <c r="L191" i="1"/>
  <c r="M191" i="1"/>
  <c r="N191" i="1"/>
  <c r="L131" i="1" l="1"/>
  <c r="M131" i="1"/>
  <c r="N131" i="1"/>
  <c r="O131" i="1"/>
  <c r="K131" i="1"/>
  <c r="J147" i="1"/>
  <c r="E147" i="1"/>
  <c r="P147" i="1" s="1"/>
  <c r="O153" i="1" l="1"/>
  <c r="K153" i="1"/>
  <c r="J179" i="1" l="1"/>
  <c r="P179" i="1" s="1"/>
  <c r="J180" i="1"/>
  <c r="P180" i="1" s="1"/>
  <c r="L184" i="1"/>
  <c r="N190" i="1"/>
  <c r="L192" i="1"/>
  <c r="G185" i="1"/>
  <c r="H185" i="1"/>
  <c r="I185" i="1"/>
  <c r="K185" i="1"/>
  <c r="L185" i="1"/>
  <c r="M185" i="1"/>
  <c r="N185" i="1"/>
  <c r="O185" i="1"/>
  <c r="I184" i="1"/>
  <c r="N184" i="1"/>
  <c r="N169" i="1"/>
  <c r="H169" i="1"/>
  <c r="L178" i="1"/>
  <c r="L169" i="1" s="1"/>
  <c r="M178" i="1"/>
  <c r="M192" i="1" s="1"/>
  <c r="N178" i="1"/>
  <c r="N192" i="1" s="1"/>
  <c r="O178" i="1"/>
  <c r="O169" i="1" s="1"/>
  <c r="K178" i="1"/>
  <c r="K169" i="1" s="1"/>
  <c r="G178" i="1"/>
  <c r="G192" i="1" s="1"/>
  <c r="H178" i="1"/>
  <c r="H192" i="1" s="1"/>
  <c r="I178" i="1"/>
  <c r="F178" i="1"/>
  <c r="F177" i="1"/>
  <c r="F161" i="1"/>
  <c r="M148" i="1"/>
  <c r="N148" i="1"/>
  <c r="L149" i="1"/>
  <c r="L148" i="1" s="1"/>
  <c r="M149" i="1"/>
  <c r="N149" i="1"/>
  <c r="O149" i="1"/>
  <c r="O148" i="1" s="1"/>
  <c r="H149" i="1"/>
  <c r="I149" i="1"/>
  <c r="F149" i="1"/>
  <c r="O157" i="1"/>
  <c r="J157" i="1" s="1"/>
  <c r="K157" i="1"/>
  <c r="J153" i="1"/>
  <c r="O151" i="1"/>
  <c r="O184" i="1" s="1"/>
  <c r="K151" i="1"/>
  <c r="K149" i="1" s="1"/>
  <c r="K148" i="1" s="1"/>
  <c r="E157" i="1"/>
  <c r="J151" i="1"/>
  <c r="P151" i="1" s="1"/>
  <c r="J152" i="1"/>
  <c r="J154" i="1"/>
  <c r="J155" i="1"/>
  <c r="J156" i="1"/>
  <c r="E151" i="1"/>
  <c r="E152" i="1"/>
  <c r="E153" i="1"/>
  <c r="E154" i="1"/>
  <c r="E155" i="1"/>
  <c r="F146" i="1"/>
  <c r="J144" i="1"/>
  <c r="E144" i="1"/>
  <c r="J143" i="1"/>
  <c r="E143" i="1"/>
  <c r="J140" i="1"/>
  <c r="E140" i="1"/>
  <c r="J139" i="1"/>
  <c r="E139" i="1"/>
  <c r="F138" i="1"/>
  <c r="F131" i="1" s="1"/>
  <c r="J135" i="1"/>
  <c r="E135" i="1"/>
  <c r="L58" i="1"/>
  <c r="M58" i="1"/>
  <c r="N58" i="1"/>
  <c r="I58" i="1"/>
  <c r="G66" i="1"/>
  <c r="F66" i="1"/>
  <c r="E66" i="1" s="1"/>
  <c r="P66" i="1" s="1"/>
  <c r="G65" i="1"/>
  <c r="F65" i="1"/>
  <c r="E65" i="1" s="1"/>
  <c r="P65" i="1" s="1"/>
  <c r="P64" i="1"/>
  <c r="F101" i="1"/>
  <c r="G92" i="1"/>
  <c r="F92" i="1"/>
  <c r="O83" i="1"/>
  <c r="O191" i="1" s="1"/>
  <c r="K83" i="1"/>
  <c r="K191" i="1" s="1"/>
  <c r="F81" i="1"/>
  <c r="E81" i="1" s="1"/>
  <c r="J74" i="1"/>
  <c r="J75" i="1"/>
  <c r="J76" i="1"/>
  <c r="J77" i="1"/>
  <c r="J78" i="1"/>
  <c r="E74" i="1"/>
  <c r="E75" i="1"/>
  <c r="E76" i="1"/>
  <c r="E77" i="1"/>
  <c r="E78" i="1"/>
  <c r="E79" i="1"/>
  <c r="E80" i="1"/>
  <c r="E72" i="1"/>
  <c r="P72" i="1" s="1"/>
  <c r="F71" i="1"/>
  <c r="F70" i="1"/>
  <c r="F68" i="1"/>
  <c r="F62" i="1"/>
  <c r="F61" i="1"/>
  <c r="F60" i="1"/>
  <c r="J55" i="1"/>
  <c r="E55" i="1"/>
  <c r="O49" i="1"/>
  <c r="K49" i="1"/>
  <c r="L41" i="1"/>
  <c r="L190" i="1" s="1"/>
  <c r="M41" i="1"/>
  <c r="M190" i="1" s="1"/>
  <c r="N41" i="1"/>
  <c r="O41" i="1"/>
  <c r="K41" i="1"/>
  <c r="F41" i="1"/>
  <c r="P47" i="1"/>
  <c r="O40" i="1"/>
  <c r="O190" i="1" s="1"/>
  <c r="K40" i="1"/>
  <c r="K190" i="1" s="1"/>
  <c r="O39" i="1"/>
  <c r="K39" i="1"/>
  <c r="F39" i="1"/>
  <c r="F36" i="1"/>
  <c r="F27" i="1"/>
  <c r="F22" i="1"/>
  <c r="G63" i="1" l="1"/>
  <c r="M169" i="1"/>
  <c r="O192" i="1"/>
  <c r="K192" i="1"/>
  <c r="J178" i="1"/>
  <c r="F63" i="1"/>
  <c r="F184" i="1" s="1"/>
  <c r="F58" i="1"/>
  <c r="K58" i="1"/>
  <c r="E178" i="1"/>
  <c r="K184" i="1"/>
  <c r="I192" i="1"/>
  <c r="O58" i="1"/>
  <c r="I169" i="1"/>
  <c r="P154" i="1"/>
  <c r="P153" i="1"/>
  <c r="P152" i="1"/>
  <c r="P155" i="1"/>
  <c r="P157" i="1"/>
  <c r="P135" i="1"/>
  <c r="P144" i="1"/>
  <c r="P74" i="1"/>
  <c r="P75" i="1"/>
  <c r="P78" i="1"/>
  <c r="P143" i="1"/>
  <c r="P140" i="1"/>
  <c r="P139" i="1"/>
  <c r="P76" i="1"/>
  <c r="P77" i="1"/>
  <c r="P55" i="1"/>
  <c r="P178" i="1" l="1"/>
  <c r="H21" i="1"/>
  <c r="F21" i="1"/>
  <c r="J45" i="1" l="1"/>
  <c r="J46" i="1"/>
  <c r="J48" i="1"/>
  <c r="J49" i="1"/>
  <c r="E49" i="1"/>
  <c r="P49" i="1" l="1"/>
  <c r="G170" i="1"/>
  <c r="G169" i="1" s="1"/>
  <c r="F188" i="1" l="1"/>
  <c r="I188" i="1"/>
  <c r="K188" i="1"/>
  <c r="L188" i="1"/>
  <c r="M188" i="1"/>
  <c r="N188" i="1"/>
  <c r="O188" i="1"/>
  <c r="I187" i="1"/>
  <c r="K187" i="1"/>
  <c r="N187" i="1"/>
  <c r="O187" i="1"/>
  <c r="I186" i="1"/>
  <c r="K186" i="1"/>
  <c r="L186" i="1"/>
  <c r="M186" i="1"/>
  <c r="N186" i="1"/>
  <c r="O186" i="1"/>
  <c r="M114" i="1" l="1"/>
  <c r="M184" i="1" s="1"/>
  <c r="J83" i="1" l="1"/>
  <c r="F31" i="1" l="1"/>
  <c r="L159" i="1" l="1"/>
  <c r="M159" i="1"/>
  <c r="N159" i="1"/>
  <c r="O159" i="1"/>
  <c r="K159" i="1"/>
  <c r="H159" i="1"/>
  <c r="I159" i="1"/>
  <c r="F159" i="1"/>
  <c r="J163" i="1"/>
  <c r="E163" i="1"/>
  <c r="P163" i="1" s="1"/>
  <c r="J39" i="1"/>
  <c r="E39" i="1"/>
  <c r="P39" i="1" l="1"/>
  <c r="E170" i="1"/>
  <c r="H114" i="1" l="1"/>
  <c r="H92" i="1" l="1"/>
  <c r="F53" i="1" l="1"/>
  <c r="F191" i="1" s="1"/>
  <c r="F102" i="1" l="1"/>
  <c r="F190" i="1" s="1"/>
  <c r="E105" i="1"/>
  <c r="P105" i="1" s="1"/>
  <c r="E104" i="1"/>
  <c r="P104" i="1" s="1"/>
  <c r="E103" i="1"/>
  <c r="P103" i="1" s="1"/>
  <c r="H61" i="1"/>
  <c r="G61" i="1"/>
  <c r="G41" i="1"/>
  <c r="G190" i="1" s="1"/>
  <c r="H41" i="1"/>
  <c r="H190" i="1" s="1"/>
  <c r="I41" i="1"/>
  <c r="I190" i="1" s="1"/>
  <c r="F30" i="1"/>
  <c r="E31" i="1"/>
  <c r="E32" i="1"/>
  <c r="P32" i="1" s="1"/>
  <c r="E33" i="1"/>
  <c r="E48" i="1"/>
  <c r="P48" i="1" s="1"/>
  <c r="E46" i="1"/>
  <c r="P46" i="1" s="1"/>
  <c r="P33" i="1" l="1"/>
  <c r="P31" i="1"/>
  <c r="E45" i="1"/>
  <c r="P45" i="1" s="1"/>
  <c r="E44" i="1"/>
  <c r="P44" i="1" s="1"/>
  <c r="E43" i="1"/>
  <c r="P43" i="1" s="1"/>
  <c r="E42" i="1"/>
  <c r="P42" i="1" s="1"/>
  <c r="M118" i="1" l="1"/>
  <c r="M187" i="1" s="1"/>
  <c r="L168" i="1"/>
  <c r="M168" i="1"/>
  <c r="N168" i="1"/>
  <c r="O168" i="1"/>
  <c r="K168" i="1"/>
  <c r="J175" i="1"/>
  <c r="J176" i="1"/>
  <c r="J177" i="1"/>
  <c r="H168" i="1"/>
  <c r="I168" i="1"/>
  <c r="E176" i="1"/>
  <c r="E175" i="1"/>
  <c r="E177" i="1"/>
  <c r="P177" i="1" l="1"/>
  <c r="P176" i="1"/>
  <c r="P175" i="1"/>
  <c r="F174" i="1"/>
  <c r="F169" i="1" l="1"/>
  <c r="F192" i="1"/>
  <c r="E174" i="1"/>
  <c r="E169" i="1"/>
  <c r="E168" i="1" s="1"/>
  <c r="J173" i="1"/>
  <c r="E173" i="1"/>
  <c r="J171" i="1"/>
  <c r="E171" i="1"/>
  <c r="J165" i="1"/>
  <c r="E165" i="1"/>
  <c r="G160" i="1"/>
  <c r="G159" i="1" s="1"/>
  <c r="E156" i="1"/>
  <c r="P156" i="1" s="1"/>
  <c r="G150" i="1"/>
  <c r="G149" i="1" s="1"/>
  <c r="J142" i="1"/>
  <c r="E142" i="1"/>
  <c r="I138" i="1"/>
  <c r="I131" i="1" s="1"/>
  <c r="H132" i="1"/>
  <c r="H131" i="1" s="1"/>
  <c r="G132" i="1"/>
  <c r="G131" i="1" s="1"/>
  <c r="L123" i="1"/>
  <c r="M123" i="1"/>
  <c r="N123" i="1"/>
  <c r="O123" i="1"/>
  <c r="K123" i="1"/>
  <c r="I123" i="1"/>
  <c r="J129" i="1"/>
  <c r="E129" i="1"/>
  <c r="H125" i="1"/>
  <c r="G125" i="1"/>
  <c r="F125" i="1"/>
  <c r="F186" i="1" s="1"/>
  <c r="G124" i="1"/>
  <c r="N112" i="1"/>
  <c r="O112" i="1"/>
  <c r="K112" i="1"/>
  <c r="I112" i="1"/>
  <c r="J121" i="1"/>
  <c r="E121" i="1"/>
  <c r="H119" i="1"/>
  <c r="G119" i="1"/>
  <c r="H118" i="1"/>
  <c r="G118" i="1"/>
  <c r="F118" i="1"/>
  <c r="H117" i="1"/>
  <c r="G117" i="1"/>
  <c r="F117" i="1"/>
  <c r="H116" i="1"/>
  <c r="G116" i="1"/>
  <c r="G114" i="1"/>
  <c r="G113" i="1"/>
  <c r="L107" i="1"/>
  <c r="M107" i="1"/>
  <c r="N107" i="1"/>
  <c r="O107" i="1"/>
  <c r="K107" i="1"/>
  <c r="H107" i="1"/>
  <c r="H106" i="1" s="1"/>
  <c r="I107" i="1"/>
  <c r="I106" i="1" s="1"/>
  <c r="F107" i="1"/>
  <c r="F106" i="1" s="1"/>
  <c r="J110" i="1"/>
  <c r="E110" i="1"/>
  <c r="G108" i="1"/>
  <c r="G107" i="1" s="1"/>
  <c r="G106" i="1" s="1"/>
  <c r="L85" i="1"/>
  <c r="M85" i="1"/>
  <c r="N85" i="1"/>
  <c r="O85" i="1"/>
  <c r="K85" i="1"/>
  <c r="I85" i="1"/>
  <c r="F85" i="1"/>
  <c r="J102" i="1"/>
  <c r="E102" i="1"/>
  <c r="J95" i="1"/>
  <c r="E95" i="1"/>
  <c r="G93" i="1"/>
  <c r="H93" i="1"/>
  <c r="H186" i="1" s="1"/>
  <c r="H86" i="1"/>
  <c r="G86" i="1"/>
  <c r="G186" i="1" l="1"/>
  <c r="E192" i="1"/>
  <c r="H187" i="1"/>
  <c r="G187" i="1"/>
  <c r="F187" i="1"/>
  <c r="F123" i="1"/>
  <c r="H123" i="1"/>
  <c r="F168" i="1"/>
  <c r="P173" i="1"/>
  <c r="P171" i="1"/>
  <c r="P165" i="1"/>
  <c r="P121" i="1"/>
  <c r="G123" i="1"/>
  <c r="P142" i="1"/>
  <c r="G112" i="1"/>
  <c r="H112" i="1"/>
  <c r="P110" i="1"/>
  <c r="P129" i="1"/>
  <c r="F112" i="1"/>
  <c r="P102" i="1"/>
  <c r="H85" i="1"/>
  <c r="G85" i="1"/>
  <c r="P95" i="1"/>
  <c r="G168" i="1" l="1"/>
  <c r="E83" i="1"/>
  <c r="P83" i="1" s="1"/>
  <c r="J82" i="1"/>
  <c r="E82" i="1"/>
  <c r="H81" i="1"/>
  <c r="H188" i="1" s="1"/>
  <c r="G81" i="1"/>
  <c r="G188" i="1" s="1"/>
  <c r="H71" i="1"/>
  <c r="G71" i="1"/>
  <c r="H70" i="1"/>
  <c r="G70" i="1"/>
  <c r="H73" i="1"/>
  <c r="G73" i="1"/>
  <c r="H68" i="1"/>
  <c r="G68" i="1"/>
  <c r="H62" i="1"/>
  <c r="G62" i="1"/>
  <c r="H60" i="1"/>
  <c r="G60" i="1"/>
  <c r="H59" i="1"/>
  <c r="H58" i="1" s="1"/>
  <c r="G59" i="1"/>
  <c r="G58" i="1" s="1"/>
  <c r="H52" i="1"/>
  <c r="H191" i="1" s="1"/>
  <c r="G52" i="1"/>
  <c r="G191" i="1" s="1"/>
  <c r="E51" i="1"/>
  <c r="J41" i="1"/>
  <c r="E41" i="1"/>
  <c r="J40" i="1"/>
  <c r="E40" i="1"/>
  <c r="F29" i="1"/>
  <c r="F185" i="1" s="1"/>
  <c r="H24" i="1"/>
  <c r="G24" i="1"/>
  <c r="H23" i="1"/>
  <c r="G23" i="1"/>
  <c r="H22" i="1"/>
  <c r="G22" i="1"/>
  <c r="G21" i="1"/>
  <c r="G184" i="1" l="1"/>
  <c r="H184" i="1"/>
  <c r="P51" i="1"/>
  <c r="P82" i="1"/>
  <c r="P41" i="1"/>
  <c r="P40" i="1"/>
  <c r="L35" i="1"/>
  <c r="L189" i="1" s="1"/>
  <c r="M35" i="1"/>
  <c r="M189" i="1" s="1"/>
  <c r="N35" i="1"/>
  <c r="N189" i="1" s="1"/>
  <c r="O35" i="1"/>
  <c r="O189" i="1" s="1"/>
  <c r="K35" i="1"/>
  <c r="K189" i="1" s="1"/>
  <c r="G35" i="1"/>
  <c r="G189" i="1" s="1"/>
  <c r="H35" i="1"/>
  <c r="H189" i="1" s="1"/>
  <c r="I35" i="1"/>
  <c r="I189" i="1" s="1"/>
  <c r="F35" i="1"/>
  <c r="F189" i="1" s="1"/>
  <c r="J36" i="1"/>
  <c r="J37" i="1"/>
  <c r="J38" i="1"/>
  <c r="E37" i="1"/>
  <c r="E38" i="1"/>
  <c r="E36" i="1"/>
  <c r="P36" i="1" l="1"/>
  <c r="P38" i="1"/>
  <c r="P37" i="1"/>
  <c r="L20" i="1" l="1"/>
  <c r="L19" i="1" s="1"/>
  <c r="M20" i="1"/>
  <c r="M19" i="1" s="1"/>
  <c r="N20" i="1"/>
  <c r="N19" i="1" s="1"/>
  <c r="O20" i="1"/>
  <c r="O19" i="1" s="1"/>
  <c r="K20" i="1"/>
  <c r="K19" i="1" s="1"/>
  <c r="J22" i="1"/>
  <c r="J23" i="1"/>
  <c r="J24" i="1"/>
  <c r="J21" i="1"/>
  <c r="E22" i="1"/>
  <c r="E23" i="1"/>
  <c r="E24" i="1"/>
  <c r="E21" i="1"/>
  <c r="F20" i="1"/>
  <c r="F19" i="1" s="1"/>
  <c r="H20" i="1"/>
  <c r="H19" i="1" s="1"/>
  <c r="I20" i="1"/>
  <c r="I19" i="1" s="1"/>
  <c r="G20" i="1"/>
  <c r="G19" i="1" s="1"/>
  <c r="J19" i="1" l="1"/>
  <c r="F183" i="1"/>
  <c r="I183" i="1"/>
  <c r="N183" i="1"/>
  <c r="N193" i="1" s="1"/>
  <c r="H183" i="1"/>
  <c r="K183" i="1"/>
  <c r="K193" i="1" s="1"/>
  <c r="M183" i="1"/>
  <c r="M193" i="1" s="1"/>
  <c r="O183" i="1"/>
  <c r="O193" i="1" s="1"/>
  <c r="G183" i="1"/>
  <c r="L183" i="1"/>
  <c r="P24" i="1"/>
  <c r="P21" i="1"/>
  <c r="P23" i="1"/>
  <c r="P22" i="1"/>
  <c r="L106" i="1"/>
  <c r="M106" i="1"/>
  <c r="N106" i="1"/>
  <c r="O106" i="1"/>
  <c r="K106" i="1"/>
  <c r="L84" i="1"/>
  <c r="M84" i="1"/>
  <c r="N84" i="1"/>
  <c r="O84" i="1"/>
  <c r="K84" i="1"/>
  <c r="L57" i="1"/>
  <c r="M57" i="1"/>
  <c r="N57" i="1"/>
  <c r="O57" i="1"/>
  <c r="K57" i="1"/>
  <c r="G158" i="1"/>
  <c r="H158" i="1"/>
  <c r="I158" i="1"/>
  <c r="F158" i="1"/>
  <c r="G148" i="1"/>
  <c r="H148" i="1"/>
  <c r="I148" i="1"/>
  <c r="F148" i="1"/>
  <c r="G130" i="1"/>
  <c r="H130" i="1"/>
  <c r="I130" i="1"/>
  <c r="F130" i="1"/>
  <c r="G122" i="1"/>
  <c r="H122" i="1"/>
  <c r="I122" i="1"/>
  <c r="I193" i="1" s="1"/>
  <c r="F122" i="1"/>
  <c r="G111" i="1"/>
  <c r="H111" i="1"/>
  <c r="I111" i="1"/>
  <c r="F111" i="1"/>
  <c r="F193" i="1" l="1"/>
  <c r="H193" i="1"/>
  <c r="G193" i="1"/>
  <c r="M112" i="1"/>
  <c r="L116" i="1"/>
  <c r="N111" i="1"/>
  <c r="O111" i="1"/>
  <c r="K111" i="1"/>
  <c r="L130" i="1"/>
  <c r="M130" i="1"/>
  <c r="N130" i="1"/>
  <c r="O130" i="1"/>
  <c r="K130" i="1"/>
  <c r="J56" i="1"/>
  <c r="E56" i="1"/>
  <c r="L112" i="1" l="1"/>
  <c r="L187" i="1"/>
  <c r="L193" i="1" s="1"/>
  <c r="L111" i="1"/>
  <c r="M111" i="1"/>
  <c r="P56" i="1"/>
  <c r="J107" i="1" l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2" i="1"/>
  <c r="J123" i="1"/>
  <c r="J124" i="1"/>
  <c r="J125" i="1"/>
  <c r="J126" i="1"/>
  <c r="J127" i="1"/>
  <c r="J128" i="1"/>
  <c r="J130" i="1"/>
  <c r="J131" i="1"/>
  <c r="J132" i="1"/>
  <c r="J133" i="1"/>
  <c r="J134" i="1"/>
  <c r="J136" i="1"/>
  <c r="J137" i="1"/>
  <c r="J138" i="1"/>
  <c r="J141" i="1"/>
  <c r="J145" i="1"/>
  <c r="J146" i="1"/>
  <c r="J148" i="1"/>
  <c r="J149" i="1"/>
  <c r="J150" i="1"/>
  <c r="J158" i="1"/>
  <c r="J159" i="1"/>
  <c r="J160" i="1"/>
  <c r="J161" i="1"/>
  <c r="J162" i="1"/>
  <c r="J164" i="1"/>
  <c r="J166" i="1"/>
  <c r="J167" i="1"/>
  <c r="J168" i="1"/>
  <c r="J169" i="1"/>
  <c r="J170" i="1"/>
  <c r="J172" i="1"/>
  <c r="J174" i="1"/>
  <c r="J192" i="1" s="1"/>
  <c r="J87" i="1"/>
  <c r="J88" i="1"/>
  <c r="J89" i="1"/>
  <c r="J90" i="1"/>
  <c r="J91" i="1"/>
  <c r="J92" i="1"/>
  <c r="J93" i="1"/>
  <c r="J94" i="1"/>
  <c r="J96" i="1"/>
  <c r="J97" i="1"/>
  <c r="J98" i="1"/>
  <c r="J99" i="1"/>
  <c r="J100" i="1"/>
  <c r="J101" i="1"/>
  <c r="J86" i="1"/>
  <c r="G84" i="1"/>
  <c r="H84" i="1"/>
  <c r="I84" i="1"/>
  <c r="J60" i="1"/>
  <c r="J61" i="1"/>
  <c r="J62" i="1"/>
  <c r="J63" i="1"/>
  <c r="J67" i="1"/>
  <c r="J68" i="1"/>
  <c r="J69" i="1"/>
  <c r="J70" i="1"/>
  <c r="J71" i="1"/>
  <c r="J73" i="1"/>
  <c r="J79" i="1"/>
  <c r="J80" i="1"/>
  <c r="J81" i="1"/>
  <c r="J59" i="1"/>
  <c r="G57" i="1"/>
  <c r="H57" i="1"/>
  <c r="I57" i="1"/>
  <c r="J25" i="1"/>
  <c r="J26" i="1"/>
  <c r="J27" i="1"/>
  <c r="J28" i="1"/>
  <c r="J29" i="1"/>
  <c r="J30" i="1"/>
  <c r="J34" i="1"/>
  <c r="J35" i="1"/>
  <c r="J50" i="1"/>
  <c r="J52" i="1"/>
  <c r="J191" i="1" s="1"/>
  <c r="J53" i="1"/>
  <c r="J54" i="1"/>
  <c r="J20" i="1"/>
  <c r="L18" i="1"/>
  <c r="M18" i="1"/>
  <c r="N18" i="1"/>
  <c r="O18" i="1"/>
  <c r="K18" i="1"/>
  <c r="G18" i="1"/>
  <c r="H18" i="1"/>
  <c r="I18" i="1"/>
  <c r="F18" i="1"/>
  <c r="E161" i="1"/>
  <c r="E162" i="1"/>
  <c r="E164" i="1"/>
  <c r="E166" i="1"/>
  <c r="E167" i="1"/>
  <c r="E133" i="1"/>
  <c r="E134" i="1"/>
  <c r="E136" i="1"/>
  <c r="E137" i="1"/>
  <c r="E138" i="1"/>
  <c r="E141" i="1"/>
  <c r="E145" i="1"/>
  <c r="E146" i="1"/>
  <c r="E125" i="1"/>
  <c r="E126" i="1"/>
  <c r="E127" i="1"/>
  <c r="E128" i="1"/>
  <c r="E114" i="1"/>
  <c r="E115" i="1"/>
  <c r="E116" i="1"/>
  <c r="E117" i="1"/>
  <c r="E118" i="1"/>
  <c r="E119" i="1"/>
  <c r="E120" i="1"/>
  <c r="E109" i="1"/>
  <c r="E87" i="1"/>
  <c r="E88" i="1"/>
  <c r="E89" i="1"/>
  <c r="E90" i="1"/>
  <c r="E91" i="1"/>
  <c r="E92" i="1"/>
  <c r="E93" i="1"/>
  <c r="E94" i="1"/>
  <c r="E96" i="1"/>
  <c r="E97" i="1"/>
  <c r="E98" i="1"/>
  <c r="E99" i="1"/>
  <c r="E100" i="1"/>
  <c r="E101" i="1"/>
  <c r="E60" i="1"/>
  <c r="E61" i="1"/>
  <c r="E62" i="1"/>
  <c r="E63" i="1"/>
  <c r="E67" i="1"/>
  <c r="E68" i="1"/>
  <c r="E69" i="1"/>
  <c r="E70" i="1"/>
  <c r="E71" i="1"/>
  <c r="E73" i="1"/>
  <c r="E160" i="1"/>
  <c r="E159" i="1"/>
  <c r="E158" i="1"/>
  <c r="E150" i="1"/>
  <c r="E149" i="1"/>
  <c r="E148" i="1"/>
  <c r="E132" i="1"/>
  <c r="E131" i="1"/>
  <c r="E130" i="1"/>
  <c r="E124" i="1"/>
  <c r="E123" i="1"/>
  <c r="E122" i="1"/>
  <c r="E113" i="1"/>
  <c r="E112" i="1"/>
  <c r="E111" i="1"/>
  <c r="E108" i="1"/>
  <c r="E107" i="1"/>
  <c r="E106" i="1"/>
  <c r="E86" i="1"/>
  <c r="E59" i="1"/>
  <c r="E25" i="1"/>
  <c r="E26" i="1"/>
  <c r="E27" i="1"/>
  <c r="E185" i="1" s="1"/>
  <c r="E28" i="1"/>
  <c r="E29" i="1"/>
  <c r="E30" i="1"/>
  <c r="E34" i="1"/>
  <c r="E35" i="1"/>
  <c r="E50" i="1"/>
  <c r="E52" i="1"/>
  <c r="E53" i="1"/>
  <c r="E54" i="1"/>
  <c r="E20" i="1"/>
  <c r="E19" i="1"/>
  <c r="E191" i="1" l="1"/>
  <c r="E190" i="1"/>
  <c r="E189" i="1"/>
  <c r="E184" i="1"/>
  <c r="J185" i="1"/>
  <c r="J190" i="1"/>
  <c r="J189" i="1"/>
  <c r="J184" i="1"/>
  <c r="J188" i="1"/>
  <c r="J183" i="1"/>
  <c r="E186" i="1"/>
  <c r="E188" i="1"/>
  <c r="P192" i="1"/>
  <c r="E183" i="1"/>
  <c r="E187" i="1"/>
  <c r="J186" i="1"/>
  <c r="J187" i="1"/>
  <c r="K181" i="1"/>
  <c r="O181" i="1"/>
  <c r="N181" i="1"/>
  <c r="M181" i="1"/>
  <c r="L181" i="1"/>
  <c r="G181" i="1"/>
  <c r="H181" i="1"/>
  <c r="I181" i="1"/>
  <c r="P131" i="1"/>
  <c r="E85" i="1"/>
  <c r="F84" i="1"/>
  <c r="E84" i="1" s="1"/>
  <c r="E58" i="1"/>
  <c r="F57" i="1"/>
  <c r="J106" i="1"/>
  <c r="P106" i="1" s="1"/>
  <c r="J57" i="1"/>
  <c r="P19" i="1"/>
  <c r="J84" i="1"/>
  <c r="J85" i="1"/>
  <c r="J58" i="1"/>
  <c r="J18" i="1"/>
  <c r="E18" i="1"/>
  <c r="P174" i="1"/>
  <c r="P172" i="1"/>
  <c r="P170" i="1"/>
  <c r="P169" i="1"/>
  <c r="P168" i="1"/>
  <c r="P167" i="1"/>
  <c r="P166" i="1"/>
  <c r="P164" i="1"/>
  <c r="P162" i="1"/>
  <c r="P161" i="1"/>
  <c r="P160" i="1"/>
  <c r="P159" i="1"/>
  <c r="P158" i="1"/>
  <c r="P150" i="1"/>
  <c r="P149" i="1"/>
  <c r="P148" i="1"/>
  <c r="P146" i="1"/>
  <c r="P145" i="1"/>
  <c r="P141" i="1"/>
  <c r="P138" i="1"/>
  <c r="P137" i="1"/>
  <c r="P136" i="1"/>
  <c r="P134" i="1"/>
  <c r="P133" i="1"/>
  <c r="P132" i="1"/>
  <c r="P130" i="1"/>
  <c r="P128" i="1"/>
  <c r="P127" i="1"/>
  <c r="P126" i="1"/>
  <c r="P125" i="1"/>
  <c r="P124" i="1"/>
  <c r="P123" i="1"/>
  <c r="P122" i="1"/>
  <c r="P120" i="1"/>
  <c r="P119" i="1"/>
  <c r="P118" i="1"/>
  <c r="P117" i="1"/>
  <c r="P116" i="1"/>
  <c r="P115" i="1"/>
  <c r="P114" i="1"/>
  <c r="P113" i="1"/>
  <c r="P112" i="1"/>
  <c r="P111" i="1"/>
  <c r="P109" i="1"/>
  <c r="P108" i="1"/>
  <c r="P107" i="1"/>
  <c r="P101" i="1"/>
  <c r="P100" i="1"/>
  <c r="P99" i="1"/>
  <c r="P98" i="1"/>
  <c r="P97" i="1"/>
  <c r="P96" i="1"/>
  <c r="P94" i="1"/>
  <c r="P93" i="1"/>
  <c r="P92" i="1"/>
  <c r="P91" i="1"/>
  <c r="P90" i="1"/>
  <c r="P89" i="1"/>
  <c r="P88" i="1"/>
  <c r="P87" i="1"/>
  <c r="P86" i="1"/>
  <c r="P81" i="1"/>
  <c r="P80" i="1"/>
  <c r="P79" i="1"/>
  <c r="P73" i="1"/>
  <c r="P71" i="1"/>
  <c r="P70" i="1"/>
  <c r="P69" i="1"/>
  <c r="P68" i="1"/>
  <c r="P67" i="1"/>
  <c r="P63" i="1"/>
  <c r="P62" i="1"/>
  <c r="P61" i="1"/>
  <c r="P60" i="1"/>
  <c r="P59" i="1"/>
  <c r="P54" i="1"/>
  <c r="P53" i="1"/>
  <c r="P52" i="1"/>
  <c r="P50" i="1"/>
  <c r="P35" i="1"/>
  <c r="P34" i="1"/>
  <c r="P30" i="1"/>
  <c r="P29" i="1"/>
  <c r="P28" i="1"/>
  <c r="P27" i="1"/>
  <c r="P26" i="1"/>
  <c r="P25" i="1"/>
  <c r="P20" i="1"/>
  <c r="P188" i="1" l="1"/>
  <c r="P187" i="1"/>
  <c r="P185" i="1"/>
  <c r="J193" i="1"/>
  <c r="P191" i="1"/>
  <c r="P189" i="1"/>
  <c r="P58" i="1"/>
  <c r="E193" i="1"/>
  <c r="P184" i="1"/>
  <c r="E57" i="1"/>
  <c r="E181" i="1" s="1"/>
  <c r="P183" i="1"/>
  <c r="P190" i="1"/>
  <c r="P85" i="1"/>
  <c r="F181" i="1"/>
  <c r="P84" i="1"/>
  <c r="P18" i="1"/>
  <c r="J181" i="1"/>
  <c r="P193" i="1" l="1"/>
  <c r="P57" i="1"/>
  <c r="P186" i="1"/>
  <c r="P181" i="1"/>
</calcChain>
</file>

<file path=xl/sharedStrings.xml><?xml version="1.0" encoding="utf-8"?>
<sst xmlns="http://schemas.openxmlformats.org/spreadsheetml/2006/main" count="603" uniqueCount="393">
  <si>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</si>
  <si>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</si>
  <si>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</si>
  <si>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</si>
  <si>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</si>
  <si>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</si>
  <si>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</si>
  <si>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</si>
  <si>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</si>
  <si>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</si>
  <si>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</si>
  <si>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</si>
  <si>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</si>
  <si>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</si>
  <si>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</si>
  <si>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</si>
  <si>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</si>
  <si>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</si>
  <si>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</si>
  <si>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</si>
  <si>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</si>
  <si>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</si>
  <si>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</si>
  <si>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</si>
  <si>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</si>
  <si>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</si>
  <si>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</si>
  <si>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</si>
  <si>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</si>
  <si>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</si>
  <si>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</si>
  <si>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</si>
  <si>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</si>
  <si>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</si>
  <si>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</si>
  <si>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</si>
  <si>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</si>
  <si>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</si>
  <si>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</si>
  <si>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</si>
  <si>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</si>
  <si>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</si>
  <si>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</si>
  <si>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</si>
  <si>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</si>
  <si>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</si>
  <si>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</si>
  <si>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</si>
  <si>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</si>
  <si>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</si>
  <si>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</si>
  <si>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</si>
  <si>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</si>
  <si>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</si>
  <si>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</si>
  <si>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</si>
  <si>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</si>
  <si>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</si>
  <si>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</si>
  <si>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</si>
  <si>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</si>
  <si>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</si>
  <si>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</si>
  <si>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</si>
  <si>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</si>
  <si>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</si>
  <si>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</si>
  <si>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</si>
  <si>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</si>
  <si>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</si>
  <si>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</si>
  <si>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</si>
  <si>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</si>
  <si>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</si>
  <si>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</si>
  <si>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</si>
  <si>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</si>
  <si>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</si>
  <si>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</si>
  <si>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</si>
  <si>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</si>
  <si>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</si>
  <si>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</si>
  <si>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</si>
  <si>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</si>
  <si>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</si>
  <si>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</si>
  <si>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</si>
  <si>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</si>
  <si>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</si>
  <si>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</si>
  <si>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</si>
  <si>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</si>
  <si>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</si>
  <si>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</si>
  <si>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</si>
  <si>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</si>
  <si>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</si>
  <si>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</si>
  <si>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</si>
  <si>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</si>
  <si>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</si>
  <si>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</si>
  <si>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</si>
  <si>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</si>
  <si>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</si>
  <si>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</si>
  <si>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</si>
  <si>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</si>
  <si>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</si>
  <si>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</si>
  <si>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</si>
  <si>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</si>
  <si>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</si>
  <si>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</si>
  <si>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</si>
  <si>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</si>
  <si>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</si>
  <si>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</si>
  <si>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</si>
  <si>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</si>
  <si>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</si>
  <si>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</si>
  <si>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</si>
  <si>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</si>
  <si>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</si>
  <si>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</si>
  <si>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</si>
  <si>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</si>
  <si>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</si>
  <si>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</si>
  <si>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</si>
  <si>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</si>
  <si>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</si>
  <si>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</si>
  <si>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</si>
  <si>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</si>
  <si>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</si>
  <si>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</si>
  <si>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</si>
  <si>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</si>
  <si>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</si>
  <si>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</si>
  <si>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</si>
  <si>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</si>
  <si>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</si>
  <si>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</si>
  <si>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</si>
  <si>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</si>
  <si>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</si>
  <si>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</si>
  <si>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</si>
  <si>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</si>
  <si>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</si>
  <si>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</si>
  <si>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</si>
  <si>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</si>
  <si>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</si>
  <si>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</si>
  <si>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</si>
  <si>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</si>
  <si>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</si>
  <si>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</si>
  <si>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</si>
  <si>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</si>
  <si>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</si>
  <si>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</si>
  <si>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</si>
  <si>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</si>
  <si>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</si>
  <si>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</si>
  <si>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</si>
  <si>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</si>
  <si>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</si>
  <si>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</si>
  <si>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</si>
  <si>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</si>
  <si>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</si>
  <si>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</si>
  <si>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</si>
  <si>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</si>
  <si>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</si>
  <si>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</si>
  <si>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</si>
  <si>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</si>
  <si>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</si>
  <si>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</si>
  <si>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</si>
  <si>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</si>
  <si>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</si>
  <si>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</si>
  <si>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</si>
  <si>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</si>
  <si>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</si>
  <si>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</si>
  <si>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</si>
  <si>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</si>
  <si>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</si>
  <si>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</si>
  <si>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</si>
  <si>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</si>
  <si>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</si>
  <si>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</si>
  <si>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</si>
  <si>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</si>
  <si>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</si>
  <si>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</si>
  <si>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</si>
  <si>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</si>
  <si>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</si>
  <si>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</si>
  <si>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</si>
  <si>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</si>
  <si>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</si>
  <si>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</si>
  <si>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</si>
  <si>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</si>
  <si>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</si>
  <si>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</si>
  <si>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</si>
  <si>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</si>
  <si>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</si>
  <si>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</si>
  <si>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</si>
  <si>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</si>
  <si>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</si>
  <si>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</si>
  <si>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</si>
  <si>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</si>
  <si>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</si>
  <si>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</si>
  <si>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</si>
  <si>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</si>
  <si>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</si>
  <si>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</si>
  <si>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</si>
  <si>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</si>
  <si>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</si>
  <si>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</si>
  <si>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</si>
  <si>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</si>
  <si>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</si>
  <si>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</si>
  <si>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</si>
  <si>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</si>
  <si>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</si>
  <si>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</si>
  <si>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</si>
  <si>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</si>
  <si>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</si>
  <si>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</si>
  <si>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</si>
  <si>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</si>
  <si>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</si>
  <si>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</si>
  <si>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</si>
  <si>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</si>
  <si>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</si>
  <si>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</si>
  <si>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</si>
  <si>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</si>
  <si>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</si>
  <si>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</si>
  <si>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</si>
  <si>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</si>
  <si>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</si>
  <si>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</si>
  <si>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</si>
  <si>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</si>
  <si>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</si>
  <si>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</si>
  <si>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</si>
  <si>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</si>
  <si>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</si>
  <si>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</si>
  <si>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</si>
  <si>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</si>
  <si>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</si>
  <si>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</si>
  <si>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</si>
  <si>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</si>
  <si>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</si>
  <si>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Додаток 3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</si>
  <si>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</si>
  <si>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</si>
  <si>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</si>
  <si>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</si>
  <si>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</si>
  <si>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</si>
  <si>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</si>
  <si>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</si>
  <si>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</si>
  <si>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</si>
  <si>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</si>
  <si>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</si>
  <si>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</si>
  <si>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</si>
  <si>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</si>
  <si>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</si>
  <si>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</si>
  <si>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</si>
  <si>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</si>
  <si>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</si>
  <si>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</si>
  <si>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</si>
  <si>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</si>
  <si>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</si>
  <si>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</si>
  <si>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</si>
  <si>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</si>
  <si>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0216090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</si>
  <si>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</si>
  <si>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</si>
  <si>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</si>
  <si>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</si>
  <si>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</si>
  <si>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</si>
  <si>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</si>
  <si>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</si>
  <si>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</si>
  <si>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</si>
  <si>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</si>
  <si>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</si>
  <si>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</si>
  <si>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</si>
  <si>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</si>
  <si>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</si>
  <si>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</si>
  <si>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</si>
  <si>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</si>
  <si>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</si>
  <si>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</si>
  <si>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</si>
  <si>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</si>
  <si>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</si>
  <si>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</si>
  <si>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</si>
  <si>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</si>
  <si>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</si>
  <si>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</si>
  <si>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</si>
  <si>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</si>
  <si>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</si>
  <si>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</si>
  <si>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від           01.2025  №             - VIII</t>
  </si>
  <si>
    <t>"Додаток 3</t>
  </si>
  <si>
    <t>від  23.12.2024  № 754 - VIII"</t>
  </si>
  <si>
    <t>КНП "Чорноморська міська лікарня" Чорноморської міської ради Одеського району Одеської області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</si>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</sst>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#,&quot;-&quot;"/>
    <numFmt numFmtId="165" formatCode="#,##0.00_ ;\-#,##0.00\ "/>
    <numFmt numFmtId="166" formatCode="#,##0.000"/>
  </numFmts>
  <fonts count="10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/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2"/>
  <sheetViews>
    <sheetView tabSelected="1" view="pageBreakPreview" zoomScale="70" zoomScaleNormal="70" zoomScaleSheetLayoutView="70" workbookViewId="0">
      <pane xSplit="4" ySplit="17" topLeftCell="E183" activePane="bottomRight" state="frozen"/>
      <selection pane="topRight" activeCell="E1" sqref="E1"/>
      <selection pane="bottomLeft" activeCell="A14" sqref="A14"/>
      <selection pane="bottomRight" activeCell="D179" sqref="D179"/>
    </sheetView>
  </sheetViews>
  <sheetFormatPr defaultColWidth="8.85546875" defaultRowHeight="15.75"/>
  <cols>
    <col min="1" max="3" width="12.140625" style="2" customWidth="1"/>
    <col min="4" max="4" width="40.7109375" style="2" customWidth="1"/>
    <col min="5" max="5" width="19.140625" style="2" customWidth="1"/>
    <col min="6" max="7" width="17.28515625" style="2" customWidth="1"/>
    <col min="8" max="8" width="15.7109375" style="2" customWidth="1"/>
    <col min="9" max="9" width="18" style="2" customWidth="1"/>
    <col min="10" max="11" width="17.140625" style="2" customWidth="1"/>
    <col min="12" max="14" width="15.7109375" style="2" customWidth="1"/>
    <col min="15" max="15" width="18.140625" style="2" customWidth="1"/>
    <col min="16" max="16" width="19.5703125" style="2" customWidth="1"/>
    <col min="17" max="17" width="16.5703125" style="2" bestFit="1" customWidth="1"/>
    <col min="18" max="16384" width="8.85546875" style="2"/>
  </cols>
  <sheetData>
    <row r="1" spans="1:16">
      <c r="M1" s="2" t="s">
        <v>282</v>
      </c>
    </row>
    <row r="2" spans="1:16">
      <c r="M2" s="2" t="s">
        <v>340</v>
      </c>
    </row>
    <row r="3" spans="1:16">
      <c r="M3" s="2" t="s">
        <v>344</v>
      </c>
    </row>
    <row r="5" spans="1:16" ht="20.45" customHeight="1">
      <c r="M5" s="2" t="s">
        <v>345</v>
      </c>
    </row>
    <row r="6" spans="1:16" ht="20.45" customHeight="1">
      <c r="M6" s="2" t="s">
        <v>340</v>
      </c>
    </row>
    <row r="7" spans="1:16" ht="20.45" customHeight="1">
      <c r="M7" s="2" t="s">
        <v>346</v>
      </c>
    </row>
    <row r="9" spans="1:16">
      <c r="A9" s="35" t="s">
        <v>0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spans="1:16">
      <c r="A10" s="35" t="s">
        <v>289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5" customHeight="1">
      <c r="A13" s="37" t="s">
        <v>4</v>
      </c>
      <c r="B13" s="37" t="s">
        <v>5</v>
      </c>
      <c r="C13" s="37" t="s">
        <v>6</v>
      </c>
      <c r="D13" s="34" t="s">
        <v>7</v>
      </c>
      <c r="E13" s="34" t="s">
        <v>8</v>
      </c>
      <c r="F13" s="34"/>
      <c r="G13" s="34"/>
      <c r="H13" s="34"/>
      <c r="I13" s="34"/>
      <c r="J13" s="34" t="s">
        <v>15</v>
      </c>
      <c r="K13" s="34"/>
      <c r="L13" s="34"/>
      <c r="M13" s="34"/>
      <c r="N13" s="34"/>
      <c r="O13" s="34"/>
      <c r="P13" s="34" t="s">
        <v>17</v>
      </c>
    </row>
    <row r="14" spans="1:16" ht="26.45" customHeight="1">
      <c r="A14" s="37"/>
      <c r="B14" s="37"/>
      <c r="C14" s="37"/>
      <c r="D14" s="34"/>
      <c r="E14" s="34" t="s">
        <v>9</v>
      </c>
      <c r="F14" s="34" t="s">
        <v>10</v>
      </c>
      <c r="G14" s="34" t="s">
        <v>11</v>
      </c>
      <c r="H14" s="34"/>
      <c r="I14" s="34" t="s">
        <v>14</v>
      </c>
      <c r="J14" s="34" t="s">
        <v>9</v>
      </c>
      <c r="K14" s="34" t="s">
        <v>16</v>
      </c>
      <c r="L14" s="34" t="s">
        <v>10</v>
      </c>
      <c r="M14" s="34" t="s">
        <v>11</v>
      </c>
      <c r="N14" s="34"/>
      <c r="O14" s="34" t="s">
        <v>14</v>
      </c>
      <c r="P14" s="34"/>
    </row>
    <row r="15" spans="1:16" ht="30.6" customHeight="1">
      <c r="A15" s="37"/>
      <c r="B15" s="37"/>
      <c r="C15" s="37"/>
      <c r="D15" s="34"/>
      <c r="E15" s="34"/>
      <c r="F15" s="34"/>
      <c r="G15" s="34" t="s">
        <v>12</v>
      </c>
      <c r="H15" s="34" t="s">
        <v>13</v>
      </c>
      <c r="I15" s="34"/>
      <c r="J15" s="34"/>
      <c r="K15" s="34"/>
      <c r="L15" s="34"/>
      <c r="M15" s="34" t="s">
        <v>12</v>
      </c>
      <c r="N15" s="34" t="s">
        <v>13</v>
      </c>
      <c r="O15" s="34"/>
      <c r="P15" s="34"/>
    </row>
    <row r="16" spans="1:16" ht="26.45" customHeight="1">
      <c r="A16" s="37"/>
      <c r="B16" s="37"/>
      <c r="C16" s="37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7">
      <c r="A17" s="8">
        <v>1</v>
      </c>
      <c r="B17" s="8">
        <v>2</v>
      </c>
      <c r="C17" s="8">
        <v>3</v>
      </c>
      <c r="D17" s="8">
        <v>4</v>
      </c>
      <c r="E17" s="8">
        <v>5</v>
      </c>
      <c r="F17" s="8">
        <v>6</v>
      </c>
      <c r="G17" s="8">
        <v>7</v>
      </c>
      <c r="H17" s="8">
        <v>8</v>
      </c>
      <c r="I17" s="8">
        <v>9</v>
      </c>
      <c r="J17" s="8">
        <v>10</v>
      </c>
      <c r="K17" s="8">
        <v>11</v>
      </c>
      <c r="L17" s="8">
        <v>12</v>
      </c>
      <c r="M17" s="8">
        <v>13</v>
      </c>
      <c r="N17" s="8">
        <v>14</v>
      </c>
      <c r="O17" s="8">
        <v>15</v>
      </c>
      <c r="P17" s="8">
        <v>16</v>
      </c>
    </row>
    <row r="18" spans="1:17" ht="47.25">
      <c r="A18" s="9" t="s">
        <v>18</v>
      </c>
      <c r="B18" s="9" t="s">
        <v>19</v>
      </c>
      <c r="C18" s="9" t="s">
        <v>19</v>
      </c>
      <c r="D18" s="10" t="s">
        <v>20</v>
      </c>
      <c r="E18" s="11">
        <f>F18+I18</f>
        <v>237178445</v>
      </c>
      <c r="F18" s="11">
        <f>F19</f>
        <v>237032945</v>
      </c>
      <c r="G18" s="11">
        <f>G19</f>
        <v>114997500</v>
      </c>
      <c r="H18" s="11">
        <f>H19</f>
        <v>5432100</v>
      </c>
      <c r="I18" s="11">
        <f>I19</f>
        <v>145500</v>
      </c>
      <c r="J18" s="11">
        <f>L18+O18</f>
        <v>14054800</v>
      </c>
      <c r="K18" s="11">
        <f>K19</f>
        <v>13037200</v>
      </c>
      <c r="L18" s="11">
        <f>L19</f>
        <v>1017600</v>
      </c>
      <c r="M18" s="11">
        <f>M19</f>
        <v>0</v>
      </c>
      <c r="N18" s="11">
        <f>N19</f>
        <v>0</v>
      </c>
      <c r="O18" s="11">
        <f>O19</f>
        <v>13037200</v>
      </c>
      <c r="P18" s="11">
        <f t="shared" ref="P18:P80" si="0">E18 + J18</f>
        <v>251233245</v>
      </c>
      <c r="Q18" s="5"/>
    </row>
    <row r="19" spans="1:17" ht="47.25">
      <c r="A19" s="9" t="s">
        <v>21</v>
      </c>
      <c r="B19" s="9" t="s">
        <v>19</v>
      </c>
      <c r="C19" s="9" t="s">
        <v>19</v>
      </c>
      <c r="D19" s="10" t="s">
        <v>20</v>
      </c>
      <c r="E19" s="11">
        <f>F19+I19</f>
        <v>237178445</v>
      </c>
      <c r="F19" s="11">
        <f>F20+F25+F26+F27+F28+F29+F30+F34+F35+F39+F40+F41+F49+F50+F51+F52+F53+F54+F55+F56</f>
        <v>237032945</v>
      </c>
      <c r="G19" s="11">
        <f t="shared" ref="G19:K19" si="1">G20+G25+G26+G27+G28+G29+G30+G34+G35+G39+G40+G41+G49+G50+G51+G52+G53+G54+G55+G56</f>
        <v>114997500</v>
      </c>
      <c r="H19" s="11">
        <f t="shared" si="1"/>
        <v>5432100</v>
      </c>
      <c r="I19" s="11">
        <f t="shared" si="1"/>
        <v>145500</v>
      </c>
      <c r="J19" s="11">
        <f>L19+O19</f>
        <v>14054800</v>
      </c>
      <c r="K19" s="11">
        <f t="shared" si="1"/>
        <v>13037200</v>
      </c>
      <c r="L19" s="11">
        <f t="shared" ref="L19" si="2">L20+L25+L26+L27+L28+L29+L30+L34+L35+L39+L40+L41+L49+L50+L51+L52+L53+L54+L55+L56</f>
        <v>1017600</v>
      </c>
      <c r="M19" s="11">
        <f t="shared" ref="M19" si="3">M20+M25+M26+M27+M28+M29+M30+M34+M35+M39+M40+M41+M49+M50+M51+M52+M53+M54+M55+M56</f>
        <v>0</v>
      </c>
      <c r="N19" s="11">
        <f t="shared" ref="N19" si="4">N20+N25+N26+N27+N28+N29+N30+N34+N35+N39+N40+N41+N49+N50+N51+N52+N53+N54+N55+N56</f>
        <v>0</v>
      </c>
      <c r="O19" s="11">
        <f t="shared" ref="O19" si="5">O20+O25+O26+O27+O28+O29+O30+O34+O35+O39+O40+O41+O49+O50+O51+O52+O53+O54+O55+O56</f>
        <v>13037200</v>
      </c>
      <c r="P19" s="11">
        <f>E19 + J19</f>
        <v>251233245</v>
      </c>
    </row>
    <row r="20" spans="1:17" ht="94.5">
      <c r="A20" s="8" t="s">
        <v>22</v>
      </c>
      <c r="B20" s="8" t="s">
        <v>23</v>
      </c>
      <c r="C20" s="8" t="s">
        <v>24</v>
      </c>
      <c r="D20" s="12" t="s">
        <v>25</v>
      </c>
      <c r="E20" s="13">
        <f>F20+I20</f>
        <v>104833600</v>
      </c>
      <c r="F20" s="13">
        <f>F21+F22+F23+F24</f>
        <v>104833600</v>
      </c>
      <c r="G20" s="13">
        <f>G21+G22+G23+G24</f>
        <v>93494200</v>
      </c>
      <c r="H20" s="13">
        <f t="shared" ref="H20:I20" si="6">H21+H22+H23+H24</f>
        <v>5369600</v>
      </c>
      <c r="I20" s="13">
        <f t="shared" si="6"/>
        <v>0</v>
      </c>
      <c r="J20" s="13">
        <f>L20+O20</f>
        <v>117600</v>
      </c>
      <c r="K20" s="13">
        <f>K21+K22+K23+K24</f>
        <v>0</v>
      </c>
      <c r="L20" s="13">
        <f t="shared" ref="L20:O20" si="7">L21+L22+L23+L24</f>
        <v>117600</v>
      </c>
      <c r="M20" s="13">
        <f t="shared" si="7"/>
        <v>0</v>
      </c>
      <c r="N20" s="13">
        <f t="shared" si="7"/>
        <v>0</v>
      </c>
      <c r="O20" s="13">
        <f t="shared" si="7"/>
        <v>0</v>
      </c>
      <c r="P20" s="13">
        <f t="shared" si="0"/>
        <v>104951200</v>
      </c>
    </row>
    <row r="21" spans="1:17" s="7" customFormat="1" ht="47.25">
      <c r="A21" s="14"/>
      <c r="B21" s="14"/>
      <c r="C21" s="14"/>
      <c r="D21" s="1" t="s">
        <v>20</v>
      </c>
      <c r="E21" s="15">
        <f>F21+I21</f>
        <v>94427400</v>
      </c>
      <c r="F21" s="15">
        <f>93697400+730000</f>
        <v>94427400</v>
      </c>
      <c r="G21" s="15">
        <f>69039000+15188600</f>
        <v>84227600</v>
      </c>
      <c r="H21" s="15">
        <f>1900000+150000+2200000+43100+730000</f>
        <v>5023100</v>
      </c>
      <c r="I21" s="15"/>
      <c r="J21" s="15">
        <f>L21+O21</f>
        <v>117598</v>
      </c>
      <c r="K21" s="15"/>
      <c r="L21" s="15">
        <v>117598</v>
      </c>
      <c r="M21" s="15"/>
      <c r="N21" s="15"/>
      <c r="O21" s="15"/>
      <c r="P21" s="15">
        <f t="shared" si="0"/>
        <v>94544998</v>
      </c>
    </row>
    <row r="22" spans="1:17" s="7" customFormat="1" ht="63">
      <c r="A22" s="14"/>
      <c r="B22" s="14"/>
      <c r="C22" s="14"/>
      <c r="D22" s="1" t="s">
        <v>277</v>
      </c>
      <c r="E22" s="15">
        <f t="shared" ref="E22:E24" si="8">F22+I22</f>
        <v>4131100</v>
      </c>
      <c r="F22" s="15">
        <f>4058100+73000</f>
        <v>4131100</v>
      </c>
      <c r="G22" s="15">
        <f>2963900+652000</f>
        <v>3615900</v>
      </c>
      <c r="H22" s="15">
        <f>2500+58000+90000+5000</f>
        <v>155500</v>
      </c>
      <c r="I22" s="15"/>
      <c r="J22" s="15">
        <f t="shared" ref="J22:J24" si="9">L22+O22</f>
        <v>1</v>
      </c>
      <c r="K22" s="15"/>
      <c r="L22" s="15">
        <v>1</v>
      </c>
      <c r="M22" s="15"/>
      <c r="N22" s="15"/>
      <c r="O22" s="15"/>
      <c r="P22" s="15">
        <f t="shared" si="0"/>
        <v>4131101</v>
      </c>
    </row>
    <row r="23" spans="1:17" s="7" customFormat="1" ht="63">
      <c r="A23" s="14"/>
      <c r="B23" s="14"/>
      <c r="C23" s="14"/>
      <c r="D23" s="1" t="s">
        <v>278</v>
      </c>
      <c r="E23" s="15">
        <f t="shared" si="8"/>
        <v>2910600</v>
      </c>
      <c r="F23" s="15">
        <v>2910600</v>
      </c>
      <c r="G23" s="15">
        <f>2149400+472900</f>
        <v>2622300</v>
      </c>
      <c r="H23" s="15">
        <f>3200+38000+36600+10000</f>
        <v>87800</v>
      </c>
      <c r="I23" s="15"/>
      <c r="J23" s="15">
        <f t="shared" si="9"/>
        <v>0</v>
      </c>
      <c r="K23" s="15"/>
      <c r="L23" s="15"/>
      <c r="M23" s="15"/>
      <c r="N23" s="15"/>
      <c r="O23" s="15"/>
      <c r="P23" s="15">
        <f t="shared" si="0"/>
        <v>2910600</v>
      </c>
    </row>
    <row r="24" spans="1:17" s="7" customFormat="1" ht="47.25">
      <c r="A24" s="14"/>
      <c r="B24" s="14"/>
      <c r="C24" s="14"/>
      <c r="D24" s="1" t="s">
        <v>279</v>
      </c>
      <c r="E24" s="15">
        <f t="shared" si="8"/>
        <v>3364500</v>
      </c>
      <c r="F24" s="15">
        <v>3364500</v>
      </c>
      <c r="G24" s="15">
        <f>2482300+546100</f>
        <v>3028400</v>
      </c>
      <c r="H24" s="15">
        <f>3200+40000+55000+5000</f>
        <v>103200</v>
      </c>
      <c r="I24" s="15"/>
      <c r="J24" s="15">
        <f t="shared" si="9"/>
        <v>1</v>
      </c>
      <c r="K24" s="15"/>
      <c r="L24" s="15">
        <v>1</v>
      </c>
      <c r="M24" s="15"/>
      <c r="N24" s="15"/>
      <c r="O24" s="15"/>
      <c r="P24" s="15">
        <f t="shared" si="0"/>
        <v>3364501</v>
      </c>
    </row>
    <row r="25" spans="1:17" ht="47.25">
      <c r="A25" s="8" t="s">
        <v>26</v>
      </c>
      <c r="B25" s="8" t="s">
        <v>27</v>
      </c>
      <c r="C25" s="8" t="s">
        <v>28</v>
      </c>
      <c r="D25" s="12" t="s">
        <v>29</v>
      </c>
      <c r="E25" s="13">
        <f t="shared" ref="E25:E56" si="10">F25+I25</f>
        <v>50000</v>
      </c>
      <c r="F25" s="13">
        <v>50000</v>
      </c>
      <c r="G25" s="13">
        <v>0</v>
      </c>
      <c r="H25" s="13">
        <v>0</v>
      </c>
      <c r="I25" s="13">
        <v>0</v>
      </c>
      <c r="J25" s="13">
        <f t="shared" ref="J25:J56" si="11">L25+O25</f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3">
        <f t="shared" si="0"/>
        <v>50000</v>
      </c>
    </row>
    <row r="26" spans="1:17" ht="31.5">
      <c r="A26" s="8" t="s">
        <v>30</v>
      </c>
      <c r="B26" s="8" t="s">
        <v>31</v>
      </c>
      <c r="C26" s="8" t="s">
        <v>32</v>
      </c>
      <c r="D26" s="12" t="s">
        <v>33</v>
      </c>
      <c r="E26" s="13">
        <f t="shared" si="10"/>
        <v>2589200</v>
      </c>
      <c r="F26" s="13">
        <v>2589200</v>
      </c>
      <c r="G26" s="13">
        <v>0</v>
      </c>
      <c r="H26" s="13">
        <v>0</v>
      </c>
      <c r="I26" s="13">
        <v>0</v>
      </c>
      <c r="J26" s="13">
        <f t="shared" si="11"/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0"/>
        <v>2589200</v>
      </c>
    </row>
    <row r="27" spans="1:17" ht="31.5">
      <c r="A27" s="8" t="s">
        <v>34</v>
      </c>
      <c r="B27" s="8" t="s">
        <v>35</v>
      </c>
      <c r="C27" s="8" t="s">
        <v>36</v>
      </c>
      <c r="D27" s="12" t="s">
        <v>37</v>
      </c>
      <c r="E27" s="13">
        <f t="shared" si="10"/>
        <v>34514500</v>
      </c>
      <c r="F27" s="13">
        <f>34002900+511600</f>
        <v>34514500</v>
      </c>
      <c r="G27" s="13">
        <v>0</v>
      </c>
      <c r="H27" s="13">
        <v>0</v>
      </c>
      <c r="I27" s="13">
        <v>0</v>
      </c>
      <c r="J27" s="13">
        <f t="shared" si="11"/>
        <v>2036600</v>
      </c>
      <c r="K27" s="13">
        <v>2036600</v>
      </c>
      <c r="L27" s="13">
        <v>0</v>
      </c>
      <c r="M27" s="13">
        <v>0</v>
      </c>
      <c r="N27" s="13">
        <v>0</v>
      </c>
      <c r="O27" s="13">
        <v>2036600</v>
      </c>
      <c r="P27" s="13">
        <f t="shared" si="0"/>
        <v>36551100</v>
      </c>
    </row>
    <row r="28" spans="1:17">
      <c r="A28" s="8" t="s">
        <v>38</v>
      </c>
      <c r="B28" s="8" t="s">
        <v>39</v>
      </c>
      <c r="C28" s="8" t="s">
        <v>40</v>
      </c>
      <c r="D28" s="12" t="s">
        <v>41</v>
      </c>
      <c r="E28" s="13">
        <f t="shared" si="10"/>
        <v>8701800</v>
      </c>
      <c r="F28" s="13">
        <v>8701800</v>
      </c>
      <c r="G28" s="13">
        <v>0</v>
      </c>
      <c r="H28" s="13">
        <v>0</v>
      </c>
      <c r="I28" s="13">
        <v>0</v>
      </c>
      <c r="J28" s="13">
        <f t="shared" si="11"/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f t="shared" si="0"/>
        <v>8701800</v>
      </c>
    </row>
    <row r="29" spans="1:17" ht="63">
      <c r="A29" s="8" t="s">
        <v>42</v>
      </c>
      <c r="B29" s="8" t="s">
        <v>43</v>
      </c>
      <c r="C29" s="8" t="s">
        <v>44</v>
      </c>
      <c r="D29" s="12" t="s">
        <v>45</v>
      </c>
      <c r="E29" s="13">
        <f t="shared" si="10"/>
        <v>4545400</v>
      </c>
      <c r="F29" s="13">
        <f>13402400-8857000</f>
        <v>4545400</v>
      </c>
      <c r="G29" s="13">
        <v>0</v>
      </c>
      <c r="H29" s="13">
        <v>0</v>
      </c>
      <c r="I29" s="13">
        <v>0</v>
      </c>
      <c r="J29" s="13">
        <f t="shared" si="11"/>
        <v>1426100</v>
      </c>
      <c r="K29" s="13">
        <v>1426100</v>
      </c>
      <c r="L29" s="13">
        <v>0</v>
      </c>
      <c r="M29" s="13">
        <v>0</v>
      </c>
      <c r="N29" s="13">
        <v>0</v>
      </c>
      <c r="O29" s="13">
        <v>1426100</v>
      </c>
      <c r="P29" s="13">
        <f t="shared" si="0"/>
        <v>5971500</v>
      </c>
    </row>
    <row r="30" spans="1:17" ht="31.5">
      <c r="A30" s="8" t="s">
        <v>46</v>
      </c>
      <c r="B30" s="8" t="s">
        <v>47</v>
      </c>
      <c r="C30" s="8" t="s">
        <v>48</v>
      </c>
      <c r="D30" s="12" t="s">
        <v>49</v>
      </c>
      <c r="E30" s="13">
        <f t="shared" si="10"/>
        <v>10835900</v>
      </c>
      <c r="F30" s="13">
        <f>SUM(F31:F33)</f>
        <v>10835900</v>
      </c>
      <c r="G30" s="13">
        <v>0</v>
      </c>
      <c r="H30" s="13">
        <v>0</v>
      </c>
      <c r="I30" s="13">
        <v>0</v>
      </c>
      <c r="J30" s="13">
        <f t="shared" si="11"/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10835900</v>
      </c>
    </row>
    <row r="31" spans="1:17" s="7" customFormat="1" ht="47.25">
      <c r="A31" s="14"/>
      <c r="B31" s="14"/>
      <c r="C31" s="14"/>
      <c r="D31" s="1" t="s">
        <v>307</v>
      </c>
      <c r="E31" s="15">
        <f t="shared" si="10"/>
        <v>718300</v>
      </c>
      <c r="F31" s="15">
        <f>718300</f>
        <v>718300</v>
      </c>
      <c r="G31" s="15"/>
      <c r="H31" s="15"/>
      <c r="I31" s="15"/>
      <c r="J31" s="15"/>
      <c r="K31" s="15"/>
      <c r="L31" s="15"/>
      <c r="M31" s="15"/>
      <c r="N31" s="15"/>
      <c r="O31" s="15"/>
      <c r="P31" s="15">
        <f t="shared" si="0"/>
        <v>718300</v>
      </c>
    </row>
    <row r="32" spans="1:17" s="7" customFormat="1" ht="78.75">
      <c r="A32" s="14"/>
      <c r="B32" s="14"/>
      <c r="C32" s="14"/>
      <c r="D32" s="1" t="s">
        <v>305</v>
      </c>
      <c r="E32" s="15">
        <f t="shared" si="10"/>
        <v>8857000</v>
      </c>
      <c r="F32" s="15">
        <v>8857000</v>
      </c>
      <c r="G32" s="15"/>
      <c r="H32" s="15"/>
      <c r="I32" s="15"/>
      <c r="J32" s="15"/>
      <c r="K32" s="15"/>
      <c r="L32" s="15"/>
      <c r="M32" s="15"/>
      <c r="N32" s="15"/>
      <c r="O32" s="15"/>
      <c r="P32" s="15">
        <f t="shared" si="0"/>
        <v>8857000</v>
      </c>
    </row>
    <row r="33" spans="1:16" s="7" customFormat="1" ht="63">
      <c r="A33" s="14"/>
      <c r="B33" s="14"/>
      <c r="C33" s="14"/>
      <c r="D33" s="1" t="s">
        <v>308</v>
      </c>
      <c r="E33" s="15">
        <f t="shared" si="10"/>
        <v>1260600</v>
      </c>
      <c r="F33" s="15">
        <v>1260600</v>
      </c>
      <c r="G33" s="15"/>
      <c r="H33" s="15"/>
      <c r="I33" s="15"/>
      <c r="J33" s="15"/>
      <c r="K33" s="15"/>
      <c r="L33" s="15"/>
      <c r="M33" s="15"/>
      <c r="N33" s="15"/>
      <c r="O33" s="15"/>
      <c r="P33" s="15">
        <f t="shared" si="0"/>
        <v>1260600</v>
      </c>
    </row>
    <row r="34" spans="1:16" ht="31.5">
      <c r="A34" s="8" t="s">
        <v>50</v>
      </c>
      <c r="B34" s="8" t="s">
        <v>51</v>
      </c>
      <c r="C34" s="8" t="s">
        <v>52</v>
      </c>
      <c r="D34" s="12" t="s">
        <v>53</v>
      </c>
      <c r="E34" s="13">
        <f t="shared" si="10"/>
        <v>5000000</v>
      </c>
      <c r="F34" s="13">
        <v>5000000</v>
      </c>
      <c r="G34" s="13">
        <v>0</v>
      </c>
      <c r="H34" s="13">
        <v>0</v>
      </c>
      <c r="I34" s="13">
        <v>0</v>
      </c>
      <c r="J34" s="13">
        <f t="shared" si="11"/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f t="shared" si="0"/>
        <v>5000000</v>
      </c>
    </row>
    <row r="35" spans="1:16" ht="31.5">
      <c r="A35" s="8" t="s">
        <v>54</v>
      </c>
      <c r="B35" s="8" t="s">
        <v>55</v>
      </c>
      <c r="C35" s="8" t="s">
        <v>56</v>
      </c>
      <c r="D35" s="12" t="s">
        <v>57</v>
      </c>
      <c r="E35" s="13">
        <f t="shared" si="10"/>
        <v>8068500</v>
      </c>
      <c r="F35" s="13">
        <f>SUM(F36:F38)</f>
        <v>8068500</v>
      </c>
      <c r="G35" s="13">
        <f t="shared" ref="G35:I35" si="12">SUM(G36:G38)</f>
        <v>0</v>
      </c>
      <c r="H35" s="13">
        <f t="shared" si="12"/>
        <v>0</v>
      </c>
      <c r="I35" s="13">
        <f t="shared" si="12"/>
        <v>0</v>
      </c>
      <c r="J35" s="13">
        <f t="shared" si="11"/>
        <v>0</v>
      </c>
      <c r="K35" s="13">
        <f>SUM(K36:K38)</f>
        <v>0</v>
      </c>
      <c r="L35" s="13">
        <f t="shared" ref="L35:O35" si="13">SUM(L36:L38)</f>
        <v>0</v>
      </c>
      <c r="M35" s="13">
        <f t="shared" si="13"/>
        <v>0</v>
      </c>
      <c r="N35" s="13">
        <f t="shared" si="13"/>
        <v>0</v>
      </c>
      <c r="O35" s="13">
        <f t="shared" si="13"/>
        <v>0</v>
      </c>
      <c r="P35" s="13">
        <f t="shared" si="0"/>
        <v>8068500</v>
      </c>
    </row>
    <row r="36" spans="1:16" s="7" customFormat="1" ht="63">
      <c r="A36" s="14"/>
      <c r="B36" s="14"/>
      <c r="C36" s="14"/>
      <c r="D36" s="1" t="s">
        <v>277</v>
      </c>
      <c r="E36" s="15">
        <f>F36+I36</f>
        <v>3905400</v>
      </c>
      <c r="F36" s="15">
        <f>3978400-73000</f>
        <v>3905400</v>
      </c>
      <c r="G36" s="15"/>
      <c r="H36" s="15"/>
      <c r="I36" s="15"/>
      <c r="J36" s="15">
        <f t="shared" si="11"/>
        <v>0</v>
      </c>
      <c r="K36" s="15"/>
      <c r="L36" s="15"/>
      <c r="M36" s="15"/>
      <c r="N36" s="15"/>
      <c r="O36" s="15"/>
      <c r="P36" s="15">
        <f t="shared" si="0"/>
        <v>3905400</v>
      </c>
    </row>
    <row r="37" spans="1:16" s="7" customFormat="1" ht="63">
      <c r="A37" s="14"/>
      <c r="B37" s="14"/>
      <c r="C37" s="14"/>
      <c r="D37" s="1" t="s">
        <v>278</v>
      </c>
      <c r="E37" s="15">
        <f t="shared" ref="E37:E39" si="14">F37+I37</f>
        <v>1888200</v>
      </c>
      <c r="F37" s="15">
        <v>1888200</v>
      </c>
      <c r="G37" s="15"/>
      <c r="H37" s="15"/>
      <c r="I37" s="15"/>
      <c r="J37" s="15">
        <f t="shared" si="11"/>
        <v>0</v>
      </c>
      <c r="K37" s="15"/>
      <c r="L37" s="15"/>
      <c r="M37" s="15"/>
      <c r="N37" s="15"/>
      <c r="O37" s="15"/>
      <c r="P37" s="15">
        <f t="shared" si="0"/>
        <v>1888200</v>
      </c>
    </row>
    <row r="38" spans="1:16" s="7" customFormat="1" ht="47.25">
      <c r="A38" s="14"/>
      <c r="B38" s="14"/>
      <c r="C38" s="14"/>
      <c r="D38" s="1" t="s">
        <v>279</v>
      </c>
      <c r="E38" s="15">
        <f t="shared" si="14"/>
        <v>2274900</v>
      </c>
      <c r="F38" s="15">
        <v>2274900</v>
      </c>
      <c r="G38" s="15"/>
      <c r="H38" s="15"/>
      <c r="I38" s="15"/>
      <c r="J38" s="15">
        <f t="shared" si="11"/>
        <v>0</v>
      </c>
      <c r="K38" s="15"/>
      <c r="L38" s="15"/>
      <c r="M38" s="15"/>
      <c r="N38" s="15"/>
      <c r="O38" s="15"/>
      <c r="P38" s="15">
        <f t="shared" si="0"/>
        <v>2274900</v>
      </c>
    </row>
    <row r="39" spans="1:16" s="20" customFormat="1" ht="31.5">
      <c r="A39" s="16" t="s">
        <v>310</v>
      </c>
      <c r="B39" s="8">
        <v>6090</v>
      </c>
      <c r="C39" s="16" t="s">
        <v>312</v>
      </c>
      <c r="D39" s="12" t="s">
        <v>311</v>
      </c>
      <c r="E39" s="13">
        <f t="shared" si="14"/>
        <v>27351245</v>
      </c>
      <c r="F39" s="13">
        <f>81509300+1081484+1500000+20000+1000000-1000000-56759539</f>
        <v>27351245</v>
      </c>
      <c r="G39" s="13"/>
      <c r="H39" s="13"/>
      <c r="I39" s="13"/>
      <c r="J39" s="13">
        <f t="shared" ref="J39" si="15">L39+O39</f>
        <v>0</v>
      </c>
      <c r="K39" s="13">
        <f>170000-170000</f>
        <v>0</v>
      </c>
      <c r="L39" s="13"/>
      <c r="M39" s="13"/>
      <c r="N39" s="13"/>
      <c r="O39" s="13">
        <f>170000-170000</f>
        <v>0</v>
      </c>
      <c r="P39" s="13">
        <f t="shared" ref="P39" si="16">E39 + J39</f>
        <v>27351245</v>
      </c>
    </row>
    <row r="40" spans="1:16" ht="47.25">
      <c r="A40" s="16" t="s">
        <v>283</v>
      </c>
      <c r="B40" s="16" t="s">
        <v>255</v>
      </c>
      <c r="C40" s="16" t="s">
        <v>256</v>
      </c>
      <c r="D40" s="12" t="s">
        <v>257</v>
      </c>
      <c r="E40" s="13">
        <f t="shared" si="10"/>
        <v>0</v>
      </c>
      <c r="F40" s="13"/>
      <c r="G40" s="13"/>
      <c r="H40" s="13"/>
      <c r="I40" s="13"/>
      <c r="J40" s="13">
        <f t="shared" si="11"/>
        <v>7340000</v>
      </c>
      <c r="K40" s="13">
        <f>7000000+340000</f>
        <v>7340000</v>
      </c>
      <c r="L40" s="13"/>
      <c r="M40" s="13"/>
      <c r="N40" s="13"/>
      <c r="O40" s="13">
        <f>7000000+340000</f>
        <v>7340000</v>
      </c>
      <c r="P40" s="13">
        <f t="shared" si="0"/>
        <v>7340000</v>
      </c>
    </row>
    <row r="41" spans="1:16" ht="31.5">
      <c r="A41" s="16" t="s">
        <v>284</v>
      </c>
      <c r="B41" s="16" t="s">
        <v>285</v>
      </c>
      <c r="C41" s="16" t="s">
        <v>287</v>
      </c>
      <c r="D41" s="12" t="s">
        <v>286</v>
      </c>
      <c r="E41" s="13">
        <f t="shared" si="10"/>
        <v>1529300</v>
      </c>
      <c r="F41" s="13">
        <f>SUM(F42:F48)</f>
        <v>1383800</v>
      </c>
      <c r="G41" s="13">
        <f t="shared" ref="G41:I41" si="17">SUM(G42:G48)</f>
        <v>0</v>
      </c>
      <c r="H41" s="13">
        <f t="shared" si="17"/>
        <v>0</v>
      </c>
      <c r="I41" s="13">
        <f t="shared" si="17"/>
        <v>145500</v>
      </c>
      <c r="J41" s="13">
        <f t="shared" si="11"/>
        <v>534000</v>
      </c>
      <c r="K41" s="13">
        <f>SUM(K42:K48)</f>
        <v>534000</v>
      </c>
      <c r="L41" s="13">
        <f t="shared" ref="L41:O41" si="18">SUM(L42:L48)</f>
        <v>0</v>
      </c>
      <c r="M41" s="13">
        <f t="shared" si="18"/>
        <v>0</v>
      </c>
      <c r="N41" s="13">
        <f t="shared" si="18"/>
        <v>0</v>
      </c>
      <c r="O41" s="13">
        <f t="shared" si="18"/>
        <v>534000</v>
      </c>
      <c r="P41" s="13">
        <f t="shared" si="0"/>
        <v>2063300</v>
      </c>
    </row>
    <row r="42" spans="1:16" ht="47.25">
      <c r="A42" s="16"/>
      <c r="B42" s="16"/>
      <c r="C42" s="16"/>
      <c r="D42" s="1" t="s">
        <v>20</v>
      </c>
      <c r="E42" s="15">
        <f t="shared" si="10"/>
        <v>1287300</v>
      </c>
      <c r="F42" s="15">
        <v>1287300</v>
      </c>
      <c r="G42" s="13"/>
      <c r="H42" s="13"/>
      <c r="I42" s="13"/>
      <c r="J42" s="13"/>
      <c r="K42" s="13"/>
      <c r="L42" s="13"/>
      <c r="M42" s="13"/>
      <c r="N42" s="13"/>
      <c r="O42" s="13"/>
      <c r="P42" s="15">
        <f t="shared" si="0"/>
        <v>1287300</v>
      </c>
    </row>
    <row r="43" spans="1:16" ht="63">
      <c r="A43" s="16"/>
      <c r="B43" s="16"/>
      <c r="C43" s="16"/>
      <c r="D43" s="1" t="s">
        <v>277</v>
      </c>
      <c r="E43" s="15">
        <f t="shared" si="10"/>
        <v>10400</v>
      </c>
      <c r="F43" s="15">
        <v>10400</v>
      </c>
      <c r="G43" s="13"/>
      <c r="H43" s="13"/>
      <c r="I43" s="13"/>
      <c r="J43" s="13"/>
      <c r="K43" s="13"/>
      <c r="L43" s="13"/>
      <c r="M43" s="13"/>
      <c r="N43" s="13"/>
      <c r="O43" s="13"/>
      <c r="P43" s="15">
        <f t="shared" si="0"/>
        <v>10400</v>
      </c>
    </row>
    <row r="44" spans="1:16" ht="63">
      <c r="A44" s="16"/>
      <c r="B44" s="16"/>
      <c r="C44" s="16"/>
      <c r="D44" s="1" t="s">
        <v>278</v>
      </c>
      <c r="E44" s="15">
        <f t="shared" si="10"/>
        <v>18800</v>
      </c>
      <c r="F44" s="15">
        <v>18800</v>
      </c>
      <c r="G44" s="13"/>
      <c r="H44" s="13"/>
      <c r="I44" s="13"/>
      <c r="J44" s="13"/>
      <c r="K44" s="13"/>
      <c r="L44" s="13"/>
      <c r="M44" s="13"/>
      <c r="N44" s="13"/>
      <c r="O44" s="13"/>
      <c r="P44" s="15">
        <f t="shared" si="0"/>
        <v>18800</v>
      </c>
    </row>
    <row r="45" spans="1:16" ht="47.25">
      <c r="A45" s="16"/>
      <c r="B45" s="16"/>
      <c r="C45" s="16"/>
      <c r="D45" s="1" t="s">
        <v>279</v>
      </c>
      <c r="E45" s="15">
        <f t="shared" si="10"/>
        <v>10400</v>
      </c>
      <c r="F45" s="15">
        <v>10400</v>
      </c>
      <c r="G45" s="13"/>
      <c r="H45" s="13"/>
      <c r="I45" s="13"/>
      <c r="J45" s="13">
        <f t="shared" ref="J45:J49" si="19">L45+O45</f>
        <v>0</v>
      </c>
      <c r="K45" s="13"/>
      <c r="L45" s="13"/>
      <c r="M45" s="13"/>
      <c r="N45" s="13"/>
      <c r="O45" s="13"/>
      <c r="P45" s="15">
        <f t="shared" si="0"/>
        <v>10400</v>
      </c>
    </row>
    <row r="46" spans="1:16" ht="78.75">
      <c r="A46" s="16"/>
      <c r="B46" s="16"/>
      <c r="C46" s="16"/>
      <c r="D46" s="1" t="s">
        <v>305</v>
      </c>
      <c r="E46" s="15">
        <f t="shared" si="10"/>
        <v>145500</v>
      </c>
      <c r="F46" s="15"/>
      <c r="G46" s="13"/>
      <c r="H46" s="13"/>
      <c r="I46" s="15">
        <v>145500</v>
      </c>
      <c r="J46" s="13">
        <f t="shared" si="19"/>
        <v>0</v>
      </c>
      <c r="K46" s="13"/>
      <c r="L46" s="13"/>
      <c r="M46" s="13"/>
      <c r="N46" s="13"/>
      <c r="O46" s="13"/>
      <c r="P46" s="15">
        <f t="shared" si="0"/>
        <v>145500</v>
      </c>
    </row>
    <row r="47" spans="1:16" s="7" customFormat="1" ht="47.25">
      <c r="A47" s="19"/>
      <c r="B47" s="19"/>
      <c r="C47" s="19"/>
      <c r="D47" s="1" t="s">
        <v>347</v>
      </c>
      <c r="E47" s="15"/>
      <c r="F47" s="15"/>
      <c r="G47" s="15"/>
      <c r="H47" s="15"/>
      <c r="I47" s="15"/>
      <c r="J47" s="15"/>
      <c r="K47" s="15">
        <v>534000</v>
      </c>
      <c r="L47" s="15"/>
      <c r="M47" s="15"/>
      <c r="N47" s="15"/>
      <c r="O47" s="15">
        <v>534000</v>
      </c>
      <c r="P47" s="15">
        <f t="shared" si="0"/>
        <v>0</v>
      </c>
    </row>
    <row r="48" spans="1:16" ht="47.25">
      <c r="A48" s="16"/>
      <c r="B48" s="16"/>
      <c r="C48" s="16"/>
      <c r="D48" s="1" t="s">
        <v>306</v>
      </c>
      <c r="E48" s="15">
        <f t="shared" si="10"/>
        <v>56900</v>
      </c>
      <c r="F48" s="15">
        <v>56900</v>
      </c>
      <c r="G48" s="13"/>
      <c r="H48" s="13"/>
      <c r="I48" s="13"/>
      <c r="J48" s="13">
        <f t="shared" si="19"/>
        <v>0</v>
      </c>
      <c r="K48" s="13"/>
      <c r="L48" s="13"/>
      <c r="M48" s="13"/>
      <c r="N48" s="13"/>
      <c r="O48" s="13"/>
      <c r="P48" s="15">
        <f t="shared" si="0"/>
        <v>56900</v>
      </c>
    </row>
    <row r="49" spans="1:17">
      <c r="A49" s="16" t="s">
        <v>336</v>
      </c>
      <c r="B49" s="16" t="s">
        <v>337</v>
      </c>
      <c r="C49" s="16" t="s">
        <v>338</v>
      </c>
      <c r="D49" s="12" t="s">
        <v>339</v>
      </c>
      <c r="E49" s="13">
        <f t="shared" si="10"/>
        <v>0</v>
      </c>
      <c r="F49" s="15"/>
      <c r="G49" s="13"/>
      <c r="H49" s="13"/>
      <c r="I49" s="13"/>
      <c r="J49" s="13">
        <f t="shared" si="19"/>
        <v>1500000</v>
      </c>
      <c r="K49" s="13">
        <f>1000000+500000</f>
        <v>1500000</v>
      </c>
      <c r="L49" s="13"/>
      <c r="M49" s="13"/>
      <c r="N49" s="13"/>
      <c r="O49" s="13">
        <f>1000000+500000</f>
        <v>1500000</v>
      </c>
      <c r="P49" s="13">
        <f>E49 + J49</f>
        <v>1500000</v>
      </c>
    </row>
    <row r="50" spans="1:17" ht="31.5">
      <c r="A50" s="8" t="s">
        <v>58</v>
      </c>
      <c r="B50" s="8" t="s">
        <v>59</v>
      </c>
      <c r="C50" s="8" t="s">
        <v>60</v>
      </c>
      <c r="D50" s="12" t="s">
        <v>61</v>
      </c>
      <c r="E50" s="13">
        <f>F50+I50</f>
        <v>112000</v>
      </c>
      <c r="F50" s="13">
        <v>112000</v>
      </c>
      <c r="G50" s="13">
        <v>0</v>
      </c>
      <c r="H50" s="13">
        <v>0</v>
      </c>
      <c r="I50" s="13">
        <v>0</v>
      </c>
      <c r="J50" s="13">
        <f>L50+O50</f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>E50 + J50</f>
        <v>112000</v>
      </c>
    </row>
    <row r="51" spans="1:17" ht="47.25">
      <c r="A51" s="16" t="s">
        <v>288</v>
      </c>
      <c r="B51" s="16">
        <v>8110</v>
      </c>
      <c r="C51" s="16" t="s">
        <v>239</v>
      </c>
      <c r="D51" s="12" t="s">
        <v>240</v>
      </c>
      <c r="E51" s="13">
        <f>F51+I51</f>
        <v>42000</v>
      </c>
      <c r="F51" s="13">
        <v>42000</v>
      </c>
      <c r="G51" s="13"/>
      <c r="H51" s="13"/>
      <c r="I51" s="13"/>
      <c r="J51" s="13"/>
      <c r="K51" s="13"/>
      <c r="L51" s="13"/>
      <c r="M51" s="13"/>
      <c r="N51" s="13"/>
      <c r="O51" s="13"/>
      <c r="P51" s="13">
        <f>E51 + J51</f>
        <v>42000</v>
      </c>
    </row>
    <row r="52" spans="1:17" ht="31.5">
      <c r="A52" s="8" t="s">
        <v>62</v>
      </c>
      <c r="B52" s="8" t="s">
        <v>63</v>
      </c>
      <c r="C52" s="8" t="s">
        <v>64</v>
      </c>
      <c r="D52" s="12" t="s">
        <v>65</v>
      </c>
      <c r="E52" s="13">
        <f t="shared" si="10"/>
        <v>24248400</v>
      </c>
      <c r="F52" s="13">
        <v>24248400</v>
      </c>
      <c r="G52" s="13">
        <f>17626300+3877000</f>
        <v>21503300</v>
      </c>
      <c r="H52" s="13">
        <f>53200+9300</f>
        <v>62500</v>
      </c>
      <c r="I52" s="13">
        <v>0</v>
      </c>
      <c r="J52" s="13">
        <f t="shared" si="11"/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0"/>
        <v>24248400</v>
      </c>
    </row>
    <row r="53" spans="1:17" ht="31.5">
      <c r="A53" s="8" t="s">
        <v>66</v>
      </c>
      <c r="B53" s="8" t="s">
        <v>67</v>
      </c>
      <c r="C53" s="8" t="s">
        <v>64</v>
      </c>
      <c r="D53" s="12" t="s">
        <v>68</v>
      </c>
      <c r="E53" s="13">
        <f t="shared" si="10"/>
        <v>2083400</v>
      </c>
      <c r="F53" s="13">
        <f>2103400-20000</f>
        <v>2083400</v>
      </c>
      <c r="G53" s="13">
        <v>0</v>
      </c>
      <c r="H53" s="13">
        <v>0</v>
      </c>
      <c r="I53" s="13">
        <v>0</v>
      </c>
      <c r="J53" s="13">
        <f t="shared" si="11"/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0"/>
        <v>2083400</v>
      </c>
    </row>
    <row r="54" spans="1:17" ht="31.5">
      <c r="A54" s="8" t="s">
        <v>69</v>
      </c>
      <c r="B54" s="8" t="s">
        <v>70</v>
      </c>
      <c r="C54" s="8" t="s">
        <v>64</v>
      </c>
      <c r="D54" s="12" t="s">
        <v>71</v>
      </c>
      <c r="E54" s="13">
        <f t="shared" si="10"/>
        <v>2673200</v>
      </c>
      <c r="F54" s="13">
        <v>2673200</v>
      </c>
      <c r="G54" s="13">
        <v>0</v>
      </c>
      <c r="H54" s="13">
        <v>0</v>
      </c>
      <c r="I54" s="13">
        <v>0</v>
      </c>
      <c r="J54" s="13">
        <f t="shared" si="11"/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0"/>
        <v>2673200</v>
      </c>
    </row>
    <row r="55" spans="1:17" ht="31.5">
      <c r="A55" s="16" t="s">
        <v>348</v>
      </c>
      <c r="B55" s="8">
        <v>8240</v>
      </c>
      <c r="C55" s="16" t="s">
        <v>64</v>
      </c>
      <c r="D55" s="12" t="s">
        <v>261</v>
      </c>
      <c r="E55" s="13">
        <f t="shared" si="10"/>
        <v>0</v>
      </c>
      <c r="F55" s="13"/>
      <c r="G55" s="13"/>
      <c r="H55" s="13"/>
      <c r="I55" s="13"/>
      <c r="J55" s="13">
        <f t="shared" si="11"/>
        <v>200500</v>
      </c>
      <c r="K55" s="13">
        <v>200500</v>
      </c>
      <c r="L55" s="13"/>
      <c r="M55" s="13"/>
      <c r="N55" s="13"/>
      <c r="O55" s="13">
        <v>200500</v>
      </c>
      <c r="P55" s="13">
        <f t="shared" si="0"/>
        <v>200500</v>
      </c>
    </row>
    <row r="56" spans="1:17" ht="31.5">
      <c r="A56" s="16" t="s">
        <v>276</v>
      </c>
      <c r="B56" s="8">
        <v>8340</v>
      </c>
      <c r="C56" s="8" t="s">
        <v>274</v>
      </c>
      <c r="D56" s="12" t="s">
        <v>275</v>
      </c>
      <c r="E56" s="13">
        <f t="shared" si="10"/>
        <v>0</v>
      </c>
      <c r="F56" s="13"/>
      <c r="G56" s="13"/>
      <c r="H56" s="13"/>
      <c r="I56" s="13"/>
      <c r="J56" s="13">
        <f t="shared" si="11"/>
        <v>900000</v>
      </c>
      <c r="K56" s="13"/>
      <c r="L56" s="13">
        <v>900000</v>
      </c>
      <c r="M56" s="13"/>
      <c r="N56" s="13"/>
      <c r="O56" s="13"/>
      <c r="P56" s="13">
        <f t="shared" si="0"/>
        <v>900000</v>
      </c>
    </row>
    <row r="57" spans="1:17" ht="47.25">
      <c r="A57" s="9" t="s">
        <v>72</v>
      </c>
      <c r="B57" s="9" t="s">
        <v>19</v>
      </c>
      <c r="C57" s="9" t="s">
        <v>19</v>
      </c>
      <c r="D57" s="10" t="s">
        <v>73</v>
      </c>
      <c r="E57" s="11">
        <f>F57+I57</f>
        <v>408520054</v>
      </c>
      <c r="F57" s="11">
        <f>F58</f>
        <v>408520054</v>
      </c>
      <c r="G57" s="11">
        <f>G58</f>
        <v>303348544</v>
      </c>
      <c r="H57" s="11">
        <f>H58</f>
        <v>36013400</v>
      </c>
      <c r="I57" s="11">
        <f>I58</f>
        <v>0</v>
      </c>
      <c r="J57" s="11">
        <f>L57+O57</f>
        <v>31320716</v>
      </c>
      <c r="K57" s="11">
        <f>K58</f>
        <v>14315216</v>
      </c>
      <c r="L57" s="11">
        <f t="shared" ref="L57:O57" si="20">L58</f>
        <v>17005500</v>
      </c>
      <c r="M57" s="11">
        <f t="shared" si="20"/>
        <v>0</v>
      </c>
      <c r="N57" s="11">
        <f t="shared" si="20"/>
        <v>0</v>
      </c>
      <c r="O57" s="11">
        <f t="shared" si="20"/>
        <v>14315216</v>
      </c>
      <c r="P57" s="11">
        <f t="shared" si="0"/>
        <v>439840770</v>
      </c>
      <c r="Q57" s="5"/>
    </row>
    <row r="58" spans="1:17" ht="47.25">
      <c r="A58" s="9" t="s">
        <v>74</v>
      </c>
      <c r="B58" s="9" t="s">
        <v>19</v>
      </c>
      <c r="C58" s="9" t="s">
        <v>19</v>
      </c>
      <c r="D58" s="10" t="s">
        <v>73</v>
      </c>
      <c r="E58" s="11">
        <f>F58+I58</f>
        <v>408520054</v>
      </c>
      <c r="F58" s="11">
        <f>SUM(F59:F83)-F65-F66</f>
        <v>408520054</v>
      </c>
      <c r="G58" s="11">
        <f t="shared" ref="G58:I58" si="21">SUM(G59:G83)-G65-G66</f>
        <v>303348544</v>
      </c>
      <c r="H58" s="11">
        <f t="shared" si="21"/>
        <v>36013400</v>
      </c>
      <c r="I58" s="11">
        <f t="shared" si="21"/>
        <v>0</v>
      </c>
      <c r="J58" s="11">
        <f>L58+O58</f>
        <v>31320716</v>
      </c>
      <c r="K58" s="11">
        <f>SUM(K59:K83)-K65-K66</f>
        <v>14315216</v>
      </c>
      <c r="L58" s="11">
        <f t="shared" ref="L58:O58" si="22">SUM(L59:L83)-L65-L66</f>
        <v>17005500</v>
      </c>
      <c r="M58" s="11">
        <f t="shared" si="22"/>
        <v>0</v>
      </c>
      <c r="N58" s="11">
        <f t="shared" si="22"/>
        <v>0</v>
      </c>
      <c r="O58" s="11">
        <f t="shared" si="22"/>
        <v>14315216</v>
      </c>
      <c r="P58" s="11">
        <f>E58 + J58</f>
        <v>439840770</v>
      </c>
    </row>
    <row r="59" spans="1:17" ht="47.25">
      <c r="A59" s="8" t="s">
        <v>75</v>
      </c>
      <c r="B59" s="8" t="s">
        <v>76</v>
      </c>
      <c r="C59" s="8" t="s">
        <v>24</v>
      </c>
      <c r="D59" s="12" t="s">
        <v>77</v>
      </c>
      <c r="E59" s="13">
        <f>F59+I59</f>
        <v>5954600</v>
      </c>
      <c r="F59" s="13">
        <v>5954600</v>
      </c>
      <c r="G59" s="13">
        <f>4429700+974500</f>
        <v>5404200</v>
      </c>
      <c r="H59" s="13">
        <f>222100+10400+210000+8800</f>
        <v>451300</v>
      </c>
      <c r="I59" s="13">
        <v>0</v>
      </c>
      <c r="J59" s="13">
        <f>L59+O59</f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0"/>
        <v>5954600</v>
      </c>
    </row>
    <row r="60" spans="1:17">
      <c r="A60" s="8" t="s">
        <v>78</v>
      </c>
      <c r="B60" s="8" t="s">
        <v>79</v>
      </c>
      <c r="C60" s="8" t="s">
        <v>80</v>
      </c>
      <c r="D60" s="12" t="s">
        <v>81</v>
      </c>
      <c r="E60" s="13">
        <f t="shared" ref="E60:E82" si="23">F60+I60</f>
        <v>102119680</v>
      </c>
      <c r="F60" s="13">
        <f>101843700+145980+130000</f>
        <v>102119680</v>
      </c>
      <c r="G60" s="13">
        <f>65000000+14300000</f>
        <v>79300000</v>
      </c>
      <c r="H60" s="13">
        <f>8000000+660000+3656100+157600+320000</f>
        <v>12793700</v>
      </c>
      <c r="I60" s="13">
        <v>0</v>
      </c>
      <c r="J60" s="13">
        <f t="shared" ref="J60:J83" si="24">L60+O60</f>
        <v>10460687</v>
      </c>
      <c r="K60" s="13">
        <v>1073037</v>
      </c>
      <c r="L60" s="13">
        <v>9387650</v>
      </c>
      <c r="M60" s="13">
        <v>0</v>
      </c>
      <c r="N60" s="13">
        <v>0</v>
      </c>
      <c r="O60" s="13">
        <v>1073037</v>
      </c>
      <c r="P60" s="13">
        <f t="shared" si="0"/>
        <v>112580367</v>
      </c>
    </row>
    <row r="61" spans="1:17" ht="47.25">
      <c r="A61" s="8" t="s">
        <v>82</v>
      </c>
      <c r="B61" s="8" t="s">
        <v>83</v>
      </c>
      <c r="C61" s="8" t="s">
        <v>84</v>
      </c>
      <c r="D61" s="12" t="s">
        <v>85</v>
      </c>
      <c r="E61" s="13">
        <f t="shared" si="23"/>
        <v>95929880</v>
      </c>
      <c r="F61" s="13">
        <f>95351700+432180+146000</f>
        <v>95929880</v>
      </c>
      <c r="G61" s="13">
        <f>38229200+8410300</f>
        <v>46639500</v>
      </c>
      <c r="H61" s="13">
        <f>10200000+608000+4800000+900000+675000</f>
        <v>17183000</v>
      </c>
      <c r="I61" s="13">
        <v>0</v>
      </c>
      <c r="J61" s="13">
        <f t="shared" si="24"/>
        <v>2007689</v>
      </c>
      <c r="K61" s="13">
        <v>1800000</v>
      </c>
      <c r="L61" s="13">
        <v>207689</v>
      </c>
      <c r="M61" s="13">
        <v>0</v>
      </c>
      <c r="N61" s="13">
        <v>0</v>
      </c>
      <c r="O61" s="13">
        <v>1800000</v>
      </c>
      <c r="P61" s="13">
        <f t="shared" si="0"/>
        <v>97937569</v>
      </c>
      <c r="Q61" s="5"/>
    </row>
    <row r="62" spans="1:17" ht="94.5">
      <c r="A62" s="8" t="s">
        <v>86</v>
      </c>
      <c r="B62" s="8" t="s">
        <v>87</v>
      </c>
      <c r="C62" s="8" t="s">
        <v>88</v>
      </c>
      <c r="D62" s="12" t="s">
        <v>89</v>
      </c>
      <c r="E62" s="13">
        <f t="shared" si="23"/>
        <v>14587000</v>
      </c>
      <c r="F62" s="13">
        <f>14574000+13000</f>
        <v>14587000</v>
      </c>
      <c r="G62" s="13">
        <f>7769100+1735200</f>
        <v>9504300</v>
      </c>
      <c r="H62" s="13">
        <f>871200+80500+661100+37300</f>
        <v>1650100</v>
      </c>
      <c r="I62" s="13">
        <v>0</v>
      </c>
      <c r="J62" s="13">
        <f t="shared" si="24"/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f t="shared" si="0"/>
        <v>14587000</v>
      </c>
    </row>
    <row r="63" spans="1:17" s="20" customFormat="1" ht="47.25">
      <c r="A63" s="8" t="s">
        <v>90</v>
      </c>
      <c r="B63" s="8" t="s">
        <v>91</v>
      </c>
      <c r="C63" s="8" t="s">
        <v>84</v>
      </c>
      <c r="D63" s="12" t="s">
        <v>92</v>
      </c>
      <c r="E63" s="13">
        <f t="shared" si="23"/>
        <v>92648774</v>
      </c>
      <c r="F63" s="13">
        <f>F65+F66</f>
        <v>92648774</v>
      </c>
      <c r="G63" s="13">
        <f>G65+G66</f>
        <v>92648774</v>
      </c>
      <c r="H63" s="13">
        <v>0</v>
      </c>
      <c r="I63" s="13">
        <v>0</v>
      </c>
      <c r="J63" s="13">
        <f t="shared" si="24"/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f t="shared" si="0"/>
        <v>92648774</v>
      </c>
    </row>
    <row r="64" spans="1:17" s="32" customFormat="1">
      <c r="A64" s="14"/>
      <c r="B64" s="14"/>
      <c r="C64" s="14"/>
      <c r="D64" s="1" t="s">
        <v>366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>
        <f t="shared" si="0"/>
        <v>0</v>
      </c>
    </row>
    <row r="65" spans="1:16" s="32" customFormat="1" ht="31.5">
      <c r="A65" s="14"/>
      <c r="B65" s="14"/>
      <c r="C65" s="14"/>
      <c r="D65" s="1" t="s">
        <v>367</v>
      </c>
      <c r="E65" s="15">
        <f t="shared" ref="E65:E66" si="25">F65+I65</f>
        <v>92366200</v>
      </c>
      <c r="F65" s="15">
        <f>92366200</f>
        <v>92366200</v>
      </c>
      <c r="G65" s="15">
        <f>92366200</f>
        <v>92366200</v>
      </c>
      <c r="H65" s="15"/>
      <c r="I65" s="15"/>
      <c r="J65" s="15"/>
      <c r="K65" s="15"/>
      <c r="L65" s="15"/>
      <c r="M65" s="15"/>
      <c r="N65" s="15"/>
      <c r="O65" s="15"/>
      <c r="P65" s="15">
        <f t="shared" si="0"/>
        <v>92366200</v>
      </c>
    </row>
    <row r="66" spans="1:16" s="32" customFormat="1" ht="31.5">
      <c r="A66" s="14"/>
      <c r="B66" s="14"/>
      <c r="C66" s="14"/>
      <c r="D66" s="1" t="s">
        <v>368</v>
      </c>
      <c r="E66" s="15">
        <f t="shared" si="25"/>
        <v>282574</v>
      </c>
      <c r="F66" s="15">
        <f>282574</f>
        <v>282574</v>
      </c>
      <c r="G66" s="15">
        <f>282574</f>
        <v>282574</v>
      </c>
      <c r="H66" s="15"/>
      <c r="I66" s="15"/>
      <c r="J66" s="15"/>
      <c r="K66" s="15"/>
      <c r="L66" s="15"/>
      <c r="M66" s="15"/>
      <c r="N66" s="15"/>
      <c r="O66" s="15"/>
      <c r="P66" s="15">
        <f t="shared" si="0"/>
        <v>282574</v>
      </c>
    </row>
    <row r="67" spans="1:16" s="20" customFormat="1" ht="94.5">
      <c r="A67" s="8" t="s">
        <v>93</v>
      </c>
      <c r="B67" s="8" t="s">
        <v>94</v>
      </c>
      <c r="C67" s="8" t="s">
        <v>88</v>
      </c>
      <c r="D67" s="12" t="s">
        <v>95</v>
      </c>
      <c r="E67" s="13">
        <f t="shared" si="23"/>
        <v>10645300</v>
      </c>
      <c r="F67" s="13">
        <v>10645300</v>
      </c>
      <c r="G67" s="13">
        <v>10645300</v>
      </c>
      <c r="H67" s="13">
        <v>0</v>
      </c>
      <c r="I67" s="13">
        <v>0</v>
      </c>
      <c r="J67" s="13">
        <f t="shared" si="24"/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f t="shared" si="0"/>
        <v>10645300</v>
      </c>
    </row>
    <row r="68" spans="1:16" ht="47.25">
      <c r="A68" s="8" t="s">
        <v>96</v>
      </c>
      <c r="B68" s="8" t="s">
        <v>97</v>
      </c>
      <c r="C68" s="8" t="s">
        <v>98</v>
      </c>
      <c r="D68" s="12" t="s">
        <v>99</v>
      </c>
      <c r="E68" s="13">
        <f t="shared" si="23"/>
        <v>22505950</v>
      </c>
      <c r="F68" s="13">
        <f>22476900+13050+16000</f>
        <v>22505950</v>
      </c>
      <c r="G68" s="13">
        <f>15583500+3428400</f>
        <v>19011900</v>
      </c>
      <c r="H68" s="13">
        <f>217600+352800+674300+79100</f>
        <v>1323800</v>
      </c>
      <c r="I68" s="13">
        <v>0</v>
      </c>
      <c r="J68" s="13">
        <f t="shared" si="24"/>
        <v>189360</v>
      </c>
      <c r="K68" s="13">
        <v>0</v>
      </c>
      <c r="L68" s="13">
        <v>189360</v>
      </c>
      <c r="M68" s="13">
        <v>0</v>
      </c>
      <c r="N68" s="13">
        <v>0</v>
      </c>
      <c r="O68" s="13">
        <v>0</v>
      </c>
      <c r="P68" s="13">
        <f t="shared" si="0"/>
        <v>22695310</v>
      </c>
    </row>
    <row r="69" spans="1:16" ht="47.25">
      <c r="A69" s="8" t="s">
        <v>100</v>
      </c>
      <c r="B69" s="8" t="s">
        <v>101</v>
      </c>
      <c r="C69" s="8" t="s">
        <v>102</v>
      </c>
      <c r="D69" s="12" t="s">
        <v>103</v>
      </c>
      <c r="E69" s="13">
        <f t="shared" si="23"/>
        <v>15000</v>
      </c>
      <c r="F69" s="13">
        <v>15000</v>
      </c>
      <c r="G69" s="13">
        <v>0</v>
      </c>
      <c r="H69" s="13">
        <v>0</v>
      </c>
      <c r="I69" s="13">
        <v>0</v>
      </c>
      <c r="J69" s="13">
        <f t="shared" si="24"/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f t="shared" si="0"/>
        <v>15000</v>
      </c>
    </row>
    <row r="70" spans="1:16" ht="31.5">
      <c r="A70" s="8" t="s">
        <v>104</v>
      </c>
      <c r="B70" s="8" t="s">
        <v>105</v>
      </c>
      <c r="C70" s="8" t="s">
        <v>106</v>
      </c>
      <c r="D70" s="12" t="s">
        <v>107</v>
      </c>
      <c r="E70" s="13">
        <f t="shared" si="23"/>
        <v>27731400</v>
      </c>
      <c r="F70" s="13">
        <f>27706400+25000</f>
        <v>27731400</v>
      </c>
      <c r="G70" s="13">
        <f>13803000+3036500</f>
        <v>16839500</v>
      </c>
      <c r="H70" s="13">
        <f>605500+60000+850000+111400</f>
        <v>1626900</v>
      </c>
      <c r="I70" s="13"/>
      <c r="J70" s="13">
        <f t="shared" si="24"/>
        <v>1</v>
      </c>
      <c r="K70" s="13">
        <v>0</v>
      </c>
      <c r="L70" s="13">
        <v>1</v>
      </c>
      <c r="M70" s="13">
        <v>0</v>
      </c>
      <c r="N70" s="13">
        <v>0</v>
      </c>
      <c r="O70" s="13">
        <v>0</v>
      </c>
      <c r="P70" s="13">
        <f t="shared" si="0"/>
        <v>27731401</v>
      </c>
    </row>
    <row r="71" spans="1:16" ht="47.25">
      <c r="A71" s="8" t="s">
        <v>108</v>
      </c>
      <c r="B71" s="8" t="s">
        <v>109</v>
      </c>
      <c r="C71" s="8" t="s">
        <v>106</v>
      </c>
      <c r="D71" s="12" t="s">
        <v>110</v>
      </c>
      <c r="E71" s="13">
        <f t="shared" si="23"/>
        <v>809000</v>
      </c>
      <c r="F71" s="13">
        <f>703000+100000+6000</f>
        <v>809000</v>
      </c>
      <c r="G71" s="13">
        <f>349500+76200</f>
        <v>425700</v>
      </c>
      <c r="H71" s="13">
        <f>50000+6500+58900+7900</f>
        <v>123300</v>
      </c>
      <c r="I71" s="13">
        <v>0</v>
      </c>
      <c r="J71" s="13">
        <f t="shared" si="24"/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f t="shared" si="0"/>
        <v>809000</v>
      </c>
    </row>
    <row r="72" spans="1:16" s="20" customFormat="1" ht="47.25">
      <c r="A72" s="16" t="s">
        <v>349</v>
      </c>
      <c r="B72" s="8">
        <v>1152</v>
      </c>
      <c r="C72" s="8" t="s">
        <v>106</v>
      </c>
      <c r="D72" s="12" t="s">
        <v>350</v>
      </c>
      <c r="E72" s="13">
        <f t="shared" si="23"/>
        <v>1387870</v>
      </c>
      <c r="F72" s="13">
        <v>1387870</v>
      </c>
      <c r="G72" s="13">
        <v>1387870</v>
      </c>
      <c r="H72" s="13"/>
      <c r="I72" s="13"/>
      <c r="J72" s="13"/>
      <c r="K72" s="13"/>
      <c r="L72" s="13"/>
      <c r="M72" s="13"/>
      <c r="N72" s="13"/>
      <c r="O72" s="13"/>
      <c r="P72" s="13">
        <f t="shared" si="0"/>
        <v>1387870</v>
      </c>
    </row>
    <row r="73" spans="1:16" ht="47.25">
      <c r="A73" s="8" t="s">
        <v>111</v>
      </c>
      <c r="B73" s="8" t="s">
        <v>112</v>
      </c>
      <c r="C73" s="8" t="s">
        <v>106</v>
      </c>
      <c r="D73" s="12" t="s">
        <v>113</v>
      </c>
      <c r="E73" s="13">
        <f t="shared" si="23"/>
        <v>4125500</v>
      </c>
      <c r="F73" s="13">
        <v>4125500</v>
      </c>
      <c r="G73" s="13">
        <f>3167900+696900</f>
        <v>3864800</v>
      </c>
      <c r="H73" s="13">
        <f>18400+4300+15700+1800</f>
        <v>40200</v>
      </c>
      <c r="I73" s="13">
        <v>0</v>
      </c>
      <c r="J73" s="13">
        <f t="shared" si="24"/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f t="shared" si="0"/>
        <v>4125500</v>
      </c>
    </row>
    <row r="74" spans="1:16" ht="126">
      <c r="A74" s="16" t="s">
        <v>351</v>
      </c>
      <c r="B74" s="16" t="s">
        <v>356</v>
      </c>
      <c r="C74" s="16" t="s">
        <v>106</v>
      </c>
      <c r="D74" s="12" t="s">
        <v>361</v>
      </c>
      <c r="E74" s="13">
        <f t="shared" si="23"/>
        <v>0</v>
      </c>
      <c r="F74" s="13"/>
      <c r="G74" s="13"/>
      <c r="H74" s="13"/>
      <c r="I74" s="13"/>
      <c r="J74" s="13">
        <f t="shared" si="24"/>
        <v>1304329</v>
      </c>
      <c r="K74" s="13">
        <v>1304329</v>
      </c>
      <c r="L74" s="13"/>
      <c r="M74" s="13"/>
      <c r="N74" s="13"/>
      <c r="O74" s="13">
        <v>1304329</v>
      </c>
      <c r="P74" s="13">
        <f t="shared" si="0"/>
        <v>1304329</v>
      </c>
    </row>
    <row r="75" spans="1:16" ht="126">
      <c r="A75" s="16" t="s">
        <v>352</v>
      </c>
      <c r="B75" s="16" t="s">
        <v>357</v>
      </c>
      <c r="C75" s="16" t="s">
        <v>106</v>
      </c>
      <c r="D75" s="12" t="s">
        <v>362</v>
      </c>
      <c r="E75" s="13">
        <f t="shared" si="23"/>
        <v>0</v>
      </c>
      <c r="F75" s="13"/>
      <c r="G75" s="13"/>
      <c r="H75" s="13"/>
      <c r="I75" s="13"/>
      <c r="J75" s="13">
        <f t="shared" si="24"/>
        <v>3043200</v>
      </c>
      <c r="K75" s="13">
        <v>3043200</v>
      </c>
      <c r="L75" s="13"/>
      <c r="M75" s="13"/>
      <c r="N75" s="13"/>
      <c r="O75" s="13">
        <v>3043200</v>
      </c>
      <c r="P75" s="13">
        <f t="shared" si="0"/>
        <v>3043200</v>
      </c>
    </row>
    <row r="76" spans="1:16" ht="110.25">
      <c r="A76" s="16" t="s">
        <v>353</v>
      </c>
      <c r="B76" s="16" t="s">
        <v>358</v>
      </c>
      <c r="C76" s="16" t="s">
        <v>106</v>
      </c>
      <c r="D76" s="12" t="s">
        <v>363</v>
      </c>
      <c r="E76" s="13">
        <f t="shared" si="23"/>
        <v>330900</v>
      </c>
      <c r="F76" s="13">
        <v>330900</v>
      </c>
      <c r="G76" s="13"/>
      <c r="H76" s="13"/>
      <c r="I76" s="13"/>
      <c r="J76" s="13">
        <f t="shared" si="24"/>
        <v>0</v>
      </c>
      <c r="K76" s="13"/>
      <c r="L76" s="13"/>
      <c r="M76" s="13"/>
      <c r="N76" s="13"/>
      <c r="O76" s="13"/>
      <c r="P76" s="13">
        <f t="shared" si="0"/>
        <v>330900</v>
      </c>
    </row>
    <row r="77" spans="1:16" ht="78.75">
      <c r="A77" s="16" t="s">
        <v>354</v>
      </c>
      <c r="B77" s="16" t="s">
        <v>359</v>
      </c>
      <c r="C77" s="16" t="s">
        <v>106</v>
      </c>
      <c r="D77" s="12" t="s">
        <v>364</v>
      </c>
      <c r="E77" s="13">
        <f t="shared" si="23"/>
        <v>0</v>
      </c>
      <c r="F77" s="13"/>
      <c r="G77" s="13"/>
      <c r="H77" s="13"/>
      <c r="I77" s="13"/>
      <c r="J77" s="13">
        <f t="shared" si="24"/>
        <v>7220800</v>
      </c>
      <c r="K77" s="13"/>
      <c r="L77" s="13">
        <v>7220800</v>
      </c>
      <c r="M77" s="13"/>
      <c r="N77" s="13"/>
      <c r="O77" s="13"/>
      <c r="P77" s="13">
        <f t="shared" si="0"/>
        <v>7220800</v>
      </c>
    </row>
    <row r="78" spans="1:16" ht="78.75">
      <c r="A78" s="16" t="s">
        <v>355</v>
      </c>
      <c r="B78" s="16" t="s">
        <v>360</v>
      </c>
      <c r="C78" s="16" t="s">
        <v>106</v>
      </c>
      <c r="D78" s="12" t="s">
        <v>365</v>
      </c>
      <c r="E78" s="13">
        <f t="shared" si="23"/>
        <v>7051000</v>
      </c>
      <c r="F78" s="13">
        <v>7051000</v>
      </c>
      <c r="G78" s="13">
        <v>7051000</v>
      </c>
      <c r="H78" s="13"/>
      <c r="I78" s="13"/>
      <c r="J78" s="13">
        <f t="shared" si="24"/>
        <v>0</v>
      </c>
      <c r="K78" s="13"/>
      <c r="L78" s="13"/>
      <c r="M78" s="13"/>
      <c r="N78" s="13"/>
      <c r="O78" s="13"/>
      <c r="P78" s="13">
        <f t="shared" si="0"/>
        <v>7051000</v>
      </c>
    </row>
    <row r="79" spans="1:16" ht="94.5">
      <c r="A79" s="8" t="s">
        <v>114</v>
      </c>
      <c r="B79" s="8" t="s">
        <v>115</v>
      </c>
      <c r="C79" s="8" t="s">
        <v>116</v>
      </c>
      <c r="D79" s="12" t="s">
        <v>117</v>
      </c>
      <c r="E79" s="13">
        <f t="shared" si="23"/>
        <v>4638400</v>
      </c>
      <c r="F79" s="13">
        <v>4638400</v>
      </c>
      <c r="G79" s="13">
        <v>0</v>
      </c>
      <c r="H79" s="13">
        <v>0</v>
      </c>
      <c r="I79" s="13">
        <v>0</v>
      </c>
      <c r="J79" s="13">
        <f t="shared" si="24"/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f t="shared" si="0"/>
        <v>4638400</v>
      </c>
    </row>
    <row r="80" spans="1:16" ht="31.5">
      <c r="A80" s="8" t="s">
        <v>118</v>
      </c>
      <c r="B80" s="8" t="s">
        <v>51</v>
      </c>
      <c r="C80" s="8" t="s">
        <v>52</v>
      </c>
      <c r="D80" s="12" t="s">
        <v>53</v>
      </c>
      <c r="E80" s="13">
        <f t="shared" si="23"/>
        <v>4101000</v>
      </c>
      <c r="F80" s="13">
        <v>4101000</v>
      </c>
      <c r="G80" s="13">
        <v>0</v>
      </c>
      <c r="H80" s="13">
        <v>0</v>
      </c>
      <c r="I80" s="13">
        <v>0</v>
      </c>
      <c r="J80" s="13">
        <f t="shared" si="24"/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f t="shared" si="0"/>
        <v>4101000</v>
      </c>
    </row>
    <row r="81" spans="1:17" ht="63">
      <c r="A81" s="8" t="s">
        <v>119</v>
      </c>
      <c r="B81" s="8" t="s">
        <v>120</v>
      </c>
      <c r="C81" s="8" t="s">
        <v>121</v>
      </c>
      <c r="D81" s="12" t="s">
        <v>343</v>
      </c>
      <c r="E81" s="13">
        <f t="shared" si="23"/>
        <v>12658800</v>
      </c>
      <c r="F81" s="13">
        <f>12646800+12000</f>
        <v>12658800</v>
      </c>
      <c r="G81" s="13">
        <f>8709600+1916100</f>
        <v>10625700</v>
      </c>
      <c r="H81" s="13">
        <f>657600+21600+127000+14900</f>
        <v>821100</v>
      </c>
      <c r="I81" s="13">
        <v>0</v>
      </c>
      <c r="J81" s="13">
        <f t="shared" si="24"/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f t="shared" ref="P81:P118" si="26">E81 + J81</f>
        <v>12658800</v>
      </c>
    </row>
    <row r="82" spans="1:17" ht="31.5">
      <c r="A82" s="16" t="s">
        <v>290</v>
      </c>
      <c r="B82" s="16" t="s">
        <v>285</v>
      </c>
      <c r="C82" s="16" t="s">
        <v>287</v>
      </c>
      <c r="D82" s="12" t="s">
        <v>286</v>
      </c>
      <c r="E82" s="13">
        <f t="shared" si="23"/>
        <v>500000</v>
      </c>
      <c r="F82" s="13">
        <v>500000</v>
      </c>
      <c r="G82" s="13"/>
      <c r="H82" s="13"/>
      <c r="I82" s="13"/>
      <c r="J82" s="13">
        <f t="shared" si="24"/>
        <v>0</v>
      </c>
      <c r="K82" s="13"/>
      <c r="L82" s="13"/>
      <c r="M82" s="13"/>
      <c r="N82" s="13"/>
      <c r="O82" s="13"/>
      <c r="P82" s="13">
        <f t="shared" si="26"/>
        <v>500000</v>
      </c>
    </row>
    <row r="83" spans="1:17" ht="47.25">
      <c r="A83" s="16" t="s">
        <v>291</v>
      </c>
      <c r="B83" s="16">
        <v>8110</v>
      </c>
      <c r="C83" s="16" t="s">
        <v>239</v>
      </c>
      <c r="D83" s="12" t="s">
        <v>240</v>
      </c>
      <c r="E83" s="13">
        <f>F83+I83</f>
        <v>780000</v>
      </c>
      <c r="F83" s="13">
        <v>780000</v>
      </c>
      <c r="G83" s="13"/>
      <c r="H83" s="13"/>
      <c r="I83" s="13"/>
      <c r="J83" s="13">
        <f t="shared" si="24"/>
        <v>7094650</v>
      </c>
      <c r="K83" s="13">
        <f>200000+6894650</f>
        <v>7094650</v>
      </c>
      <c r="L83" s="13"/>
      <c r="M83" s="13"/>
      <c r="N83" s="13"/>
      <c r="O83" s="13">
        <f>200000+6894650</f>
        <v>7094650</v>
      </c>
      <c r="P83" s="13">
        <f>E83 + J83</f>
        <v>7874650</v>
      </c>
    </row>
    <row r="84" spans="1:17" ht="47.25">
      <c r="A84" s="9" t="s">
        <v>122</v>
      </c>
      <c r="B84" s="9" t="s">
        <v>19</v>
      </c>
      <c r="C84" s="9" t="s">
        <v>19</v>
      </c>
      <c r="D84" s="10" t="s">
        <v>123</v>
      </c>
      <c r="E84" s="11">
        <f>F84+I84</f>
        <v>118452329.87</v>
      </c>
      <c r="F84" s="11">
        <f>F85</f>
        <v>118452329.87</v>
      </c>
      <c r="G84" s="11">
        <f>G85</f>
        <v>46270974.870000005</v>
      </c>
      <c r="H84" s="11">
        <f>H85</f>
        <v>1477200</v>
      </c>
      <c r="I84" s="11">
        <f>I85</f>
        <v>0</v>
      </c>
      <c r="J84" s="11">
        <f>L84+O84</f>
        <v>182000</v>
      </c>
      <c r="K84" s="11">
        <f>K85</f>
        <v>0</v>
      </c>
      <c r="L84" s="11">
        <f t="shared" ref="L84:O84" si="27">L85</f>
        <v>57000</v>
      </c>
      <c r="M84" s="11">
        <f t="shared" si="27"/>
        <v>0</v>
      </c>
      <c r="N84" s="11">
        <f t="shared" si="27"/>
        <v>0</v>
      </c>
      <c r="O84" s="11">
        <f t="shared" si="27"/>
        <v>125000</v>
      </c>
      <c r="P84" s="11">
        <f t="shared" si="26"/>
        <v>118634329.87</v>
      </c>
      <c r="Q84" s="5"/>
    </row>
    <row r="85" spans="1:17" ht="47.25">
      <c r="A85" s="9" t="s">
        <v>124</v>
      </c>
      <c r="B85" s="9" t="s">
        <v>19</v>
      </c>
      <c r="C85" s="9" t="s">
        <v>19</v>
      </c>
      <c r="D85" s="10" t="s">
        <v>123</v>
      </c>
      <c r="E85" s="11">
        <f>F85+I85</f>
        <v>118452329.87</v>
      </c>
      <c r="F85" s="11">
        <f>SUM(F86:F102)</f>
        <v>118452329.87</v>
      </c>
      <c r="G85" s="11">
        <f t="shared" ref="G85:K85" si="28">SUM(G86:G102)</f>
        <v>46270974.870000005</v>
      </c>
      <c r="H85" s="11">
        <f t="shared" si="28"/>
        <v>1477200</v>
      </c>
      <c r="I85" s="11">
        <f t="shared" si="28"/>
        <v>0</v>
      </c>
      <c r="J85" s="11">
        <f>L85+O85</f>
        <v>182000</v>
      </c>
      <c r="K85" s="11">
        <f t="shared" si="28"/>
        <v>0</v>
      </c>
      <c r="L85" s="11">
        <f t="shared" ref="L85" si="29">SUM(L86:L102)</f>
        <v>57000</v>
      </c>
      <c r="M85" s="11">
        <f t="shared" ref="M85" si="30">SUM(M86:M102)</f>
        <v>0</v>
      </c>
      <c r="N85" s="11">
        <f t="shared" ref="N85" si="31">SUM(N86:N102)</f>
        <v>0</v>
      </c>
      <c r="O85" s="11">
        <f t="shared" ref="O85" si="32">SUM(O86:O102)</f>
        <v>125000</v>
      </c>
      <c r="P85" s="11">
        <f t="shared" si="26"/>
        <v>118634329.87</v>
      </c>
      <c r="Q85" s="5"/>
    </row>
    <row r="86" spans="1:17" ht="47.25">
      <c r="A86" s="8" t="s">
        <v>125</v>
      </c>
      <c r="B86" s="8" t="s">
        <v>76</v>
      </c>
      <c r="C86" s="8" t="s">
        <v>24</v>
      </c>
      <c r="D86" s="12" t="s">
        <v>77</v>
      </c>
      <c r="E86" s="13">
        <f>F86+I86</f>
        <v>22512700</v>
      </c>
      <c r="F86" s="13">
        <v>22512700</v>
      </c>
      <c r="G86" s="13">
        <f>17437500+3836200</f>
        <v>21273700</v>
      </c>
      <c r="H86" s="13">
        <f>500000+20000+300000</f>
        <v>820000</v>
      </c>
      <c r="I86" s="13">
        <v>0</v>
      </c>
      <c r="J86" s="13">
        <f>L86+O86</f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f t="shared" si="26"/>
        <v>22512700</v>
      </c>
    </row>
    <row r="87" spans="1:17" ht="31.5">
      <c r="A87" s="8" t="s">
        <v>126</v>
      </c>
      <c r="B87" s="8" t="s">
        <v>31</v>
      </c>
      <c r="C87" s="8" t="s">
        <v>32</v>
      </c>
      <c r="D87" s="12" t="s">
        <v>33</v>
      </c>
      <c r="E87" s="13">
        <f t="shared" ref="E87:E105" si="33">F87+I87</f>
        <v>50000</v>
      </c>
      <c r="F87" s="13">
        <v>50000</v>
      </c>
      <c r="G87" s="13">
        <v>0</v>
      </c>
      <c r="H87" s="13">
        <v>0</v>
      </c>
      <c r="I87" s="13">
        <v>0</v>
      </c>
      <c r="J87" s="13">
        <f t="shared" ref="J87:J168" si="34">L87+O87</f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f t="shared" si="26"/>
        <v>50000</v>
      </c>
    </row>
    <row r="88" spans="1:17" ht="47.25">
      <c r="A88" s="8" t="s">
        <v>127</v>
      </c>
      <c r="B88" s="8" t="s">
        <v>128</v>
      </c>
      <c r="C88" s="8" t="s">
        <v>129</v>
      </c>
      <c r="D88" s="12" t="s">
        <v>130</v>
      </c>
      <c r="E88" s="13">
        <f t="shared" si="33"/>
        <v>3161000</v>
      </c>
      <c r="F88" s="13">
        <v>3161000</v>
      </c>
      <c r="G88" s="13">
        <v>0</v>
      </c>
      <c r="H88" s="13">
        <v>0</v>
      </c>
      <c r="I88" s="13">
        <v>0</v>
      </c>
      <c r="J88" s="13">
        <f t="shared" si="34"/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f t="shared" si="26"/>
        <v>3161000</v>
      </c>
    </row>
    <row r="89" spans="1:17" ht="31.5">
      <c r="A89" s="8" t="s">
        <v>131</v>
      </c>
      <c r="B89" s="8" t="s">
        <v>132</v>
      </c>
      <c r="C89" s="8" t="s">
        <v>97</v>
      </c>
      <c r="D89" s="12" t="s">
        <v>133</v>
      </c>
      <c r="E89" s="13">
        <f t="shared" si="33"/>
        <v>5000</v>
      </c>
      <c r="F89" s="13">
        <v>5000</v>
      </c>
      <c r="G89" s="13">
        <v>0</v>
      </c>
      <c r="H89" s="13">
        <v>0</v>
      </c>
      <c r="I89" s="13">
        <v>0</v>
      </c>
      <c r="J89" s="13">
        <f t="shared" si="34"/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f t="shared" si="26"/>
        <v>5000</v>
      </c>
    </row>
    <row r="90" spans="1:17" s="20" customFormat="1" ht="47.25">
      <c r="A90" s="8" t="s">
        <v>134</v>
      </c>
      <c r="B90" s="8" t="s">
        <v>135</v>
      </c>
      <c r="C90" s="8" t="s">
        <v>97</v>
      </c>
      <c r="D90" s="12" t="s">
        <v>136</v>
      </c>
      <c r="E90" s="13">
        <f t="shared" si="33"/>
        <v>444119</v>
      </c>
      <c r="F90" s="13">
        <v>444119</v>
      </c>
      <c r="G90" s="13">
        <v>0</v>
      </c>
      <c r="H90" s="13">
        <v>0</v>
      </c>
      <c r="I90" s="13">
        <v>0</v>
      </c>
      <c r="J90" s="13">
        <f t="shared" si="34"/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f t="shared" si="26"/>
        <v>444119</v>
      </c>
    </row>
    <row r="91" spans="1:17" s="20" customFormat="1" ht="47.25">
      <c r="A91" s="8" t="s">
        <v>137</v>
      </c>
      <c r="B91" s="8" t="s">
        <v>138</v>
      </c>
      <c r="C91" s="8" t="s">
        <v>129</v>
      </c>
      <c r="D91" s="12" t="s">
        <v>139</v>
      </c>
      <c r="E91" s="13">
        <f t="shared" si="33"/>
        <v>83516</v>
      </c>
      <c r="F91" s="13">
        <v>83516</v>
      </c>
      <c r="G91" s="13">
        <v>0</v>
      </c>
      <c r="H91" s="13">
        <v>0</v>
      </c>
      <c r="I91" s="13">
        <v>0</v>
      </c>
      <c r="J91" s="13">
        <f t="shared" si="34"/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f t="shared" si="26"/>
        <v>83516</v>
      </c>
    </row>
    <row r="92" spans="1:17" ht="78.75">
      <c r="A92" s="8" t="s">
        <v>140</v>
      </c>
      <c r="B92" s="8" t="s">
        <v>141</v>
      </c>
      <c r="C92" s="8" t="s">
        <v>142</v>
      </c>
      <c r="D92" s="12" t="s">
        <v>143</v>
      </c>
      <c r="E92" s="13">
        <f t="shared" si="33"/>
        <v>18855774.870000001</v>
      </c>
      <c r="F92" s="13">
        <f>17480300+1200000+175474.87</f>
        <v>18855774.870000001</v>
      </c>
      <c r="G92" s="13">
        <f>13304500+2932600+1200000+175474.87</f>
        <v>17612574.870000001</v>
      </c>
      <c r="H92" s="13">
        <f>190000+6000+140000</f>
        <v>336000</v>
      </c>
      <c r="I92" s="13">
        <v>0</v>
      </c>
      <c r="J92" s="13">
        <f t="shared" si="34"/>
        <v>182000</v>
      </c>
      <c r="K92" s="13">
        <v>0</v>
      </c>
      <c r="L92" s="13">
        <v>57000</v>
      </c>
      <c r="M92" s="13">
        <v>0</v>
      </c>
      <c r="N92" s="13">
        <v>0</v>
      </c>
      <c r="O92" s="13">
        <v>125000</v>
      </c>
      <c r="P92" s="13">
        <f t="shared" si="26"/>
        <v>19037774.870000001</v>
      </c>
    </row>
    <row r="93" spans="1:17" ht="110.25">
      <c r="A93" s="8" t="s">
        <v>144</v>
      </c>
      <c r="B93" s="8" t="s">
        <v>145</v>
      </c>
      <c r="C93" s="8" t="s">
        <v>116</v>
      </c>
      <c r="D93" s="12" t="s">
        <v>341</v>
      </c>
      <c r="E93" s="13">
        <f t="shared" si="33"/>
        <v>9208500</v>
      </c>
      <c r="F93" s="13">
        <v>9208500</v>
      </c>
      <c r="G93" s="13">
        <f>6040000+1344700</f>
        <v>7384700</v>
      </c>
      <c r="H93" s="13">
        <f>123600+18800+178800</f>
        <v>321200</v>
      </c>
      <c r="I93" s="13">
        <v>0</v>
      </c>
      <c r="J93" s="13">
        <f t="shared" si="34"/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f t="shared" si="26"/>
        <v>9208500</v>
      </c>
    </row>
    <row r="94" spans="1:17" ht="31.5">
      <c r="A94" s="8" t="s">
        <v>146</v>
      </c>
      <c r="B94" s="8" t="s">
        <v>147</v>
      </c>
      <c r="C94" s="8" t="s">
        <v>116</v>
      </c>
      <c r="D94" s="12" t="s">
        <v>148</v>
      </c>
      <c r="E94" s="13">
        <f t="shared" si="33"/>
        <v>707500</v>
      </c>
      <c r="F94" s="13">
        <v>707500</v>
      </c>
      <c r="G94" s="13">
        <v>0</v>
      </c>
      <c r="H94" s="13">
        <v>0</v>
      </c>
      <c r="I94" s="13">
        <v>0</v>
      </c>
      <c r="J94" s="13">
        <f t="shared" si="34"/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26"/>
        <v>707500</v>
      </c>
    </row>
    <row r="95" spans="1:17" ht="94.5">
      <c r="A95" s="16" t="s">
        <v>292</v>
      </c>
      <c r="B95" s="8" t="s">
        <v>115</v>
      </c>
      <c r="C95" s="8" t="s">
        <v>116</v>
      </c>
      <c r="D95" s="12" t="s">
        <v>117</v>
      </c>
      <c r="E95" s="13">
        <f t="shared" si="33"/>
        <v>200000</v>
      </c>
      <c r="F95" s="13">
        <v>200000</v>
      </c>
      <c r="G95" s="13">
        <v>0</v>
      </c>
      <c r="H95" s="13">
        <v>0</v>
      </c>
      <c r="I95" s="13">
        <v>0</v>
      </c>
      <c r="J95" s="13">
        <f t="shared" si="34"/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f t="shared" si="26"/>
        <v>200000</v>
      </c>
    </row>
    <row r="96" spans="1:17" ht="110.25">
      <c r="A96" s="8" t="s">
        <v>149</v>
      </c>
      <c r="B96" s="8" t="s">
        <v>150</v>
      </c>
      <c r="C96" s="8" t="s">
        <v>79</v>
      </c>
      <c r="D96" s="12" t="s">
        <v>151</v>
      </c>
      <c r="E96" s="13">
        <f t="shared" si="33"/>
        <v>3300000</v>
      </c>
      <c r="F96" s="13">
        <v>3300000</v>
      </c>
      <c r="G96" s="13">
        <v>0</v>
      </c>
      <c r="H96" s="13">
        <v>0</v>
      </c>
      <c r="I96" s="13">
        <v>0</v>
      </c>
      <c r="J96" s="13">
        <f t="shared" si="34"/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f t="shared" si="26"/>
        <v>3300000</v>
      </c>
    </row>
    <row r="97" spans="1:17" s="20" customFormat="1" ht="78.75">
      <c r="A97" s="8" t="s">
        <v>152</v>
      </c>
      <c r="B97" s="8" t="s">
        <v>153</v>
      </c>
      <c r="C97" s="8" t="s">
        <v>79</v>
      </c>
      <c r="D97" s="12" t="s">
        <v>154</v>
      </c>
      <c r="E97" s="13">
        <f t="shared" si="33"/>
        <v>28720</v>
      </c>
      <c r="F97" s="13">
        <v>28720</v>
      </c>
      <c r="G97" s="13">
        <v>0</v>
      </c>
      <c r="H97" s="13">
        <v>0</v>
      </c>
      <c r="I97" s="13">
        <v>0</v>
      </c>
      <c r="J97" s="13">
        <f t="shared" si="34"/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f t="shared" si="26"/>
        <v>28720</v>
      </c>
    </row>
    <row r="98" spans="1:17" ht="94.5">
      <c r="A98" s="8" t="s">
        <v>155</v>
      </c>
      <c r="B98" s="8" t="s">
        <v>156</v>
      </c>
      <c r="C98" s="8" t="s">
        <v>157</v>
      </c>
      <c r="D98" s="12" t="s">
        <v>158</v>
      </c>
      <c r="E98" s="13">
        <f t="shared" si="33"/>
        <v>1000000</v>
      </c>
      <c r="F98" s="13">
        <v>1000000</v>
      </c>
      <c r="G98" s="13">
        <v>0</v>
      </c>
      <c r="H98" s="13">
        <v>0</v>
      </c>
      <c r="I98" s="13">
        <v>0</v>
      </c>
      <c r="J98" s="13">
        <f t="shared" si="34"/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f t="shared" si="26"/>
        <v>1000000</v>
      </c>
    </row>
    <row r="99" spans="1:17" ht="63">
      <c r="A99" s="8" t="s">
        <v>159</v>
      </c>
      <c r="B99" s="8" t="s">
        <v>160</v>
      </c>
      <c r="C99" s="8" t="s">
        <v>129</v>
      </c>
      <c r="D99" s="12" t="s">
        <v>161</v>
      </c>
      <c r="E99" s="13">
        <f t="shared" si="33"/>
        <v>71000</v>
      </c>
      <c r="F99" s="13">
        <v>71000</v>
      </c>
      <c r="G99" s="13">
        <v>0</v>
      </c>
      <c r="H99" s="13">
        <v>0</v>
      </c>
      <c r="I99" s="13">
        <v>0</v>
      </c>
      <c r="J99" s="13">
        <f t="shared" si="34"/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f t="shared" si="26"/>
        <v>71000</v>
      </c>
    </row>
    <row r="100" spans="1:17" ht="63">
      <c r="A100" s="8" t="s">
        <v>162</v>
      </c>
      <c r="B100" s="8" t="s">
        <v>163</v>
      </c>
      <c r="C100" s="8" t="s">
        <v>97</v>
      </c>
      <c r="D100" s="12" t="s">
        <v>164</v>
      </c>
      <c r="E100" s="13">
        <f t="shared" si="33"/>
        <v>497600</v>
      </c>
      <c r="F100" s="13">
        <v>497600</v>
      </c>
      <c r="G100" s="13">
        <v>0</v>
      </c>
      <c r="H100" s="13">
        <v>0</v>
      </c>
      <c r="I100" s="13">
        <v>0</v>
      </c>
      <c r="J100" s="13">
        <f t="shared" si="34"/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f t="shared" si="26"/>
        <v>497600</v>
      </c>
    </row>
    <row r="101" spans="1:17" ht="31.5">
      <c r="A101" s="8" t="s">
        <v>165</v>
      </c>
      <c r="B101" s="8" t="s">
        <v>51</v>
      </c>
      <c r="C101" s="8" t="s">
        <v>52</v>
      </c>
      <c r="D101" s="12" t="s">
        <v>53</v>
      </c>
      <c r="E101" s="13">
        <f t="shared" si="33"/>
        <v>58048400</v>
      </c>
      <c r="F101" s="13">
        <f>57048400-35000000+1000000+35000000</f>
        <v>58048400</v>
      </c>
      <c r="G101" s="13">
        <v>0</v>
      </c>
      <c r="H101" s="13">
        <v>0</v>
      </c>
      <c r="I101" s="13">
        <v>0</v>
      </c>
      <c r="J101" s="13">
        <f t="shared" si="34"/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f t="shared" si="26"/>
        <v>58048400</v>
      </c>
    </row>
    <row r="102" spans="1:17" ht="31.5">
      <c r="A102" s="16" t="s">
        <v>293</v>
      </c>
      <c r="B102" s="16" t="s">
        <v>285</v>
      </c>
      <c r="C102" s="16" t="s">
        <v>287</v>
      </c>
      <c r="D102" s="12" t="s">
        <v>286</v>
      </c>
      <c r="E102" s="13">
        <f t="shared" si="33"/>
        <v>278500</v>
      </c>
      <c r="F102" s="13">
        <f>SUM(F103:F105)</f>
        <v>278500</v>
      </c>
      <c r="G102" s="13"/>
      <c r="H102" s="13"/>
      <c r="I102" s="13"/>
      <c r="J102" s="13">
        <f t="shared" si="34"/>
        <v>0</v>
      </c>
      <c r="K102" s="13"/>
      <c r="L102" s="13"/>
      <c r="M102" s="13"/>
      <c r="N102" s="13"/>
      <c r="O102" s="13"/>
      <c r="P102" s="13">
        <f t="shared" ref="P102:P105" si="35">E102 + J102</f>
        <v>278500</v>
      </c>
    </row>
    <row r="103" spans="1:17" s="7" customFormat="1" ht="47.25">
      <c r="A103" s="19"/>
      <c r="B103" s="19"/>
      <c r="C103" s="19"/>
      <c r="D103" s="1" t="s">
        <v>309</v>
      </c>
      <c r="E103" s="15">
        <f t="shared" si="33"/>
        <v>96200</v>
      </c>
      <c r="F103" s="15">
        <v>96200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>
        <f t="shared" si="35"/>
        <v>96200</v>
      </c>
    </row>
    <row r="104" spans="1:17" s="7" customFormat="1" ht="63">
      <c r="A104" s="19"/>
      <c r="B104" s="19"/>
      <c r="C104" s="19"/>
      <c r="D104" s="1" t="s">
        <v>315</v>
      </c>
      <c r="E104" s="15">
        <f t="shared" si="33"/>
        <v>126900</v>
      </c>
      <c r="F104" s="15">
        <v>126900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>
        <f t="shared" si="35"/>
        <v>126900</v>
      </c>
    </row>
    <row r="105" spans="1:17" s="7" customFormat="1" ht="78.75">
      <c r="A105" s="19"/>
      <c r="B105" s="19"/>
      <c r="C105" s="19"/>
      <c r="D105" s="1" t="s">
        <v>314</v>
      </c>
      <c r="E105" s="15">
        <f t="shared" si="33"/>
        <v>55400</v>
      </c>
      <c r="F105" s="15">
        <v>55400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>
        <f t="shared" si="35"/>
        <v>55400</v>
      </c>
    </row>
    <row r="106" spans="1:17" ht="47.25">
      <c r="A106" s="9" t="s">
        <v>166</v>
      </c>
      <c r="B106" s="9" t="s">
        <v>19</v>
      </c>
      <c r="C106" s="9" t="s">
        <v>19</v>
      </c>
      <c r="D106" s="10" t="s">
        <v>167</v>
      </c>
      <c r="E106" s="11">
        <f t="shared" ref="E106:E113" si="36">F106+I106</f>
        <v>3720800</v>
      </c>
      <c r="F106" s="11">
        <f>F107</f>
        <v>3720800</v>
      </c>
      <c r="G106" s="11">
        <f t="shared" ref="G106:I106" si="37">G107</f>
        <v>3224300</v>
      </c>
      <c r="H106" s="11">
        <f t="shared" si="37"/>
        <v>0</v>
      </c>
      <c r="I106" s="11">
        <f t="shared" si="37"/>
        <v>0</v>
      </c>
      <c r="J106" s="11">
        <f t="shared" si="34"/>
        <v>0</v>
      </c>
      <c r="K106" s="11">
        <f>K107</f>
        <v>0</v>
      </c>
      <c r="L106" s="11">
        <f t="shared" ref="L106:O106" si="38">L107</f>
        <v>0</v>
      </c>
      <c r="M106" s="11">
        <f t="shared" si="38"/>
        <v>0</v>
      </c>
      <c r="N106" s="11">
        <f t="shared" si="38"/>
        <v>0</v>
      </c>
      <c r="O106" s="11">
        <f t="shared" si="38"/>
        <v>0</v>
      </c>
      <c r="P106" s="11">
        <f t="shared" si="26"/>
        <v>3720800</v>
      </c>
      <c r="Q106" s="5"/>
    </row>
    <row r="107" spans="1:17" ht="47.25">
      <c r="A107" s="9" t="s">
        <v>168</v>
      </c>
      <c r="B107" s="9" t="s">
        <v>19</v>
      </c>
      <c r="C107" s="9" t="s">
        <v>19</v>
      </c>
      <c r="D107" s="10" t="s">
        <v>167</v>
      </c>
      <c r="E107" s="11">
        <f t="shared" si="36"/>
        <v>3720800</v>
      </c>
      <c r="F107" s="11">
        <f>SUM(F108:F110)</f>
        <v>3720800</v>
      </c>
      <c r="G107" s="11">
        <f t="shared" ref="G107:K107" si="39">SUM(G108:G110)</f>
        <v>3224300</v>
      </c>
      <c r="H107" s="11">
        <f t="shared" si="39"/>
        <v>0</v>
      </c>
      <c r="I107" s="11">
        <f t="shared" si="39"/>
        <v>0</v>
      </c>
      <c r="J107" s="11">
        <f t="shared" si="34"/>
        <v>0</v>
      </c>
      <c r="K107" s="11">
        <f t="shared" si="39"/>
        <v>0</v>
      </c>
      <c r="L107" s="11">
        <f t="shared" ref="L107" si="40">SUM(L108:L110)</f>
        <v>0</v>
      </c>
      <c r="M107" s="11">
        <f t="shared" ref="M107" si="41">SUM(M108:M110)</f>
        <v>0</v>
      </c>
      <c r="N107" s="11">
        <f t="shared" ref="N107" si="42">SUM(N108:N110)</f>
        <v>0</v>
      </c>
      <c r="O107" s="11">
        <f t="shared" ref="O107" si="43">SUM(O108:O110)</f>
        <v>0</v>
      </c>
      <c r="P107" s="11">
        <f t="shared" si="26"/>
        <v>3720800</v>
      </c>
    </row>
    <row r="108" spans="1:17" ht="47.25">
      <c r="A108" s="8" t="s">
        <v>169</v>
      </c>
      <c r="B108" s="8" t="s">
        <v>76</v>
      </c>
      <c r="C108" s="8" t="s">
        <v>24</v>
      </c>
      <c r="D108" s="12" t="s">
        <v>77</v>
      </c>
      <c r="E108" s="13">
        <f t="shared" si="36"/>
        <v>3342500</v>
      </c>
      <c r="F108" s="13">
        <v>3342500</v>
      </c>
      <c r="G108" s="13">
        <f>2642900+581400</f>
        <v>3224300</v>
      </c>
      <c r="H108" s="13">
        <v>0</v>
      </c>
      <c r="I108" s="13">
        <v>0</v>
      </c>
      <c r="J108" s="13">
        <f t="shared" si="34"/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f t="shared" si="26"/>
        <v>3342500</v>
      </c>
    </row>
    <row r="109" spans="1:17" ht="31.5">
      <c r="A109" s="8" t="s">
        <v>170</v>
      </c>
      <c r="B109" s="8" t="s">
        <v>171</v>
      </c>
      <c r="C109" s="8" t="s">
        <v>116</v>
      </c>
      <c r="D109" s="12" t="s">
        <v>172</v>
      </c>
      <c r="E109" s="13">
        <f t="shared" si="36"/>
        <v>278000</v>
      </c>
      <c r="F109" s="13">
        <v>278000</v>
      </c>
      <c r="G109" s="13">
        <v>0</v>
      </c>
      <c r="H109" s="13">
        <v>0</v>
      </c>
      <c r="I109" s="13">
        <v>0</v>
      </c>
      <c r="J109" s="13">
        <f t="shared" si="34"/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f t="shared" si="26"/>
        <v>278000</v>
      </c>
    </row>
    <row r="110" spans="1:17" ht="31.5">
      <c r="A110" s="16" t="s">
        <v>294</v>
      </c>
      <c r="B110" s="16" t="s">
        <v>285</v>
      </c>
      <c r="C110" s="16" t="s">
        <v>287</v>
      </c>
      <c r="D110" s="12" t="s">
        <v>286</v>
      </c>
      <c r="E110" s="13">
        <f t="shared" si="36"/>
        <v>100300</v>
      </c>
      <c r="F110" s="13">
        <v>100300</v>
      </c>
      <c r="G110" s="13"/>
      <c r="H110" s="13"/>
      <c r="I110" s="13"/>
      <c r="J110" s="13">
        <f t="shared" ref="J110" si="44">L110+O110</f>
        <v>0</v>
      </c>
      <c r="K110" s="13"/>
      <c r="L110" s="13"/>
      <c r="M110" s="13"/>
      <c r="N110" s="13"/>
      <c r="O110" s="13"/>
      <c r="P110" s="13">
        <f t="shared" si="26"/>
        <v>100300</v>
      </c>
    </row>
    <row r="111" spans="1:17" ht="47.25">
      <c r="A111" s="9" t="s">
        <v>173</v>
      </c>
      <c r="B111" s="9" t="s">
        <v>19</v>
      </c>
      <c r="C111" s="9" t="s">
        <v>19</v>
      </c>
      <c r="D111" s="10" t="s">
        <v>174</v>
      </c>
      <c r="E111" s="11">
        <f t="shared" si="36"/>
        <v>56061500</v>
      </c>
      <c r="F111" s="11">
        <f>F112</f>
        <v>56061500</v>
      </c>
      <c r="G111" s="11">
        <f t="shared" ref="G111:I111" si="45">G112</f>
        <v>48890200</v>
      </c>
      <c r="H111" s="11">
        <f t="shared" si="45"/>
        <v>3759100</v>
      </c>
      <c r="I111" s="11">
        <f t="shared" si="45"/>
        <v>0</v>
      </c>
      <c r="J111" s="11">
        <f t="shared" si="34"/>
        <v>1366000</v>
      </c>
      <c r="K111" s="11">
        <f>K112</f>
        <v>0</v>
      </c>
      <c r="L111" s="11">
        <f t="shared" ref="L111:O111" si="46">L112</f>
        <v>1136000</v>
      </c>
      <c r="M111" s="11">
        <f t="shared" si="46"/>
        <v>507100</v>
      </c>
      <c r="N111" s="11">
        <f t="shared" si="46"/>
        <v>0</v>
      </c>
      <c r="O111" s="11">
        <f t="shared" si="46"/>
        <v>230000</v>
      </c>
      <c r="P111" s="11">
        <f t="shared" si="26"/>
        <v>57427500</v>
      </c>
      <c r="Q111" s="5"/>
    </row>
    <row r="112" spans="1:17" ht="47.25">
      <c r="A112" s="9" t="s">
        <v>175</v>
      </c>
      <c r="B112" s="9" t="s">
        <v>19</v>
      </c>
      <c r="C112" s="9" t="s">
        <v>19</v>
      </c>
      <c r="D112" s="10" t="s">
        <v>174</v>
      </c>
      <c r="E112" s="11">
        <f t="shared" si="36"/>
        <v>56061500</v>
      </c>
      <c r="F112" s="11">
        <f>SUM(F113:F121)</f>
        <v>56061500</v>
      </c>
      <c r="G112" s="11">
        <f t="shared" ref="G112:K112" si="47">SUM(G113:G121)</f>
        <v>48890200</v>
      </c>
      <c r="H112" s="11">
        <f t="shared" si="47"/>
        <v>3759100</v>
      </c>
      <c r="I112" s="11">
        <f t="shared" si="47"/>
        <v>0</v>
      </c>
      <c r="J112" s="11">
        <f t="shared" si="34"/>
        <v>1366000</v>
      </c>
      <c r="K112" s="11">
        <f t="shared" si="47"/>
        <v>0</v>
      </c>
      <c r="L112" s="11">
        <f t="shared" ref="L112" si="48">SUM(L113:L121)</f>
        <v>1136000</v>
      </c>
      <c r="M112" s="11">
        <f t="shared" ref="M112" si="49">SUM(M113:M121)</f>
        <v>507100</v>
      </c>
      <c r="N112" s="11">
        <f t="shared" ref="N112" si="50">SUM(N113:N121)</f>
        <v>0</v>
      </c>
      <c r="O112" s="11">
        <f t="shared" ref="O112" si="51">SUM(O113:O121)</f>
        <v>230000</v>
      </c>
      <c r="P112" s="11">
        <f t="shared" si="26"/>
        <v>57427500</v>
      </c>
    </row>
    <row r="113" spans="1:17" ht="47.25">
      <c r="A113" s="8" t="s">
        <v>176</v>
      </c>
      <c r="B113" s="8" t="s">
        <v>76</v>
      </c>
      <c r="C113" s="8" t="s">
        <v>24</v>
      </c>
      <c r="D113" s="12" t="s">
        <v>77</v>
      </c>
      <c r="E113" s="13">
        <f t="shared" si="36"/>
        <v>1352500</v>
      </c>
      <c r="F113" s="13">
        <v>1352500</v>
      </c>
      <c r="G113" s="13">
        <f>1085700+238900</f>
        <v>1324600</v>
      </c>
      <c r="H113" s="13">
        <v>0</v>
      </c>
      <c r="I113" s="13">
        <v>0</v>
      </c>
      <c r="J113" s="13">
        <f t="shared" si="34"/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f t="shared" si="26"/>
        <v>1352500</v>
      </c>
    </row>
    <row r="114" spans="1:17" ht="31.5">
      <c r="A114" s="8" t="s">
        <v>177</v>
      </c>
      <c r="B114" s="8" t="s">
        <v>178</v>
      </c>
      <c r="C114" s="8" t="s">
        <v>98</v>
      </c>
      <c r="D114" s="12" t="s">
        <v>179</v>
      </c>
      <c r="E114" s="13">
        <f t="shared" ref="E114:E121" si="52">F114+I114</f>
        <v>25258300</v>
      </c>
      <c r="F114" s="13">
        <v>25258300</v>
      </c>
      <c r="G114" s="13">
        <f>19980300+4395600</f>
        <v>24375900</v>
      </c>
      <c r="H114" s="13">
        <f>24500+399000+292900+34000</f>
        <v>750400</v>
      </c>
      <c r="I114" s="13">
        <v>0</v>
      </c>
      <c r="J114" s="13">
        <f t="shared" si="34"/>
        <v>1086000</v>
      </c>
      <c r="K114" s="13">
        <v>0</v>
      </c>
      <c r="L114" s="13">
        <v>886000</v>
      </c>
      <c r="M114" s="13">
        <f>405800+89300</f>
        <v>495100</v>
      </c>
      <c r="N114" s="13">
        <v>0</v>
      </c>
      <c r="O114" s="13">
        <v>200000</v>
      </c>
      <c r="P114" s="13">
        <f t="shared" si="26"/>
        <v>26344300</v>
      </c>
    </row>
    <row r="115" spans="1:17" ht="94.5">
      <c r="A115" s="8" t="s">
        <v>180</v>
      </c>
      <c r="B115" s="8" t="s">
        <v>115</v>
      </c>
      <c r="C115" s="8" t="s">
        <v>116</v>
      </c>
      <c r="D115" s="12" t="s">
        <v>117</v>
      </c>
      <c r="E115" s="13">
        <f t="shared" si="52"/>
        <v>150000</v>
      </c>
      <c r="F115" s="13">
        <v>150000</v>
      </c>
      <c r="G115" s="13">
        <v>0</v>
      </c>
      <c r="H115" s="13">
        <v>0</v>
      </c>
      <c r="I115" s="13">
        <v>0</v>
      </c>
      <c r="J115" s="13">
        <f t="shared" si="34"/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f t="shared" si="26"/>
        <v>150000</v>
      </c>
    </row>
    <row r="116" spans="1:17">
      <c r="A116" s="8" t="s">
        <v>181</v>
      </c>
      <c r="B116" s="8" t="s">
        <v>182</v>
      </c>
      <c r="C116" s="8" t="s">
        <v>183</v>
      </c>
      <c r="D116" s="12" t="s">
        <v>184</v>
      </c>
      <c r="E116" s="13">
        <f t="shared" si="52"/>
        <v>9205700</v>
      </c>
      <c r="F116" s="13">
        <v>9205700</v>
      </c>
      <c r="G116" s="13">
        <f>6059000+1332900</f>
        <v>7391900</v>
      </c>
      <c r="H116" s="13">
        <f>741700+20200+410400+36800+4700</f>
        <v>1213800</v>
      </c>
      <c r="I116" s="13">
        <v>0</v>
      </c>
      <c r="J116" s="13">
        <f t="shared" si="34"/>
        <v>80000</v>
      </c>
      <c r="K116" s="13">
        <v>0</v>
      </c>
      <c r="L116" s="13">
        <f>80000</f>
        <v>80000</v>
      </c>
      <c r="M116" s="13">
        <v>0</v>
      </c>
      <c r="N116" s="13">
        <v>0</v>
      </c>
      <c r="O116" s="13">
        <v>0</v>
      </c>
      <c r="P116" s="13">
        <f t="shared" si="26"/>
        <v>9285700</v>
      </c>
    </row>
    <row r="117" spans="1:17" ht="31.5">
      <c r="A117" s="8" t="s">
        <v>185</v>
      </c>
      <c r="B117" s="8" t="s">
        <v>186</v>
      </c>
      <c r="C117" s="8" t="s">
        <v>183</v>
      </c>
      <c r="D117" s="12" t="s">
        <v>187</v>
      </c>
      <c r="E117" s="13">
        <f t="shared" si="52"/>
        <v>3595900</v>
      </c>
      <c r="F117" s="13">
        <f>3595900</f>
        <v>3595900</v>
      </c>
      <c r="G117" s="13">
        <f>2170200+477400</f>
        <v>2647600</v>
      </c>
      <c r="H117" s="13">
        <f>370700+10100+125400+3100</f>
        <v>509300</v>
      </c>
      <c r="I117" s="13">
        <v>0</v>
      </c>
      <c r="J117" s="13">
        <f t="shared" si="34"/>
        <v>40000</v>
      </c>
      <c r="K117" s="13">
        <v>0</v>
      </c>
      <c r="L117" s="13">
        <v>40000</v>
      </c>
      <c r="M117" s="13">
        <v>0</v>
      </c>
      <c r="N117" s="13">
        <v>0</v>
      </c>
      <c r="O117" s="13">
        <v>0</v>
      </c>
      <c r="P117" s="13">
        <f t="shared" si="26"/>
        <v>3635900</v>
      </c>
    </row>
    <row r="118" spans="1:17" ht="47.25">
      <c r="A118" s="8" t="s">
        <v>188</v>
      </c>
      <c r="B118" s="8" t="s">
        <v>189</v>
      </c>
      <c r="C118" s="8" t="s">
        <v>190</v>
      </c>
      <c r="D118" s="12" t="s">
        <v>191</v>
      </c>
      <c r="E118" s="13">
        <f t="shared" si="52"/>
        <v>13136300</v>
      </c>
      <c r="F118" s="13">
        <f>13136300</f>
        <v>13136300</v>
      </c>
      <c r="G118" s="13">
        <f>8756500+1926400</f>
        <v>10682900</v>
      </c>
      <c r="H118" s="13">
        <f>44400+535800+392900+241000</f>
        <v>1214100</v>
      </c>
      <c r="I118" s="13">
        <v>0</v>
      </c>
      <c r="J118" s="13">
        <f t="shared" si="34"/>
        <v>160000</v>
      </c>
      <c r="K118" s="13">
        <v>0</v>
      </c>
      <c r="L118" s="13">
        <v>130000</v>
      </c>
      <c r="M118" s="13">
        <f>10000+2000</f>
        <v>12000</v>
      </c>
      <c r="N118" s="13">
        <v>0</v>
      </c>
      <c r="O118" s="13">
        <v>30000</v>
      </c>
      <c r="P118" s="13">
        <f t="shared" si="26"/>
        <v>13296300</v>
      </c>
    </row>
    <row r="119" spans="1:17" ht="31.5">
      <c r="A119" s="8" t="s">
        <v>192</v>
      </c>
      <c r="B119" s="8" t="s">
        <v>193</v>
      </c>
      <c r="C119" s="8" t="s">
        <v>194</v>
      </c>
      <c r="D119" s="12" t="s">
        <v>195</v>
      </c>
      <c r="E119" s="13">
        <f t="shared" si="52"/>
        <v>2595800</v>
      </c>
      <c r="F119" s="13">
        <v>2595800</v>
      </c>
      <c r="G119" s="13">
        <f>2022400+444900</f>
        <v>2467300</v>
      </c>
      <c r="H119" s="13">
        <f>24400+1500+45600</f>
        <v>71500</v>
      </c>
      <c r="I119" s="13">
        <v>0</v>
      </c>
      <c r="J119" s="13">
        <f t="shared" si="34"/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f t="shared" ref="P119:P165" si="53">E119 + J119</f>
        <v>2595800</v>
      </c>
    </row>
    <row r="120" spans="1:17" ht="31.5">
      <c r="A120" s="8" t="s">
        <v>196</v>
      </c>
      <c r="B120" s="8" t="s">
        <v>197</v>
      </c>
      <c r="C120" s="8" t="s">
        <v>194</v>
      </c>
      <c r="D120" s="12" t="s">
        <v>198</v>
      </c>
      <c r="E120" s="13">
        <f t="shared" si="52"/>
        <v>600000</v>
      </c>
      <c r="F120" s="13">
        <v>600000</v>
      </c>
      <c r="G120" s="13">
        <v>0</v>
      </c>
      <c r="H120" s="13">
        <v>0</v>
      </c>
      <c r="I120" s="13">
        <v>0</v>
      </c>
      <c r="J120" s="13">
        <f t="shared" si="34"/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f t="shared" si="53"/>
        <v>600000</v>
      </c>
    </row>
    <row r="121" spans="1:17" ht="31.5">
      <c r="A121" s="16" t="s">
        <v>295</v>
      </c>
      <c r="B121" s="16" t="s">
        <v>285</v>
      </c>
      <c r="C121" s="16" t="s">
        <v>287</v>
      </c>
      <c r="D121" s="12" t="s">
        <v>286</v>
      </c>
      <c r="E121" s="13">
        <f t="shared" si="52"/>
        <v>167000</v>
      </c>
      <c r="F121" s="13">
        <v>167000</v>
      </c>
      <c r="G121" s="13"/>
      <c r="H121" s="13"/>
      <c r="I121" s="13"/>
      <c r="J121" s="13">
        <f t="shared" si="34"/>
        <v>0</v>
      </c>
      <c r="K121" s="13"/>
      <c r="L121" s="13"/>
      <c r="M121" s="13"/>
      <c r="N121" s="13"/>
      <c r="O121" s="13"/>
      <c r="P121" s="13">
        <f t="shared" si="53"/>
        <v>167000</v>
      </c>
    </row>
    <row r="122" spans="1:17" ht="47.25">
      <c r="A122" s="9" t="s">
        <v>199</v>
      </c>
      <c r="B122" s="9" t="s">
        <v>19</v>
      </c>
      <c r="C122" s="9" t="s">
        <v>19</v>
      </c>
      <c r="D122" s="10" t="s">
        <v>200</v>
      </c>
      <c r="E122" s="11">
        <f t="shared" ref="E122:E132" si="54">F122+I122</f>
        <v>10374900</v>
      </c>
      <c r="F122" s="11">
        <f>F123</f>
        <v>10374900</v>
      </c>
      <c r="G122" s="11">
        <f t="shared" ref="G122:I122" si="55">G123</f>
        <v>3241400</v>
      </c>
      <c r="H122" s="11">
        <f t="shared" si="55"/>
        <v>70800</v>
      </c>
      <c r="I122" s="11">
        <f t="shared" si="55"/>
        <v>0</v>
      </c>
      <c r="J122" s="11">
        <f t="shared" si="34"/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f t="shared" si="53"/>
        <v>10374900</v>
      </c>
      <c r="Q122" s="5"/>
    </row>
    <row r="123" spans="1:17" ht="47.25">
      <c r="A123" s="9" t="s">
        <v>201</v>
      </c>
      <c r="B123" s="9" t="s">
        <v>19</v>
      </c>
      <c r="C123" s="9" t="s">
        <v>19</v>
      </c>
      <c r="D123" s="10" t="s">
        <v>200</v>
      </c>
      <c r="E123" s="11">
        <f t="shared" si="54"/>
        <v>10374900</v>
      </c>
      <c r="F123" s="11">
        <f>SUM(F124:F129)</f>
        <v>10374900</v>
      </c>
      <c r="G123" s="11">
        <f t="shared" ref="G123:K123" si="56">SUM(G124:G129)</f>
        <v>3241400</v>
      </c>
      <c r="H123" s="11">
        <f t="shared" si="56"/>
        <v>70800</v>
      </c>
      <c r="I123" s="11">
        <f t="shared" si="56"/>
        <v>0</v>
      </c>
      <c r="J123" s="11">
        <f t="shared" si="34"/>
        <v>0</v>
      </c>
      <c r="K123" s="11">
        <f t="shared" si="56"/>
        <v>0</v>
      </c>
      <c r="L123" s="11">
        <f t="shared" ref="L123" si="57">SUM(L124:L129)</f>
        <v>0</v>
      </c>
      <c r="M123" s="11">
        <f t="shared" ref="M123" si="58">SUM(M124:M129)</f>
        <v>0</v>
      </c>
      <c r="N123" s="11">
        <f t="shared" ref="N123" si="59">SUM(N124:N129)</f>
        <v>0</v>
      </c>
      <c r="O123" s="11">
        <f t="shared" ref="O123" si="60">SUM(O124:O129)</f>
        <v>0</v>
      </c>
      <c r="P123" s="11">
        <f t="shared" si="53"/>
        <v>10374900</v>
      </c>
    </row>
    <row r="124" spans="1:17" ht="47.25">
      <c r="A124" s="8" t="s">
        <v>202</v>
      </c>
      <c r="B124" s="8" t="s">
        <v>76</v>
      </c>
      <c r="C124" s="8" t="s">
        <v>24</v>
      </c>
      <c r="D124" s="12" t="s">
        <v>77</v>
      </c>
      <c r="E124" s="13">
        <f t="shared" si="54"/>
        <v>2778600</v>
      </c>
      <c r="F124" s="13">
        <v>2778600</v>
      </c>
      <c r="G124" s="13">
        <f>2183700+480400</f>
        <v>2664100</v>
      </c>
      <c r="H124" s="13">
        <v>0</v>
      </c>
      <c r="I124" s="13">
        <v>0</v>
      </c>
      <c r="J124" s="13">
        <f t="shared" si="34"/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3">
        <f t="shared" si="53"/>
        <v>2778600</v>
      </c>
    </row>
    <row r="125" spans="1:17" ht="63">
      <c r="A125" s="8" t="s">
        <v>203</v>
      </c>
      <c r="B125" s="8" t="s">
        <v>204</v>
      </c>
      <c r="C125" s="8" t="s">
        <v>116</v>
      </c>
      <c r="D125" s="12" t="s">
        <v>342</v>
      </c>
      <c r="E125" s="13">
        <f t="shared" si="54"/>
        <v>1956300</v>
      </c>
      <c r="F125" s="13">
        <f>1956300</f>
        <v>1956300</v>
      </c>
      <c r="G125" s="13">
        <f>473200+104100</f>
        <v>577300</v>
      </c>
      <c r="H125" s="13">
        <f>54600+1600+14600</f>
        <v>70800</v>
      </c>
      <c r="I125" s="13">
        <v>0</v>
      </c>
      <c r="J125" s="13">
        <f t="shared" si="34"/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3">
        <f t="shared" si="53"/>
        <v>1956300</v>
      </c>
    </row>
    <row r="126" spans="1:17" ht="47.25">
      <c r="A126" s="8" t="s">
        <v>205</v>
      </c>
      <c r="B126" s="8" t="s">
        <v>206</v>
      </c>
      <c r="C126" s="8" t="s">
        <v>121</v>
      </c>
      <c r="D126" s="12" t="s">
        <v>207</v>
      </c>
      <c r="E126" s="13">
        <f t="shared" si="54"/>
        <v>1400000</v>
      </c>
      <c r="F126" s="13">
        <v>1400000</v>
      </c>
      <c r="G126" s="13">
        <v>0</v>
      </c>
      <c r="H126" s="13">
        <v>0</v>
      </c>
      <c r="I126" s="13">
        <v>0</v>
      </c>
      <c r="J126" s="13">
        <f t="shared" si="34"/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f t="shared" si="53"/>
        <v>1400000</v>
      </c>
    </row>
    <row r="127" spans="1:17" ht="47.25">
      <c r="A127" s="8" t="s">
        <v>208</v>
      </c>
      <c r="B127" s="8" t="s">
        <v>209</v>
      </c>
      <c r="C127" s="8" t="s">
        <v>121</v>
      </c>
      <c r="D127" s="12" t="s">
        <v>210</v>
      </c>
      <c r="E127" s="13">
        <f t="shared" si="54"/>
        <v>990000</v>
      </c>
      <c r="F127" s="13">
        <v>990000</v>
      </c>
      <c r="G127" s="13">
        <v>0</v>
      </c>
      <c r="H127" s="13">
        <v>0</v>
      </c>
      <c r="I127" s="13">
        <v>0</v>
      </c>
      <c r="J127" s="13">
        <f t="shared" si="34"/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f t="shared" si="53"/>
        <v>990000</v>
      </c>
    </row>
    <row r="128" spans="1:17" ht="78.75">
      <c r="A128" s="8" t="s">
        <v>211</v>
      </c>
      <c r="B128" s="8" t="s">
        <v>212</v>
      </c>
      <c r="C128" s="8" t="s">
        <v>121</v>
      </c>
      <c r="D128" s="12" t="s">
        <v>213</v>
      </c>
      <c r="E128" s="13">
        <f t="shared" si="54"/>
        <v>3185000</v>
      </c>
      <c r="F128" s="13">
        <v>3185000</v>
      </c>
      <c r="G128" s="13">
        <v>0</v>
      </c>
      <c r="H128" s="13">
        <v>0</v>
      </c>
      <c r="I128" s="13">
        <v>0</v>
      </c>
      <c r="J128" s="13">
        <f t="shared" si="34"/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f t="shared" si="53"/>
        <v>3185000</v>
      </c>
    </row>
    <row r="129" spans="1:17" ht="31.5">
      <c r="A129" s="16" t="s">
        <v>296</v>
      </c>
      <c r="B129" s="16" t="s">
        <v>285</v>
      </c>
      <c r="C129" s="16" t="s">
        <v>287</v>
      </c>
      <c r="D129" s="12" t="s">
        <v>286</v>
      </c>
      <c r="E129" s="13">
        <f t="shared" si="54"/>
        <v>65000</v>
      </c>
      <c r="F129" s="13">
        <v>65000</v>
      </c>
      <c r="G129" s="13"/>
      <c r="H129" s="13"/>
      <c r="I129" s="13"/>
      <c r="J129" s="13">
        <f t="shared" ref="J129" si="61">L129+O129</f>
        <v>0</v>
      </c>
      <c r="K129" s="13"/>
      <c r="L129" s="13"/>
      <c r="M129" s="13"/>
      <c r="N129" s="13"/>
      <c r="O129" s="13"/>
      <c r="P129" s="13">
        <f t="shared" ref="P129" si="62">E129 + J129</f>
        <v>65000</v>
      </c>
    </row>
    <row r="130" spans="1:17" ht="63">
      <c r="A130" s="9" t="s">
        <v>214</v>
      </c>
      <c r="B130" s="9" t="s">
        <v>19</v>
      </c>
      <c r="C130" s="9" t="s">
        <v>19</v>
      </c>
      <c r="D130" s="10" t="s">
        <v>215</v>
      </c>
      <c r="E130" s="11">
        <f t="shared" si="54"/>
        <v>169479169</v>
      </c>
      <c r="F130" s="11">
        <f>F131</f>
        <v>63142700</v>
      </c>
      <c r="G130" s="11">
        <f t="shared" ref="G130:I130" si="63">G131</f>
        <v>5315400</v>
      </c>
      <c r="H130" s="11">
        <f t="shared" si="63"/>
        <v>15700</v>
      </c>
      <c r="I130" s="11">
        <f t="shared" si="63"/>
        <v>106336469</v>
      </c>
      <c r="J130" s="11">
        <f t="shared" si="34"/>
        <v>13869099.18</v>
      </c>
      <c r="K130" s="11">
        <f>K131</f>
        <v>13484725</v>
      </c>
      <c r="L130" s="11">
        <f t="shared" ref="L130:O130" si="64">L131</f>
        <v>0</v>
      </c>
      <c r="M130" s="11">
        <f t="shared" si="64"/>
        <v>0</v>
      </c>
      <c r="N130" s="11">
        <f t="shared" si="64"/>
        <v>0</v>
      </c>
      <c r="O130" s="11">
        <f t="shared" si="64"/>
        <v>13869099.18</v>
      </c>
      <c r="P130" s="11">
        <f t="shared" si="53"/>
        <v>183348268.18000001</v>
      </c>
      <c r="Q130" s="5"/>
    </row>
    <row r="131" spans="1:17" ht="63">
      <c r="A131" s="9" t="s">
        <v>216</v>
      </c>
      <c r="B131" s="9" t="s">
        <v>19</v>
      </c>
      <c r="C131" s="9" t="s">
        <v>19</v>
      </c>
      <c r="D131" s="10" t="s">
        <v>215</v>
      </c>
      <c r="E131" s="11">
        <f t="shared" si="54"/>
        <v>169479169</v>
      </c>
      <c r="F131" s="11">
        <f>SUM(F132:F147)</f>
        <v>63142700</v>
      </c>
      <c r="G131" s="11">
        <f t="shared" ref="G131:I131" si="65">SUM(G132:G147)</f>
        <v>5315400</v>
      </c>
      <c r="H131" s="11">
        <f t="shared" si="65"/>
        <v>15700</v>
      </c>
      <c r="I131" s="11">
        <f t="shared" si="65"/>
        <v>106336469</v>
      </c>
      <c r="J131" s="11">
        <f t="shared" si="34"/>
        <v>13869099.18</v>
      </c>
      <c r="K131" s="11">
        <f t="shared" ref="K131" si="66">SUM(K132:K147)</f>
        <v>13484725</v>
      </c>
      <c r="L131" s="11">
        <f t="shared" ref="L131" si="67">SUM(L132:L147)</f>
        <v>0</v>
      </c>
      <c r="M131" s="11">
        <f t="shared" ref="M131" si="68">SUM(M132:M147)</f>
        <v>0</v>
      </c>
      <c r="N131" s="11">
        <f t="shared" ref="N131" si="69">SUM(N132:N147)</f>
        <v>0</v>
      </c>
      <c r="O131" s="11">
        <f t="shared" ref="O131" si="70">SUM(O132:O147)</f>
        <v>13869099.18</v>
      </c>
      <c r="P131" s="11">
        <f>E131 + J131</f>
        <v>183348268.18000001</v>
      </c>
    </row>
    <row r="132" spans="1:17" ht="47.25">
      <c r="A132" s="8" t="s">
        <v>217</v>
      </c>
      <c r="B132" s="8" t="s">
        <v>76</v>
      </c>
      <c r="C132" s="8" t="s">
        <v>24</v>
      </c>
      <c r="D132" s="12" t="s">
        <v>77</v>
      </c>
      <c r="E132" s="13">
        <f t="shared" si="54"/>
        <v>5665100</v>
      </c>
      <c r="F132" s="13">
        <v>5665100</v>
      </c>
      <c r="G132" s="13">
        <f>4356900+958500</f>
        <v>5315400</v>
      </c>
      <c r="H132" s="13">
        <f>7200+900+7600</f>
        <v>15700</v>
      </c>
      <c r="I132" s="13">
        <v>0</v>
      </c>
      <c r="J132" s="13">
        <f t="shared" si="34"/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f t="shared" si="53"/>
        <v>5665100</v>
      </c>
    </row>
    <row r="133" spans="1:17" ht="47.25">
      <c r="A133" s="8" t="s">
        <v>218</v>
      </c>
      <c r="B133" s="8" t="s">
        <v>27</v>
      </c>
      <c r="C133" s="8" t="s">
        <v>28</v>
      </c>
      <c r="D133" s="12" t="s">
        <v>29</v>
      </c>
      <c r="E133" s="13">
        <f t="shared" ref="E133:E147" si="71">F133+I133</f>
        <v>10000</v>
      </c>
      <c r="F133" s="13">
        <v>10000</v>
      </c>
      <c r="G133" s="13">
        <v>0</v>
      </c>
      <c r="H133" s="13">
        <v>0</v>
      </c>
      <c r="I133" s="13">
        <v>0</v>
      </c>
      <c r="J133" s="13">
        <f t="shared" si="34"/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f t="shared" si="53"/>
        <v>10000</v>
      </c>
    </row>
    <row r="134" spans="1:17" ht="31.5">
      <c r="A134" s="8" t="s">
        <v>219</v>
      </c>
      <c r="B134" s="8" t="s">
        <v>220</v>
      </c>
      <c r="C134" s="8" t="s">
        <v>221</v>
      </c>
      <c r="D134" s="12" t="s">
        <v>222</v>
      </c>
      <c r="E134" s="13">
        <f t="shared" si="71"/>
        <v>50000</v>
      </c>
      <c r="F134" s="13">
        <v>50000</v>
      </c>
      <c r="G134" s="13">
        <v>0</v>
      </c>
      <c r="H134" s="13">
        <v>0</v>
      </c>
      <c r="I134" s="13">
        <v>0</v>
      </c>
      <c r="J134" s="13">
        <f t="shared" si="34"/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f t="shared" si="53"/>
        <v>50000</v>
      </c>
    </row>
    <row r="135" spans="1:17" ht="31.5">
      <c r="A135" s="8">
        <v>1216011</v>
      </c>
      <c r="B135" s="8">
        <v>6011</v>
      </c>
      <c r="C135" s="16" t="s">
        <v>370</v>
      </c>
      <c r="D135" s="12" t="s">
        <v>369</v>
      </c>
      <c r="E135" s="13">
        <f t="shared" si="71"/>
        <v>319069</v>
      </c>
      <c r="F135" s="13"/>
      <c r="G135" s="13"/>
      <c r="H135" s="13"/>
      <c r="I135" s="13">
        <v>319069</v>
      </c>
      <c r="J135" s="13">
        <f t="shared" si="34"/>
        <v>1660017</v>
      </c>
      <c r="K135" s="13">
        <v>1660017</v>
      </c>
      <c r="L135" s="13"/>
      <c r="M135" s="13"/>
      <c r="N135" s="13"/>
      <c r="O135" s="13">
        <v>1660017</v>
      </c>
      <c r="P135" s="13">
        <f t="shared" si="53"/>
        <v>1979086</v>
      </c>
    </row>
    <row r="136" spans="1:17" ht="31.5">
      <c r="A136" s="8" t="s">
        <v>223</v>
      </c>
      <c r="B136" s="8" t="s">
        <v>224</v>
      </c>
      <c r="C136" s="8" t="s">
        <v>56</v>
      </c>
      <c r="D136" s="12" t="s">
        <v>225</v>
      </c>
      <c r="E136" s="13">
        <f t="shared" si="71"/>
        <v>300000</v>
      </c>
      <c r="F136" s="13">
        <v>0</v>
      </c>
      <c r="G136" s="13">
        <v>0</v>
      </c>
      <c r="H136" s="13">
        <v>0</v>
      </c>
      <c r="I136" s="13">
        <v>300000</v>
      </c>
      <c r="J136" s="13">
        <f t="shared" si="34"/>
        <v>7215287</v>
      </c>
      <c r="K136" s="13">
        <v>7215287</v>
      </c>
      <c r="L136" s="13">
        <v>0</v>
      </c>
      <c r="M136" s="13">
        <v>0</v>
      </c>
      <c r="N136" s="13">
        <v>0</v>
      </c>
      <c r="O136" s="13">
        <v>7215287</v>
      </c>
      <c r="P136" s="13">
        <f t="shared" si="53"/>
        <v>7515287</v>
      </c>
    </row>
    <row r="137" spans="1:17" ht="47.25">
      <c r="A137" s="8" t="s">
        <v>226</v>
      </c>
      <c r="B137" s="8" t="s">
        <v>227</v>
      </c>
      <c r="C137" s="8" t="s">
        <v>56</v>
      </c>
      <c r="D137" s="12" t="s">
        <v>228</v>
      </c>
      <c r="E137" s="13">
        <f t="shared" si="71"/>
        <v>1720000</v>
      </c>
      <c r="F137" s="13">
        <v>0</v>
      </c>
      <c r="G137" s="13">
        <v>0</v>
      </c>
      <c r="H137" s="13">
        <v>0</v>
      </c>
      <c r="I137" s="13">
        <v>1720000</v>
      </c>
      <c r="J137" s="13">
        <f t="shared" si="34"/>
        <v>1095000</v>
      </c>
      <c r="K137" s="13">
        <v>1095000</v>
      </c>
      <c r="L137" s="13">
        <v>0</v>
      </c>
      <c r="M137" s="13">
        <v>0</v>
      </c>
      <c r="N137" s="13">
        <v>0</v>
      </c>
      <c r="O137" s="13">
        <v>1095000</v>
      </c>
      <c r="P137" s="13">
        <f t="shared" si="53"/>
        <v>2815000</v>
      </c>
    </row>
    <row r="138" spans="1:17" ht="31.5">
      <c r="A138" s="8" t="s">
        <v>229</v>
      </c>
      <c r="B138" s="8" t="s">
        <v>55</v>
      </c>
      <c r="C138" s="8" t="s">
        <v>56</v>
      </c>
      <c r="D138" s="12" t="s">
        <v>57</v>
      </c>
      <c r="E138" s="13">
        <f t="shared" si="71"/>
        <v>84761000</v>
      </c>
      <c r="F138" s="13">
        <f>12500000+11000000+15000+195000+601000</f>
        <v>24311000</v>
      </c>
      <c r="G138" s="13">
        <v>0</v>
      </c>
      <c r="H138" s="13">
        <v>0</v>
      </c>
      <c r="I138" s="13">
        <f>60450000</f>
        <v>60450000</v>
      </c>
      <c r="J138" s="13">
        <f t="shared" si="34"/>
        <v>839500</v>
      </c>
      <c r="K138" s="13">
        <v>839500</v>
      </c>
      <c r="L138" s="13">
        <v>0</v>
      </c>
      <c r="M138" s="13">
        <v>0</v>
      </c>
      <c r="N138" s="13">
        <v>0</v>
      </c>
      <c r="O138" s="13">
        <v>839500</v>
      </c>
      <c r="P138" s="13">
        <f t="shared" si="53"/>
        <v>85600500</v>
      </c>
    </row>
    <row r="139" spans="1:17" ht="94.5">
      <c r="A139" s="8">
        <v>1216093</v>
      </c>
      <c r="B139" s="8">
        <v>6093</v>
      </c>
      <c r="C139" s="16" t="s">
        <v>312</v>
      </c>
      <c r="D139" s="12" t="s">
        <v>371</v>
      </c>
      <c r="E139" s="13">
        <f t="shared" si="71"/>
        <v>47400</v>
      </c>
      <c r="F139" s="13"/>
      <c r="G139" s="13"/>
      <c r="H139" s="13"/>
      <c r="I139" s="13">
        <v>47400</v>
      </c>
      <c r="J139" s="13">
        <f t="shared" si="34"/>
        <v>0</v>
      </c>
      <c r="K139" s="13"/>
      <c r="L139" s="13"/>
      <c r="M139" s="13"/>
      <c r="N139" s="13"/>
      <c r="O139" s="13"/>
      <c r="P139" s="13">
        <f t="shared" si="53"/>
        <v>47400</v>
      </c>
    </row>
    <row r="140" spans="1:17">
      <c r="A140" s="8">
        <v>1217130</v>
      </c>
      <c r="B140" s="8">
        <v>7130</v>
      </c>
      <c r="C140" s="16" t="s">
        <v>253</v>
      </c>
      <c r="D140" s="12" t="s">
        <v>254</v>
      </c>
      <c r="E140" s="13">
        <f t="shared" si="71"/>
        <v>180000</v>
      </c>
      <c r="F140" s="13"/>
      <c r="G140" s="13"/>
      <c r="H140" s="13"/>
      <c r="I140" s="13">
        <v>180000</v>
      </c>
      <c r="J140" s="13">
        <f t="shared" si="34"/>
        <v>0</v>
      </c>
      <c r="K140" s="13"/>
      <c r="L140" s="13"/>
      <c r="M140" s="13"/>
      <c r="N140" s="13"/>
      <c r="O140" s="13"/>
      <c r="P140" s="13">
        <f t="shared" si="53"/>
        <v>180000</v>
      </c>
    </row>
    <row r="141" spans="1:17" ht="47.25">
      <c r="A141" s="8" t="s">
        <v>230</v>
      </c>
      <c r="B141" s="8" t="s">
        <v>231</v>
      </c>
      <c r="C141" s="8" t="s">
        <v>232</v>
      </c>
      <c r="D141" s="12" t="s">
        <v>233</v>
      </c>
      <c r="E141" s="13">
        <f t="shared" si="71"/>
        <v>30000000</v>
      </c>
      <c r="F141" s="13">
        <v>30000000</v>
      </c>
      <c r="G141" s="13">
        <v>0</v>
      </c>
      <c r="H141" s="13">
        <v>0</v>
      </c>
      <c r="I141" s="13">
        <v>0</v>
      </c>
      <c r="J141" s="13">
        <f t="shared" si="34"/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f t="shared" si="53"/>
        <v>30000000</v>
      </c>
    </row>
    <row r="142" spans="1:17" ht="31.5">
      <c r="A142" s="16" t="s">
        <v>297</v>
      </c>
      <c r="B142" s="16" t="s">
        <v>285</v>
      </c>
      <c r="C142" s="16" t="s">
        <v>287</v>
      </c>
      <c r="D142" s="12" t="s">
        <v>286</v>
      </c>
      <c r="E142" s="13">
        <f t="shared" si="71"/>
        <v>488300</v>
      </c>
      <c r="F142" s="13">
        <v>488300</v>
      </c>
      <c r="G142" s="13"/>
      <c r="H142" s="13"/>
      <c r="I142" s="13"/>
      <c r="J142" s="13">
        <f t="shared" si="34"/>
        <v>36000</v>
      </c>
      <c r="K142" s="13">
        <v>36000</v>
      </c>
      <c r="L142" s="13"/>
      <c r="M142" s="13"/>
      <c r="N142" s="13"/>
      <c r="O142" s="13">
        <v>36000</v>
      </c>
      <c r="P142" s="13">
        <f t="shared" si="53"/>
        <v>524300</v>
      </c>
    </row>
    <row r="143" spans="1:17" ht="31.5">
      <c r="A143" s="16" t="s">
        <v>372</v>
      </c>
      <c r="B143" s="16" t="s">
        <v>373</v>
      </c>
      <c r="C143" s="16" t="s">
        <v>60</v>
      </c>
      <c r="D143" s="12" t="s">
        <v>374</v>
      </c>
      <c r="E143" s="13">
        <f t="shared" si="71"/>
        <v>0</v>
      </c>
      <c r="F143" s="13"/>
      <c r="G143" s="13"/>
      <c r="H143" s="13"/>
      <c r="I143" s="13"/>
      <c r="J143" s="13">
        <f t="shared" si="34"/>
        <v>2060000</v>
      </c>
      <c r="K143" s="13">
        <v>2060000</v>
      </c>
      <c r="L143" s="13"/>
      <c r="M143" s="13"/>
      <c r="N143" s="13"/>
      <c r="O143" s="13">
        <v>2060000</v>
      </c>
      <c r="P143" s="13">
        <f t="shared" si="53"/>
        <v>2060000</v>
      </c>
    </row>
    <row r="144" spans="1:17" ht="141.75">
      <c r="A144" s="16" t="s">
        <v>391</v>
      </c>
      <c r="B144" s="16" t="s">
        <v>375</v>
      </c>
      <c r="C144" s="16" t="s">
        <v>60</v>
      </c>
      <c r="D144" s="12" t="s">
        <v>376</v>
      </c>
      <c r="E144" s="13">
        <f t="shared" si="71"/>
        <v>0</v>
      </c>
      <c r="F144" s="13"/>
      <c r="G144" s="13"/>
      <c r="H144" s="13"/>
      <c r="I144" s="13"/>
      <c r="J144" s="13">
        <f t="shared" si="34"/>
        <v>384374.18</v>
      </c>
      <c r="K144" s="13"/>
      <c r="L144" s="13"/>
      <c r="M144" s="13"/>
      <c r="N144" s="13"/>
      <c r="O144" s="13">
        <v>384374.18</v>
      </c>
      <c r="P144" s="13">
        <f t="shared" si="53"/>
        <v>384374.18</v>
      </c>
    </row>
    <row r="145" spans="1:17" ht="31.5">
      <c r="A145" s="8" t="s">
        <v>234</v>
      </c>
      <c r="B145" s="8" t="s">
        <v>235</v>
      </c>
      <c r="C145" s="8" t="s">
        <v>60</v>
      </c>
      <c r="D145" s="12" t="s">
        <v>236</v>
      </c>
      <c r="E145" s="13">
        <f t="shared" si="71"/>
        <v>43320000</v>
      </c>
      <c r="F145" s="13">
        <v>0</v>
      </c>
      <c r="G145" s="13">
        <v>0</v>
      </c>
      <c r="H145" s="13">
        <v>0</v>
      </c>
      <c r="I145" s="13">
        <v>43320000</v>
      </c>
      <c r="J145" s="13">
        <f t="shared" si="34"/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f t="shared" si="53"/>
        <v>43320000</v>
      </c>
    </row>
    <row r="146" spans="1:17" ht="47.25">
      <c r="A146" s="8" t="s">
        <v>237</v>
      </c>
      <c r="B146" s="8" t="s">
        <v>238</v>
      </c>
      <c r="C146" s="8" t="s">
        <v>239</v>
      </c>
      <c r="D146" s="12" t="s">
        <v>240</v>
      </c>
      <c r="E146" s="13">
        <f t="shared" si="71"/>
        <v>2618300</v>
      </c>
      <c r="F146" s="13">
        <f>2527200+91100</f>
        <v>2618300</v>
      </c>
      <c r="G146" s="13">
        <v>0</v>
      </c>
      <c r="H146" s="13">
        <v>0</v>
      </c>
      <c r="I146" s="13">
        <v>0</v>
      </c>
      <c r="J146" s="13">
        <f t="shared" si="34"/>
        <v>378921</v>
      </c>
      <c r="K146" s="13">
        <v>378921</v>
      </c>
      <c r="L146" s="13">
        <v>0</v>
      </c>
      <c r="M146" s="13">
        <v>0</v>
      </c>
      <c r="N146" s="13">
        <v>0</v>
      </c>
      <c r="O146" s="13">
        <v>378921</v>
      </c>
      <c r="P146" s="13">
        <f t="shared" si="53"/>
        <v>2997221</v>
      </c>
    </row>
    <row r="147" spans="1:17" ht="31.5">
      <c r="A147" s="16" t="s">
        <v>392</v>
      </c>
      <c r="B147" s="8">
        <v>8240</v>
      </c>
      <c r="C147" s="16" t="s">
        <v>64</v>
      </c>
      <c r="D147" s="12" t="s">
        <v>261</v>
      </c>
      <c r="E147" s="13">
        <f t="shared" si="71"/>
        <v>0</v>
      </c>
      <c r="F147" s="13"/>
      <c r="G147" s="13"/>
      <c r="H147" s="13"/>
      <c r="I147" s="13"/>
      <c r="J147" s="13">
        <f t="shared" si="34"/>
        <v>200000</v>
      </c>
      <c r="K147" s="13">
        <v>200000</v>
      </c>
      <c r="L147" s="13"/>
      <c r="M147" s="13"/>
      <c r="N147" s="13"/>
      <c r="O147" s="13">
        <v>200000</v>
      </c>
      <c r="P147" s="13">
        <f t="shared" si="53"/>
        <v>200000</v>
      </c>
    </row>
    <row r="148" spans="1:17" ht="63">
      <c r="A148" s="9" t="s">
        <v>241</v>
      </c>
      <c r="B148" s="9" t="s">
        <v>19</v>
      </c>
      <c r="C148" s="9" t="s">
        <v>19</v>
      </c>
      <c r="D148" s="10" t="s">
        <v>242</v>
      </c>
      <c r="E148" s="11">
        <f t="shared" ref="E148:E160" si="72">F148+I148</f>
        <v>6373600</v>
      </c>
      <c r="F148" s="11">
        <f>F149</f>
        <v>6373600</v>
      </c>
      <c r="G148" s="11">
        <f t="shared" ref="G148:I148" si="73">G149</f>
        <v>6211800</v>
      </c>
      <c r="H148" s="11">
        <f t="shared" si="73"/>
        <v>0</v>
      </c>
      <c r="I148" s="11">
        <f t="shared" si="73"/>
        <v>0</v>
      </c>
      <c r="J148" s="11">
        <f t="shared" si="34"/>
        <v>160322647.63</v>
      </c>
      <c r="K148" s="11">
        <f>K149</f>
        <v>160322647.63</v>
      </c>
      <c r="L148" s="11">
        <f t="shared" ref="L148:O148" si="74">L149</f>
        <v>0</v>
      </c>
      <c r="M148" s="11">
        <f t="shared" si="74"/>
        <v>0</v>
      </c>
      <c r="N148" s="11">
        <f t="shared" si="74"/>
        <v>0</v>
      </c>
      <c r="O148" s="11">
        <f t="shared" si="74"/>
        <v>160322647.63</v>
      </c>
      <c r="P148" s="11">
        <f t="shared" si="53"/>
        <v>166696247.63</v>
      </c>
      <c r="Q148" s="5"/>
    </row>
    <row r="149" spans="1:17" ht="63">
      <c r="A149" s="9" t="s">
        <v>243</v>
      </c>
      <c r="B149" s="9" t="s">
        <v>19</v>
      </c>
      <c r="C149" s="9" t="s">
        <v>19</v>
      </c>
      <c r="D149" s="10" t="s">
        <v>242</v>
      </c>
      <c r="E149" s="11">
        <f t="shared" si="72"/>
        <v>6373600</v>
      </c>
      <c r="F149" s="11">
        <f>SUM(F150:F157)</f>
        <v>6373600</v>
      </c>
      <c r="G149" s="11">
        <f t="shared" ref="G149:K149" si="75">SUM(G150:G157)</f>
        <v>6211800</v>
      </c>
      <c r="H149" s="11">
        <f t="shared" si="75"/>
        <v>0</v>
      </c>
      <c r="I149" s="11">
        <f t="shared" si="75"/>
        <v>0</v>
      </c>
      <c r="J149" s="11">
        <f t="shared" si="34"/>
        <v>160322647.63</v>
      </c>
      <c r="K149" s="11">
        <f t="shared" si="75"/>
        <v>160322647.63</v>
      </c>
      <c r="L149" s="11">
        <f t="shared" ref="L149" si="76">SUM(L150:L157)</f>
        <v>0</v>
      </c>
      <c r="M149" s="11">
        <f t="shared" ref="M149" si="77">SUM(M150:M157)</f>
        <v>0</v>
      </c>
      <c r="N149" s="11">
        <f t="shared" ref="N149" si="78">SUM(N150:N157)</f>
        <v>0</v>
      </c>
      <c r="O149" s="11">
        <f t="shared" ref="O149" si="79">SUM(O150:O157)</f>
        <v>160322647.63</v>
      </c>
      <c r="P149" s="11">
        <f t="shared" si="53"/>
        <v>166696247.63</v>
      </c>
    </row>
    <row r="150" spans="1:17" ht="47.25">
      <c r="A150" s="8" t="s">
        <v>244</v>
      </c>
      <c r="B150" s="8" t="s">
        <v>76</v>
      </c>
      <c r="C150" s="8" t="s">
        <v>24</v>
      </c>
      <c r="D150" s="12" t="s">
        <v>77</v>
      </c>
      <c r="E150" s="13">
        <f t="shared" si="72"/>
        <v>6327300</v>
      </c>
      <c r="F150" s="13">
        <v>6327300</v>
      </c>
      <c r="G150" s="13">
        <f>5091700+1120100</f>
        <v>6211800</v>
      </c>
      <c r="H150" s="13">
        <v>0</v>
      </c>
      <c r="I150" s="13">
        <v>0</v>
      </c>
      <c r="J150" s="13">
        <f t="shared" si="34"/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f t="shared" si="53"/>
        <v>6327300</v>
      </c>
    </row>
    <row r="151" spans="1:17" ht="31.5">
      <c r="A151" s="8">
        <v>1511300</v>
      </c>
      <c r="B151" s="16" t="s">
        <v>377</v>
      </c>
      <c r="C151" s="16" t="s">
        <v>106</v>
      </c>
      <c r="D151" s="12" t="s">
        <v>383</v>
      </c>
      <c r="E151" s="13">
        <f t="shared" si="72"/>
        <v>0</v>
      </c>
      <c r="F151" s="13"/>
      <c r="G151" s="13"/>
      <c r="H151" s="13"/>
      <c r="I151" s="13"/>
      <c r="J151" s="13">
        <f t="shared" si="34"/>
        <v>87018800</v>
      </c>
      <c r="K151" s="13">
        <f>83518800+3500000</f>
        <v>87018800</v>
      </c>
      <c r="L151" s="13"/>
      <c r="M151" s="13"/>
      <c r="N151" s="13"/>
      <c r="O151" s="13">
        <f>83518800+3500000</f>
        <v>87018800</v>
      </c>
      <c r="P151" s="13">
        <f t="shared" si="53"/>
        <v>87018800</v>
      </c>
    </row>
    <row r="152" spans="1:17" ht="78.75">
      <c r="A152" s="8">
        <v>1512171</v>
      </c>
      <c r="B152" s="16" t="s">
        <v>378</v>
      </c>
      <c r="C152" s="16" t="s">
        <v>48</v>
      </c>
      <c r="D152" s="12" t="s">
        <v>384</v>
      </c>
      <c r="E152" s="13">
        <f t="shared" si="72"/>
        <v>0</v>
      </c>
      <c r="F152" s="13"/>
      <c r="G152" s="13"/>
      <c r="H152" s="13"/>
      <c r="I152" s="13"/>
      <c r="J152" s="13">
        <f t="shared" si="34"/>
        <v>550000</v>
      </c>
      <c r="K152" s="13">
        <v>550000</v>
      </c>
      <c r="L152" s="13"/>
      <c r="M152" s="13"/>
      <c r="N152" s="13"/>
      <c r="O152" s="13">
        <v>550000</v>
      </c>
      <c r="P152" s="13">
        <f t="shared" si="53"/>
        <v>550000</v>
      </c>
    </row>
    <row r="153" spans="1:17" ht="31.5">
      <c r="A153" s="8">
        <v>1516091</v>
      </c>
      <c r="B153" s="16" t="s">
        <v>379</v>
      </c>
      <c r="C153" s="16" t="s">
        <v>312</v>
      </c>
      <c r="D153" s="12" t="s">
        <v>385</v>
      </c>
      <c r="E153" s="13">
        <f t="shared" si="72"/>
        <v>0</v>
      </c>
      <c r="F153" s="13"/>
      <c r="G153" s="13"/>
      <c r="H153" s="13"/>
      <c r="I153" s="13"/>
      <c r="J153" s="13">
        <f t="shared" si="34"/>
        <v>30226232.009999998</v>
      </c>
      <c r="K153" s="13">
        <f>14033601.01+10981383+4148102+926970+136176</f>
        <v>30226232.009999998</v>
      </c>
      <c r="L153" s="13"/>
      <c r="M153" s="13"/>
      <c r="N153" s="13"/>
      <c r="O153" s="13">
        <f>14033601.01+10981383+4148102+926970+136176</f>
        <v>30226232.009999998</v>
      </c>
      <c r="P153" s="13">
        <f t="shared" si="53"/>
        <v>30226232.009999998</v>
      </c>
    </row>
    <row r="154" spans="1:17" ht="31.5">
      <c r="A154" s="8">
        <v>1517368</v>
      </c>
      <c r="B154" s="16" t="s">
        <v>380</v>
      </c>
      <c r="C154" s="16" t="s">
        <v>60</v>
      </c>
      <c r="D154" s="12" t="s">
        <v>386</v>
      </c>
      <c r="E154" s="13">
        <f t="shared" si="72"/>
        <v>0</v>
      </c>
      <c r="F154" s="13"/>
      <c r="G154" s="13"/>
      <c r="H154" s="13"/>
      <c r="I154" s="13"/>
      <c r="J154" s="13">
        <f t="shared" si="34"/>
        <v>15815727.619999999</v>
      </c>
      <c r="K154" s="13">
        <v>15815727.619999999</v>
      </c>
      <c r="L154" s="13"/>
      <c r="M154" s="13"/>
      <c r="N154" s="13"/>
      <c r="O154" s="13">
        <v>15815727.619999999</v>
      </c>
      <c r="P154" s="13">
        <f t="shared" si="53"/>
        <v>15815727.619999999</v>
      </c>
    </row>
    <row r="155" spans="1:17" ht="47.25">
      <c r="A155" s="8">
        <v>1517370</v>
      </c>
      <c r="B155" s="16" t="s">
        <v>381</v>
      </c>
      <c r="C155" s="16" t="s">
        <v>60</v>
      </c>
      <c r="D155" s="12" t="s">
        <v>387</v>
      </c>
      <c r="E155" s="13">
        <f t="shared" si="72"/>
        <v>0</v>
      </c>
      <c r="F155" s="13"/>
      <c r="G155" s="13"/>
      <c r="H155" s="13"/>
      <c r="I155" s="13"/>
      <c r="J155" s="13">
        <f t="shared" si="34"/>
        <v>19920588</v>
      </c>
      <c r="K155" s="13">
        <v>19920588</v>
      </c>
      <c r="L155" s="13"/>
      <c r="M155" s="13"/>
      <c r="N155" s="13"/>
      <c r="O155" s="13">
        <v>19920588</v>
      </c>
      <c r="P155" s="13">
        <f t="shared" si="53"/>
        <v>19920588</v>
      </c>
    </row>
    <row r="156" spans="1:17" ht="31.5">
      <c r="A156" s="16" t="s">
        <v>298</v>
      </c>
      <c r="B156" s="16" t="s">
        <v>285</v>
      </c>
      <c r="C156" s="16" t="s">
        <v>287</v>
      </c>
      <c r="D156" s="12" t="s">
        <v>286</v>
      </c>
      <c r="E156" s="13">
        <f t="shared" si="72"/>
        <v>46300</v>
      </c>
      <c r="F156" s="13">
        <v>46300</v>
      </c>
      <c r="G156" s="13"/>
      <c r="H156" s="13"/>
      <c r="I156" s="13"/>
      <c r="J156" s="13">
        <f t="shared" si="34"/>
        <v>0</v>
      </c>
      <c r="K156" s="13"/>
      <c r="L156" s="13"/>
      <c r="M156" s="13"/>
      <c r="N156" s="13"/>
      <c r="O156" s="13"/>
      <c r="P156" s="13">
        <f t="shared" si="53"/>
        <v>46300</v>
      </c>
    </row>
    <row r="157" spans="1:17" ht="47.25">
      <c r="A157" s="16" t="s">
        <v>382</v>
      </c>
      <c r="B157" s="16" t="s">
        <v>238</v>
      </c>
      <c r="C157" s="16" t="s">
        <v>239</v>
      </c>
      <c r="D157" s="12" t="s">
        <v>240</v>
      </c>
      <c r="E157" s="13">
        <f t="shared" si="72"/>
        <v>0</v>
      </c>
      <c r="F157" s="13"/>
      <c r="G157" s="13"/>
      <c r="H157" s="13"/>
      <c r="I157" s="13"/>
      <c r="J157" s="13">
        <f t="shared" si="34"/>
        <v>6791300</v>
      </c>
      <c r="K157" s="13">
        <f>5000000+1791300</f>
        <v>6791300</v>
      </c>
      <c r="L157" s="13"/>
      <c r="M157" s="13"/>
      <c r="N157" s="13"/>
      <c r="O157" s="13">
        <f>5000000+1791300</f>
        <v>6791300</v>
      </c>
      <c r="P157" s="13">
        <f t="shared" si="53"/>
        <v>6791300</v>
      </c>
    </row>
    <row r="158" spans="1:17" ht="63">
      <c r="A158" s="9" t="s">
        <v>245</v>
      </c>
      <c r="B158" s="9" t="s">
        <v>19</v>
      </c>
      <c r="C158" s="9" t="s">
        <v>19</v>
      </c>
      <c r="D158" s="10" t="s">
        <v>246</v>
      </c>
      <c r="E158" s="11">
        <f t="shared" si="72"/>
        <v>28751300</v>
      </c>
      <c r="F158" s="11">
        <f>F159</f>
        <v>8730300</v>
      </c>
      <c r="G158" s="11">
        <f t="shared" ref="G158:I158" si="80">G159</f>
        <v>5521700</v>
      </c>
      <c r="H158" s="11">
        <f t="shared" si="80"/>
        <v>0</v>
      </c>
      <c r="I158" s="11">
        <f t="shared" si="80"/>
        <v>20021000</v>
      </c>
      <c r="J158" s="11">
        <f t="shared" si="34"/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v>0</v>
      </c>
      <c r="P158" s="11">
        <f t="shared" si="53"/>
        <v>28751300</v>
      </c>
      <c r="Q158" s="5"/>
    </row>
    <row r="159" spans="1:17" ht="63">
      <c r="A159" s="9" t="s">
        <v>247</v>
      </c>
      <c r="B159" s="9" t="s">
        <v>19</v>
      </c>
      <c r="C159" s="9" t="s">
        <v>19</v>
      </c>
      <c r="D159" s="10" t="s">
        <v>246</v>
      </c>
      <c r="E159" s="11">
        <f t="shared" si="72"/>
        <v>28751300</v>
      </c>
      <c r="F159" s="11">
        <f>SUM(F160:F167)</f>
        <v>8730300</v>
      </c>
      <c r="G159" s="11">
        <f t="shared" ref="G159:K159" si="81">SUM(G160:G167)</f>
        <v>5521700</v>
      </c>
      <c r="H159" s="11">
        <f t="shared" si="81"/>
        <v>0</v>
      </c>
      <c r="I159" s="11">
        <f t="shared" si="81"/>
        <v>20021000</v>
      </c>
      <c r="J159" s="11">
        <f t="shared" si="34"/>
        <v>0</v>
      </c>
      <c r="K159" s="11">
        <f t="shared" si="81"/>
        <v>0</v>
      </c>
      <c r="L159" s="11">
        <f t="shared" ref="L159" si="82">SUM(L160:L167)</f>
        <v>0</v>
      </c>
      <c r="M159" s="11">
        <f t="shared" ref="M159" si="83">SUM(M160:M167)</f>
        <v>0</v>
      </c>
      <c r="N159" s="11">
        <f t="shared" ref="N159" si="84">SUM(N160:N167)</f>
        <v>0</v>
      </c>
      <c r="O159" s="11">
        <f t="shared" ref="O159" si="85">SUM(O160:O167)</f>
        <v>0</v>
      </c>
      <c r="P159" s="11">
        <f t="shared" si="53"/>
        <v>28751300</v>
      </c>
    </row>
    <row r="160" spans="1:17" ht="47.25">
      <c r="A160" s="8" t="s">
        <v>248</v>
      </c>
      <c r="B160" s="8" t="s">
        <v>76</v>
      </c>
      <c r="C160" s="8" t="s">
        <v>24</v>
      </c>
      <c r="D160" s="12" t="s">
        <v>77</v>
      </c>
      <c r="E160" s="13">
        <f t="shared" si="72"/>
        <v>5601700</v>
      </c>
      <c r="F160" s="13">
        <v>5601700</v>
      </c>
      <c r="G160" s="13">
        <f>4526000+995700</f>
        <v>5521700</v>
      </c>
      <c r="H160" s="13">
        <v>0</v>
      </c>
      <c r="I160" s="13">
        <v>0</v>
      </c>
      <c r="J160" s="13">
        <f t="shared" si="34"/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f t="shared" si="53"/>
        <v>5601700</v>
      </c>
    </row>
    <row r="161" spans="1:17" ht="31.5">
      <c r="A161" s="8" t="s">
        <v>249</v>
      </c>
      <c r="B161" s="8" t="s">
        <v>31</v>
      </c>
      <c r="C161" s="8" t="s">
        <v>32</v>
      </c>
      <c r="D161" s="12" t="s">
        <v>33</v>
      </c>
      <c r="E161" s="13">
        <f t="shared" ref="E161:E167" si="86">F161+I161</f>
        <v>115000</v>
      </c>
      <c r="F161" s="13">
        <f>65000+50000</f>
        <v>115000</v>
      </c>
      <c r="G161" s="13">
        <v>0</v>
      </c>
      <c r="H161" s="13">
        <v>0</v>
      </c>
      <c r="I161" s="13">
        <v>0</v>
      </c>
      <c r="J161" s="13">
        <f t="shared" si="34"/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f t="shared" si="53"/>
        <v>115000</v>
      </c>
    </row>
    <row r="162" spans="1:17" ht="47.25">
      <c r="A162" s="8" t="s">
        <v>250</v>
      </c>
      <c r="B162" s="8" t="s">
        <v>227</v>
      </c>
      <c r="C162" s="8" t="s">
        <v>56</v>
      </c>
      <c r="D162" s="12" t="s">
        <v>228</v>
      </c>
      <c r="E162" s="13">
        <f t="shared" si="86"/>
        <v>200000</v>
      </c>
      <c r="F162" s="13">
        <v>200000</v>
      </c>
      <c r="G162" s="13">
        <v>0</v>
      </c>
      <c r="H162" s="13">
        <v>0</v>
      </c>
      <c r="I162" s="13">
        <v>0</v>
      </c>
      <c r="J162" s="13">
        <f t="shared" si="34"/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f t="shared" si="53"/>
        <v>200000</v>
      </c>
    </row>
    <row r="163" spans="1:17" s="20" customFormat="1" ht="31.5">
      <c r="A163" s="16" t="s">
        <v>313</v>
      </c>
      <c r="B163" s="8">
        <v>6090</v>
      </c>
      <c r="C163" s="16" t="s">
        <v>312</v>
      </c>
      <c r="D163" s="12" t="s">
        <v>311</v>
      </c>
      <c r="E163" s="13">
        <f t="shared" ref="E163" si="87">F163+I163</f>
        <v>1500000</v>
      </c>
      <c r="F163" s="13">
        <v>1500000</v>
      </c>
      <c r="G163" s="13">
        <v>0</v>
      </c>
      <c r="H163" s="13">
        <v>0</v>
      </c>
      <c r="I163" s="13">
        <v>0</v>
      </c>
      <c r="J163" s="13">
        <f t="shared" ref="J163" si="88">L163+O163</f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f t="shared" si="53"/>
        <v>1500000</v>
      </c>
    </row>
    <row r="164" spans="1:17">
      <c r="A164" s="8" t="s">
        <v>251</v>
      </c>
      <c r="B164" s="8" t="s">
        <v>252</v>
      </c>
      <c r="C164" s="8" t="s">
        <v>253</v>
      </c>
      <c r="D164" s="12" t="s">
        <v>254</v>
      </c>
      <c r="E164" s="13">
        <f t="shared" si="86"/>
        <v>1160000</v>
      </c>
      <c r="F164" s="13">
        <v>1160000</v>
      </c>
      <c r="G164" s="13">
        <v>0</v>
      </c>
      <c r="H164" s="13">
        <v>0</v>
      </c>
      <c r="I164" s="13">
        <v>0</v>
      </c>
      <c r="J164" s="13">
        <f t="shared" si="34"/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f t="shared" si="53"/>
        <v>1160000</v>
      </c>
    </row>
    <row r="165" spans="1:17" ht="31.5">
      <c r="A165" s="16" t="s">
        <v>299</v>
      </c>
      <c r="B165" s="16" t="s">
        <v>285</v>
      </c>
      <c r="C165" s="16" t="s">
        <v>287</v>
      </c>
      <c r="D165" s="12" t="s">
        <v>286</v>
      </c>
      <c r="E165" s="13">
        <f t="shared" si="86"/>
        <v>8600</v>
      </c>
      <c r="F165" s="13">
        <v>8600</v>
      </c>
      <c r="G165" s="13"/>
      <c r="H165" s="13"/>
      <c r="I165" s="13"/>
      <c r="J165" s="13">
        <f t="shared" si="34"/>
        <v>0</v>
      </c>
      <c r="K165" s="13"/>
      <c r="L165" s="13"/>
      <c r="M165" s="13"/>
      <c r="N165" s="13"/>
      <c r="O165" s="13"/>
      <c r="P165" s="13">
        <f t="shared" si="53"/>
        <v>8600</v>
      </c>
    </row>
    <row r="166" spans="1:17" ht="31.5">
      <c r="A166" s="8" t="s">
        <v>258</v>
      </c>
      <c r="B166" s="8" t="s">
        <v>235</v>
      </c>
      <c r="C166" s="8" t="s">
        <v>60</v>
      </c>
      <c r="D166" s="12" t="s">
        <v>236</v>
      </c>
      <c r="E166" s="13">
        <f t="shared" si="86"/>
        <v>20021000</v>
      </c>
      <c r="F166" s="13">
        <v>0</v>
      </c>
      <c r="G166" s="13">
        <v>0</v>
      </c>
      <c r="H166" s="13">
        <v>0</v>
      </c>
      <c r="I166" s="13">
        <v>20021000</v>
      </c>
      <c r="J166" s="13">
        <f t="shared" si="34"/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f t="shared" ref="P166:P181" si="89">E166 + J166</f>
        <v>20021000</v>
      </c>
    </row>
    <row r="167" spans="1:17" ht="31.5">
      <c r="A167" s="8" t="s">
        <v>259</v>
      </c>
      <c r="B167" s="8" t="s">
        <v>260</v>
      </c>
      <c r="C167" s="8" t="s">
        <v>64</v>
      </c>
      <c r="D167" s="12" t="s">
        <v>261</v>
      </c>
      <c r="E167" s="13">
        <f t="shared" si="86"/>
        <v>145000</v>
      </c>
      <c r="F167" s="13">
        <v>145000</v>
      </c>
      <c r="G167" s="13">
        <v>0</v>
      </c>
      <c r="H167" s="13">
        <v>0</v>
      </c>
      <c r="I167" s="13">
        <v>0</v>
      </c>
      <c r="J167" s="13">
        <f t="shared" si="34"/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f t="shared" si="89"/>
        <v>145000</v>
      </c>
    </row>
    <row r="168" spans="1:17" ht="47.25">
      <c r="A168" s="9" t="s">
        <v>262</v>
      </c>
      <c r="B168" s="9" t="s">
        <v>19</v>
      </c>
      <c r="C168" s="9" t="s">
        <v>19</v>
      </c>
      <c r="D168" s="10" t="s">
        <v>263</v>
      </c>
      <c r="E168" s="11">
        <f>E169</f>
        <v>90195000</v>
      </c>
      <c r="F168" s="11">
        <f>F169</f>
        <v>80195000</v>
      </c>
      <c r="G168" s="11">
        <f t="shared" ref="G168:I168" si="90">G169</f>
        <v>7756900</v>
      </c>
      <c r="H168" s="11">
        <f t="shared" si="90"/>
        <v>0</v>
      </c>
      <c r="I168" s="11">
        <f t="shared" si="90"/>
        <v>0</v>
      </c>
      <c r="J168" s="11">
        <f t="shared" si="34"/>
        <v>3310000</v>
      </c>
      <c r="K168" s="11">
        <f>K169</f>
        <v>3310000</v>
      </c>
      <c r="L168" s="11">
        <f t="shared" ref="L168:O168" si="91">L169</f>
        <v>0</v>
      </c>
      <c r="M168" s="11">
        <f t="shared" si="91"/>
        <v>0</v>
      </c>
      <c r="N168" s="11">
        <f t="shared" si="91"/>
        <v>0</v>
      </c>
      <c r="O168" s="11">
        <f t="shared" si="91"/>
        <v>3310000</v>
      </c>
      <c r="P168" s="11">
        <f t="shared" si="89"/>
        <v>93505000</v>
      </c>
      <c r="Q168" s="5"/>
    </row>
    <row r="169" spans="1:17" ht="47.25">
      <c r="A169" s="9" t="s">
        <v>264</v>
      </c>
      <c r="B169" s="9" t="s">
        <v>19</v>
      </c>
      <c r="C169" s="9" t="s">
        <v>19</v>
      </c>
      <c r="D169" s="10" t="s">
        <v>263</v>
      </c>
      <c r="E169" s="11">
        <f>F169+I169+E172</f>
        <v>90195000</v>
      </c>
      <c r="F169" s="11">
        <f>F170+F171+F172+F173+F174+F178</f>
        <v>80195000</v>
      </c>
      <c r="G169" s="11">
        <f t="shared" ref="G169:K169" si="92">G170+G171+G172+G173+G174+G178</f>
        <v>7756900</v>
      </c>
      <c r="H169" s="11">
        <f t="shared" si="92"/>
        <v>0</v>
      </c>
      <c r="I169" s="11">
        <f t="shared" si="92"/>
        <v>0</v>
      </c>
      <c r="J169" s="11">
        <f t="shared" ref="J169:J177" si="93">L169+O169</f>
        <v>3310000</v>
      </c>
      <c r="K169" s="11">
        <f t="shared" si="92"/>
        <v>3310000</v>
      </c>
      <c r="L169" s="11">
        <f t="shared" ref="L169" si="94">L170+L171+L172+L173+L174+L178</f>
        <v>0</v>
      </c>
      <c r="M169" s="11">
        <f t="shared" ref="M169" si="95">M170+M171+M172+M173+M174+M178</f>
        <v>0</v>
      </c>
      <c r="N169" s="11">
        <f t="shared" ref="N169" si="96">N170+N171+N172+N173+N174+N178</f>
        <v>0</v>
      </c>
      <c r="O169" s="11">
        <f t="shared" ref="O169" si="97">O170+O171+O172+O173+O174+O178</f>
        <v>3310000</v>
      </c>
      <c r="P169" s="11">
        <f t="shared" si="89"/>
        <v>93505000</v>
      </c>
    </row>
    <row r="170" spans="1:17" ht="47.25">
      <c r="A170" s="8" t="s">
        <v>265</v>
      </c>
      <c r="B170" s="8" t="s">
        <v>76</v>
      </c>
      <c r="C170" s="8" t="s">
        <v>24</v>
      </c>
      <c r="D170" s="12" t="s">
        <v>77</v>
      </c>
      <c r="E170" s="13">
        <f>F170+I170</f>
        <v>8035900</v>
      </c>
      <c r="F170" s="13">
        <v>8035900</v>
      </c>
      <c r="G170" s="13">
        <f>6358000+1398900</f>
        <v>7756900</v>
      </c>
      <c r="H170" s="13">
        <v>0</v>
      </c>
      <c r="I170" s="13">
        <v>0</v>
      </c>
      <c r="J170" s="13">
        <f t="shared" si="93"/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3">
        <f t="shared" si="89"/>
        <v>8035900</v>
      </c>
    </row>
    <row r="171" spans="1:17" ht="31.5">
      <c r="A171" s="16" t="s">
        <v>300</v>
      </c>
      <c r="B171" s="16" t="s">
        <v>285</v>
      </c>
      <c r="C171" s="16" t="s">
        <v>287</v>
      </c>
      <c r="D171" s="12" t="s">
        <v>286</v>
      </c>
      <c r="E171" s="13">
        <f t="shared" ref="E171" si="98">F171+I171</f>
        <v>92500</v>
      </c>
      <c r="F171" s="13">
        <v>92500</v>
      </c>
      <c r="G171" s="13"/>
      <c r="H171" s="13"/>
      <c r="I171" s="13"/>
      <c r="J171" s="13">
        <f t="shared" si="93"/>
        <v>0</v>
      </c>
      <c r="K171" s="13"/>
      <c r="L171" s="13"/>
      <c r="M171" s="13"/>
      <c r="N171" s="13"/>
      <c r="O171" s="13"/>
      <c r="P171" s="13">
        <f t="shared" si="89"/>
        <v>92500</v>
      </c>
    </row>
    <row r="172" spans="1:17" ht="23.45" customHeight="1">
      <c r="A172" s="8" t="s">
        <v>266</v>
      </c>
      <c r="B172" s="8" t="s">
        <v>267</v>
      </c>
      <c r="C172" s="8" t="s">
        <v>32</v>
      </c>
      <c r="D172" s="12" t="s">
        <v>268</v>
      </c>
      <c r="E172" s="13">
        <v>10000000</v>
      </c>
      <c r="F172" s="13">
        <v>0</v>
      </c>
      <c r="G172" s="13">
        <v>0</v>
      </c>
      <c r="H172" s="13">
        <v>0</v>
      </c>
      <c r="I172" s="13">
        <v>0</v>
      </c>
      <c r="J172" s="13">
        <f t="shared" si="93"/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3">
        <f t="shared" si="89"/>
        <v>10000000</v>
      </c>
    </row>
    <row r="173" spans="1:17" ht="23.45" customHeight="1">
      <c r="A173" s="8">
        <v>3719110</v>
      </c>
      <c r="B173" s="8">
        <v>9110</v>
      </c>
      <c r="C173" s="16" t="s">
        <v>31</v>
      </c>
      <c r="D173" s="12" t="s">
        <v>301</v>
      </c>
      <c r="E173" s="13">
        <f>F173+I173</f>
        <v>63874800</v>
      </c>
      <c r="F173" s="13">
        <v>63874800</v>
      </c>
      <c r="G173" s="13"/>
      <c r="H173" s="13"/>
      <c r="I173" s="13"/>
      <c r="J173" s="13">
        <f t="shared" si="93"/>
        <v>0</v>
      </c>
      <c r="K173" s="13"/>
      <c r="L173" s="13"/>
      <c r="M173" s="13"/>
      <c r="N173" s="13"/>
      <c r="O173" s="13"/>
      <c r="P173" s="13">
        <f t="shared" si="89"/>
        <v>63874800</v>
      </c>
    </row>
    <row r="174" spans="1:17" ht="23.45" customHeight="1">
      <c r="A174" s="8" t="s">
        <v>269</v>
      </c>
      <c r="B174" s="8" t="s">
        <v>270</v>
      </c>
      <c r="C174" s="8" t="s">
        <v>31</v>
      </c>
      <c r="D174" s="12" t="s">
        <v>271</v>
      </c>
      <c r="E174" s="13">
        <f>F174+I174</f>
        <v>4501800</v>
      </c>
      <c r="F174" s="13">
        <f>SUM(F175:F177)</f>
        <v>4501800</v>
      </c>
      <c r="G174" s="13">
        <v>0</v>
      </c>
      <c r="H174" s="13">
        <v>0</v>
      </c>
      <c r="I174" s="13">
        <v>0</v>
      </c>
      <c r="J174" s="13">
        <f t="shared" si="93"/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3">
        <f t="shared" si="89"/>
        <v>4501800</v>
      </c>
    </row>
    <row r="175" spans="1:17" s="7" customFormat="1" ht="126">
      <c r="A175" s="14"/>
      <c r="B175" s="14"/>
      <c r="C175" s="14"/>
      <c r="D175" s="18" t="s">
        <v>303</v>
      </c>
      <c r="E175" s="15">
        <f>F175+I175</f>
        <v>1760700</v>
      </c>
      <c r="F175" s="15">
        <v>1760700</v>
      </c>
      <c r="G175" s="15"/>
      <c r="H175" s="15"/>
      <c r="I175" s="15"/>
      <c r="J175" s="15">
        <f t="shared" si="93"/>
        <v>0</v>
      </c>
      <c r="K175" s="15"/>
      <c r="L175" s="15"/>
      <c r="M175" s="15"/>
      <c r="N175" s="15"/>
      <c r="O175" s="15"/>
      <c r="P175" s="15">
        <f t="shared" si="89"/>
        <v>1760700</v>
      </c>
    </row>
    <row r="176" spans="1:17" s="7" customFormat="1" ht="63">
      <c r="A176" s="14"/>
      <c r="B176" s="14"/>
      <c r="C176" s="14"/>
      <c r="D176" s="1" t="s">
        <v>304</v>
      </c>
      <c r="E176" s="15">
        <f t="shared" ref="E176:E178" si="99">F176+I176</f>
        <v>500000</v>
      </c>
      <c r="F176" s="15">
        <v>500000</v>
      </c>
      <c r="G176" s="15"/>
      <c r="H176" s="15"/>
      <c r="I176" s="15"/>
      <c r="J176" s="15">
        <f t="shared" si="93"/>
        <v>0</v>
      </c>
      <c r="K176" s="15"/>
      <c r="L176" s="15"/>
      <c r="M176" s="15"/>
      <c r="N176" s="15"/>
      <c r="O176" s="15"/>
      <c r="P176" s="15">
        <f t="shared" si="89"/>
        <v>500000</v>
      </c>
    </row>
    <row r="177" spans="1:16" s="7" customFormat="1" ht="78.75">
      <c r="A177" s="14"/>
      <c r="B177" s="14"/>
      <c r="C177" s="14"/>
      <c r="D177" s="18" t="s">
        <v>302</v>
      </c>
      <c r="E177" s="15">
        <f t="shared" si="99"/>
        <v>2241100</v>
      </c>
      <c r="F177" s="15">
        <f>2237000+14200-10100</f>
        <v>2241100</v>
      </c>
      <c r="G177" s="15"/>
      <c r="H177" s="15"/>
      <c r="I177" s="15"/>
      <c r="J177" s="15">
        <f t="shared" si="93"/>
        <v>0</v>
      </c>
      <c r="K177" s="15"/>
      <c r="L177" s="15"/>
      <c r="M177" s="15"/>
      <c r="N177" s="15"/>
      <c r="O177" s="15"/>
      <c r="P177" s="15">
        <f t="shared" si="89"/>
        <v>2241100</v>
      </c>
    </row>
    <row r="178" spans="1:16" ht="63">
      <c r="A178" s="8">
        <v>3719800</v>
      </c>
      <c r="B178" s="8">
        <v>9800</v>
      </c>
      <c r="C178" s="16" t="s">
        <v>31</v>
      </c>
      <c r="D178" s="33" t="s">
        <v>388</v>
      </c>
      <c r="E178" s="13">
        <f t="shared" si="99"/>
        <v>3690000</v>
      </c>
      <c r="F178" s="13">
        <f>F179+F180</f>
        <v>3690000</v>
      </c>
      <c r="G178" s="13">
        <f t="shared" ref="G178:K178" si="100">G179+G180</f>
        <v>0</v>
      </c>
      <c r="H178" s="13">
        <f t="shared" si="100"/>
        <v>0</v>
      </c>
      <c r="I178" s="13">
        <f t="shared" si="100"/>
        <v>0</v>
      </c>
      <c r="J178" s="13">
        <f>L178+O178</f>
        <v>3310000</v>
      </c>
      <c r="K178" s="13">
        <f t="shared" si="100"/>
        <v>3310000</v>
      </c>
      <c r="L178" s="13">
        <f t="shared" ref="L178" si="101">L179+L180</f>
        <v>0</v>
      </c>
      <c r="M178" s="13">
        <f t="shared" ref="M178" si="102">M179+M180</f>
        <v>0</v>
      </c>
      <c r="N178" s="13">
        <f t="shared" ref="N178" si="103">N179+N180</f>
        <v>0</v>
      </c>
      <c r="O178" s="13">
        <f t="shared" ref="O178" si="104">O179+O180</f>
        <v>3310000</v>
      </c>
      <c r="P178" s="13">
        <f t="shared" si="89"/>
        <v>7000000</v>
      </c>
    </row>
    <row r="179" spans="1:16" s="7" customFormat="1" ht="94.5">
      <c r="A179" s="14"/>
      <c r="B179" s="14"/>
      <c r="C179" s="14"/>
      <c r="D179" s="18" t="s">
        <v>389</v>
      </c>
      <c r="E179" s="15">
        <f>F179+I179</f>
        <v>1690000</v>
      </c>
      <c r="F179" s="15">
        <v>1690000</v>
      </c>
      <c r="G179" s="15"/>
      <c r="H179" s="15"/>
      <c r="I179" s="15"/>
      <c r="J179" s="15">
        <f t="shared" ref="J179:J180" si="105">L179+O179</f>
        <v>2310000</v>
      </c>
      <c r="K179" s="15">
        <v>2310000</v>
      </c>
      <c r="L179" s="15"/>
      <c r="M179" s="15"/>
      <c r="N179" s="15"/>
      <c r="O179" s="15">
        <v>2310000</v>
      </c>
      <c r="P179" s="15">
        <f>E179 + J179</f>
        <v>4000000</v>
      </c>
    </row>
    <row r="180" spans="1:16" s="7" customFormat="1" ht="63">
      <c r="A180" s="14"/>
      <c r="B180" s="14"/>
      <c r="C180" s="14"/>
      <c r="D180" s="18" t="s">
        <v>390</v>
      </c>
      <c r="E180" s="15">
        <f>F180+I180</f>
        <v>2000000</v>
      </c>
      <c r="F180" s="15">
        <v>2000000</v>
      </c>
      <c r="G180" s="15"/>
      <c r="H180" s="15"/>
      <c r="I180" s="15"/>
      <c r="J180" s="15">
        <f t="shared" si="105"/>
        <v>1000000</v>
      </c>
      <c r="K180" s="15">
        <v>1000000</v>
      </c>
      <c r="L180" s="15"/>
      <c r="M180" s="15"/>
      <c r="N180" s="15"/>
      <c r="O180" s="15">
        <v>1000000</v>
      </c>
      <c r="P180" s="15">
        <f t="shared" si="89"/>
        <v>3000000</v>
      </c>
    </row>
    <row r="181" spans="1:16" ht="19.899999999999999" customHeight="1">
      <c r="A181" s="9" t="s">
        <v>273</v>
      </c>
      <c r="B181" s="9" t="s">
        <v>273</v>
      </c>
      <c r="C181" s="9" t="s">
        <v>273</v>
      </c>
      <c r="D181" s="17" t="s">
        <v>272</v>
      </c>
      <c r="E181" s="11">
        <f>E18+E57+E84+E106+E111+E122+E130+E148+E158+E168</f>
        <v>1129107097.8699999</v>
      </c>
      <c r="F181" s="11">
        <f>F18+F57+F84+F106+F111+F122+F130+F148+F158+F168</f>
        <v>992604128.87</v>
      </c>
      <c r="G181" s="11">
        <f>G18+G57+G84+G106+G111+G122+G130+G148+G158+G168</f>
        <v>544778718.87</v>
      </c>
      <c r="H181" s="11">
        <f>H18+H57+H84+H106+H111+H122+H130+H148+H158+H168</f>
        <v>46768300</v>
      </c>
      <c r="I181" s="11">
        <f>I18+I57+I84+I106+I111+I122+I130+I148+I158+I168</f>
        <v>126502969</v>
      </c>
      <c r="J181" s="11">
        <f>L181+O181</f>
        <v>224425262.81</v>
      </c>
      <c r="K181" s="11">
        <f>K18+K57+K84+K106+K111+K122+K130+K148+K158+K168</f>
        <v>204469788.63</v>
      </c>
      <c r="L181" s="11">
        <f>L18+L57+L84+L106+L111+L122+L130+L148+L158+L168</f>
        <v>19216100</v>
      </c>
      <c r="M181" s="11">
        <f>M18+M57+M84+M106+M111+M122+M130+M148+M158+M168</f>
        <v>507100</v>
      </c>
      <c r="N181" s="11">
        <f>N18+N57+N84+N106+N111+N122+N130+N148+N158+N168</f>
        <v>0</v>
      </c>
      <c r="O181" s="11">
        <f>O18+O57+O84+O106+O111+O122+O130+O148+O158+O168</f>
        <v>205209162.81</v>
      </c>
      <c r="P181" s="11">
        <f t="shared" si="89"/>
        <v>1353532360.6799998</v>
      </c>
    </row>
    <row r="182" spans="1:16" ht="19.899999999999999" customHeight="1">
      <c r="A182" s="21"/>
      <c r="B182" s="21"/>
      <c r="C182" s="21"/>
      <c r="D182" s="22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</row>
    <row r="183" spans="1:16" s="28" customFormat="1" ht="18.75">
      <c r="A183" s="24"/>
      <c r="B183" s="24"/>
      <c r="C183" s="25" t="s">
        <v>316</v>
      </c>
      <c r="D183" s="26" t="s">
        <v>317</v>
      </c>
      <c r="E183" s="27">
        <f t="shared" ref="E183:O183" si="106">E20+E25+E26+E59+E86+E87+E108+E113+E124+E132+E133+E150+E160+E161+E170</f>
        <v>169218700</v>
      </c>
      <c r="F183" s="27">
        <f t="shared" si="106"/>
        <v>169218700</v>
      </c>
      <c r="G183" s="27">
        <f t="shared" si="106"/>
        <v>152190900</v>
      </c>
      <c r="H183" s="27">
        <f t="shared" si="106"/>
        <v>6656600</v>
      </c>
      <c r="I183" s="27">
        <f t="shared" si="106"/>
        <v>0</v>
      </c>
      <c r="J183" s="27">
        <f t="shared" si="106"/>
        <v>117600</v>
      </c>
      <c r="K183" s="27">
        <f t="shared" si="106"/>
        <v>0</v>
      </c>
      <c r="L183" s="27">
        <f t="shared" si="106"/>
        <v>117600</v>
      </c>
      <c r="M183" s="27">
        <f t="shared" si="106"/>
        <v>0</v>
      </c>
      <c r="N183" s="27">
        <f t="shared" si="106"/>
        <v>0</v>
      </c>
      <c r="O183" s="27">
        <f t="shared" si="106"/>
        <v>0</v>
      </c>
      <c r="P183" s="27">
        <f>E183+J183</f>
        <v>169336300</v>
      </c>
    </row>
    <row r="184" spans="1:16" s="28" customFormat="1" ht="18.75">
      <c r="A184" s="24"/>
      <c r="B184" s="24"/>
      <c r="C184" s="25" t="s">
        <v>318</v>
      </c>
      <c r="D184" s="26" t="s">
        <v>319</v>
      </c>
      <c r="E184" s="27">
        <f>E60+E61+E62+E63+E67+E68+E69+E70+E71+E72+E73+E74+E75+E76+E77+E78+E114+E151</f>
        <v>405145554</v>
      </c>
      <c r="F184" s="27">
        <f t="shared" ref="F184:O184" si="107">F60+F61+F62+F63+F67+F68+F69+F70+F71+F72+F73+F74+F75+F76+F77+F78+F114+F151</f>
        <v>405145554</v>
      </c>
      <c r="G184" s="27">
        <f t="shared" si="107"/>
        <v>311694544</v>
      </c>
      <c r="H184" s="27">
        <f t="shared" si="107"/>
        <v>35491400</v>
      </c>
      <c r="I184" s="27">
        <f t="shared" si="107"/>
        <v>0</v>
      </c>
      <c r="J184" s="27">
        <f t="shared" si="107"/>
        <v>112330866</v>
      </c>
      <c r="K184" s="27">
        <f t="shared" si="107"/>
        <v>94239366</v>
      </c>
      <c r="L184" s="27">
        <f>L60+L61+L62+L63+L67+L68+L69+L70+L71+L72+L73+L74+L75+L76+L77+L78+L114+L151</f>
        <v>17891500</v>
      </c>
      <c r="M184" s="27">
        <f t="shared" si="107"/>
        <v>495100</v>
      </c>
      <c r="N184" s="27">
        <f t="shared" si="107"/>
        <v>0</v>
      </c>
      <c r="O184" s="27">
        <f t="shared" si="107"/>
        <v>94439366</v>
      </c>
      <c r="P184" s="27">
        <f t="shared" ref="P184:P192" si="108">E184+J184</f>
        <v>517476420</v>
      </c>
    </row>
    <row r="185" spans="1:16" s="28" customFormat="1" ht="18.75">
      <c r="A185" s="24"/>
      <c r="B185" s="24"/>
      <c r="C185" s="25" t="s">
        <v>320</v>
      </c>
      <c r="D185" s="26" t="s">
        <v>321</v>
      </c>
      <c r="E185" s="27">
        <f>E27+E28+E29+E30+E152</f>
        <v>58597600</v>
      </c>
      <c r="F185" s="27">
        <f t="shared" ref="F185:O185" si="109">F27+F28+F29+F30+F152</f>
        <v>58597600</v>
      </c>
      <c r="G185" s="27">
        <f t="shared" si="109"/>
        <v>0</v>
      </c>
      <c r="H185" s="27">
        <f t="shared" si="109"/>
        <v>0</v>
      </c>
      <c r="I185" s="27">
        <f t="shared" si="109"/>
        <v>0</v>
      </c>
      <c r="J185" s="27">
        <f t="shared" si="109"/>
        <v>4012700</v>
      </c>
      <c r="K185" s="27">
        <f t="shared" si="109"/>
        <v>4012700</v>
      </c>
      <c r="L185" s="27">
        <f t="shared" si="109"/>
        <v>0</v>
      </c>
      <c r="M185" s="27">
        <f t="shared" si="109"/>
        <v>0</v>
      </c>
      <c r="N185" s="27">
        <f t="shared" si="109"/>
        <v>0</v>
      </c>
      <c r="O185" s="27">
        <f t="shared" si="109"/>
        <v>4012700</v>
      </c>
      <c r="P185" s="27">
        <f t="shared" si="108"/>
        <v>62610300</v>
      </c>
    </row>
    <row r="186" spans="1:16" s="28" customFormat="1" ht="32.25">
      <c r="A186" s="24"/>
      <c r="B186" s="24"/>
      <c r="C186" s="25" t="s">
        <v>322</v>
      </c>
      <c r="D186" s="26" t="s">
        <v>323</v>
      </c>
      <c r="E186" s="27">
        <f t="shared" ref="E186:O186" si="110">E34+E79+E80+E88+E89+E90+E91+E92+E93+E94+E95+E96+E97+E98+E99+E100+E101+E109+E115+E125+E134</f>
        <v>111784829.87</v>
      </c>
      <c r="F186" s="27">
        <f t="shared" si="110"/>
        <v>111784829.87</v>
      </c>
      <c r="G186" s="27">
        <f t="shared" si="110"/>
        <v>25574574.870000001</v>
      </c>
      <c r="H186" s="27">
        <f t="shared" si="110"/>
        <v>728000</v>
      </c>
      <c r="I186" s="27">
        <f t="shared" si="110"/>
        <v>0</v>
      </c>
      <c r="J186" s="27">
        <f t="shared" si="110"/>
        <v>182000</v>
      </c>
      <c r="K186" s="27">
        <f t="shared" si="110"/>
        <v>0</v>
      </c>
      <c r="L186" s="27">
        <f t="shared" si="110"/>
        <v>57000</v>
      </c>
      <c r="M186" s="27">
        <f t="shared" si="110"/>
        <v>0</v>
      </c>
      <c r="N186" s="27">
        <f t="shared" si="110"/>
        <v>0</v>
      </c>
      <c r="O186" s="27">
        <f t="shared" si="110"/>
        <v>125000</v>
      </c>
      <c r="P186" s="27">
        <f t="shared" si="108"/>
        <v>111966829.87</v>
      </c>
    </row>
    <row r="187" spans="1:16" s="28" customFormat="1" ht="18.75">
      <c r="A187" s="24"/>
      <c r="B187" s="24"/>
      <c r="C187" s="25" t="s">
        <v>324</v>
      </c>
      <c r="D187" s="26" t="s">
        <v>325</v>
      </c>
      <c r="E187" s="27">
        <f>E116+E117+E118+E119+E120</f>
        <v>29133700</v>
      </c>
      <c r="F187" s="27">
        <f t="shared" ref="F187:O187" si="111">F116+F117+F118+F119+F120</f>
        <v>29133700</v>
      </c>
      <c r="G187" s="27">
        <f t="shared" si="111"/>
        <v>23189700</v>
      </c>
      <c r="H187" s="27">
        <f t="shared" si="111"/>
        <v>3008700</v>
      </c>
      <c r="I187" s="27">
        <f t="shared" si="111"/>
        <v>0</v>
      </c>
      <c r="J187" s="27">
        <f t="shared" si="111"/>
        <v>280000</v>
      </c>
      <c r="K187" s="27">
        <f t="shared" si="111"/>
        <v>0</v>
      </c>
      <c r="L187" s="27">
        <f t="shared" si="111"/>
        <v>250000</v>
      </c>
      <c r="M187" s="27">
        <f t="shared" si="111"/>
        <v>12000</v>
      </c>
      <c r="N187" s="27">
        <f t="shared" si="111"/>
        <v>0</v>
      </c>
      <c r="O187" s="27">
        <f t="shared" si="111"/>
        <v>30000</v>
      </c>
      <c r="P187" s="27">
        <f t="shared" si="108"/>
        <v>29413700</v>
      </c>
    </row>
    <row r="188" spans="1:16" s="28" customFormat="1" ht="18.75">
      <c r="A188" s="24"/>
      <c r="B188" s="24"/>
      <c r="C188" s="25" t="s">
        <v>326</v>
      </c>
      <c r="D188" s="26" t="s">
        <v>327</v>
      </c>
      <c r="E188" s="27">
        <f>E81+E126+E127+E128</f>
        <v>18233800</v>
      </c>
      <c r="F188" s="27">
        <f t="shared" ref="F188:O188" si="112">F81+F126+F127+F128</f>
        <v>18233800</v>
      </c>
      <c r="G188" s="27">
        <f t="shared" si="112"/>
        <v>10625700</v>
      </c>
      <c r="H188" s="27">
        <f t="shared" si="112"/>
        <v>821100</v>
      </c>
      <c r="I188" s="27">
        <f t="shared" si="112"/>
        <v>0</v>
      </c>
      <c r="J188" s="27">
        <f t="shared" si="112"/>
        <v>0</v>
      </c>
      <c r="K188" s="27">
        <f t="shared" si="112"/>
        <v>0</v>
      </c>
      <c r="L188" s="27">
        <f t="shared" si="112"/>
        <v>0</v>
      </c>
      <c r="M188" s="27">
        <f t="shared" si="112"/>
        <v>0</v>
      </c>
      <c r="N188" s="27">
        <f t="shared" si="112"/>
        <v>0</v>
      </c>
      <c r="O188" s="27">
        <f t="shared" si="112"/>
        <v>0</v>
      </c>
      <c r="P188" s="27">
        <f t="shared" si="108"/>
        <v>18233800</v>
      </c>
    </row>
    <row r="189" spans="1:16" s="28" customFormat="1" ht="18.75">
      <c r="A189" s="24"/>
      <c r="B189" s="24"/>
      <c r="C189" s="25" t="s">
        <v>328</v>
      </c>
      <c r="D189" s="26" t="s">
        <v>329</v>
      </c>
      <c r="E189" s="27">
        <f>E35+E39+E135+E136+E137+E138+E139+E153+E162+E163</f>
        <v>124267214</v>
      </c>
      <c r="F189" s="27">
        <f t="shared" ref="F189:O189" si="113">F35+F39+F135+F136+F137+F138+F139+F153+F162+F163</f>
        <v>61430745</v>
      </c>
      <c r="G189" s="27">
        <f t="shared" si="113"/>
        <v>0</v>
      </c>
      <c r="H189" s="27">
        <f t="shared" si="113"/>
        <v>0</v>
      </c>
      <c r="I189" s="27">
        <f t="shared" si="113"/>
        <v>62836469</v>
      </c>
      <c r="J189" s="27">
        <f t="shared" si="113"/>
        <v>41036036.009999998</v>
      </c>
      <c r="K189" s="27">
        <f t="shared" si="113"/>
        <v>41036036.009999998</v>
      </c>
      <c r="L189" s="27">
        <f t="shared" si="113"/>
        <v>0</v>
      </c>
      <c r="M189" s="27">
        <f t="shared" si="113"/>
        <v>0</v>
      </c>
      <c r="N189" s="27">
        <f t="shared" si="113"/>
        <v>0</v>
      </c>
      <c r="O189" s="27">
        <f t="shared" si="113"/>
        <v>41036036.009999998</v>
      </c>
      <c r="P189" s="27">
        <f t="shared" si="108"/>
        <v>165303250.00999999</v>
      </c>
    </row>
    <row r="190" spans="1:16" s="28" customFormat="1" ht="18.75">
      <c r="A190" s="24"/>
      <c r="B190" s="24"/>
      <c r="C190" s="25" t="s">
        <v>330</v>
      </c>
      <c r="D190" s="26" t="s">
        <v>331</v>
      </c>
      <c r="E190" s="27">
        <f>E40+E41+E49+E50+E82+E102+E110+E121+E129+E140+E141+E142+E143+E144+E145+E154+E155+E156+E164+E165+E166+E171</f>
        <v>98068800</v>
      </c>
      <c r="F190" s="27">
        <f t="shared" ref="F190:O190" si="114">F40+F41+F49+F50+F82+F102+F110+F121+F129+F140+F141+F142+F143+F144+F145+F154+F155+F156+F164+F165+F166+F171</f>
        <v>34402300</v>
      </c>
      <c r="G190" s="27">
        <f t="shared" si="114"/>
        <v>0</v>
      </c>
      <c r="H190" s="27">
        <f t="shared" si="114"/>
        <v>0</v>
      </c>
      <c r="I190" s="27">
        <f t="shared" si="114"/>
        <v>63666500</v>
      </c>
      <c r="J190" s="27">
        <f t="shared" si="114"/>
        <v>47590689.799999997</v>
      </c>
      <c r="K190" s="27">
        <f t="shared" si="114"/>
        <v>47206315.619999997</v>
      </c>
      <c r="L190" s="27">
        <f t="shared" si="114"/>
        <v>0</v>
      </c>
      <c r="M190" s="27">
        <f t="shared" si="114"/>
        <v>0</v>
      </c>
      <c r="N190" s="27">
        <f t="shared" si="114"/>
        <v>0</v>
      </c>
      <c r="O190" s="27">
        <f t="shared" si="114"/>
        <v>47590689.799999997</v>
      </c>
      <c r="P190" s="27">
        <f>E190+J190</f>
        <v>145659489.80000001</v>
      </c>
    </row>
    <row r="191" spans="1:16" s="29" customFormat="1" ht="18.75">
      <c r="A191" s="24"/>
      <c r="B191" s="24"/>
      <c r="C191" s="25" t="s">
        <v>332</v>
      </c>
      <c r="D191" s="26" t="s">
        <v>333</v>
      </c>
      <c r="E191" s="27">
        <f>E51+E52+E53+E54+E55+E56+E83+E146+E147+E157+E167+E172</f>
        <v>42590300</v>
      </c>
      <c r="F191" s="27">
        <f t="shared" ref="F191:O191" si="115">F51+F52+F53+F54+F55+F56+F83+F146+F147+F157+F167+F172</f>
        <v>32590300</v>
      </c>
      <c r="G191" s="27">
        <f t="shared" si="115"/>
        <v>21503300</v>
      </c>
      <c r="H191" s="27">
        <f t="shared" si="115"/>
        <v>62500</v>
      </c>
      <c r="I191" s="27">
        <f t="shared" si="115"/>
        <v>0</v>
      </c>
      <c r="J191" s="27">
        <f t="shared" si="115"/>
        <v>15565371</v>
      </c>
      <c r="K191" s="27">
        <f t="shared" si="115"/>
        <v>14665371</v>
      </c>
      <c r="L191" s="27">
        <f t="shared" si="115"/>
        <v>900000</v>
      </c>
      <c r="M191" s="27">
        <f t="shared" si="115"/>
        <v>0</v>
      </c>
      <c r="N191" s="27">
        <f t="shared" si="115"/>
        <v>0</v>
      </c>
      <c r="O191" s="27">
        <f t="shared" si="115"/>
        <v>14665371</v>
      </c>
      <c r="P191" s="27">
        <f t="shared" si="108"/>
        <v>58155671</v>
      </c>
    </row>
    <row r="192" spans="1:16" s="20" customFormat="1" ht="18.75">
      <c r="A192" s="24"/>
      <c r="B192" s="24"/>
      <c r="C192" s="25" t="s">
        <v>334</v>
      </c>
      <c r="D192" s="26" t="s">
        <v>335</v>
      </c>
      <c r="E192" s="27">
        <f>E173+E174+E178</f>
        <v>72066600</v>
      </c>
      <c r="F192" s="27">
        <f t="shared" ref="F192:O192" si="116">F173+F174+F178</f>
        <v>72066600</v>
      </c>
      <c r="G192" s="27">
        <f t="shared" si="116"/>
        <v>0</v>
      </c>
      <c r="H192" s="27">
        <f t="shared" si="116"/>
        <v>0</v>
      </c>
      <c r="I192" s="27">
        <f t="shared" si="116"/>
        <v>0</v>
      </c>
      <c r="J192" s="27">
        <f t="shared" si="116"/>
        <v>3310000</v>
      </c>
      <c r="K192" s="27">
        <f t="shared" si="116"/>
        <v>3310000</v>
      </c>
      <c r="L192" s="27">
        <f t="shared" si="116"/>
        <v>0</v>
      </c>
      <c r="M192" s="27">
        <f t="shared" si="116"/>
        <v>0</v>
      </c>
      <c r="N192" s="27">
        <f t="shared" si="116"/>
        <v>0</v>
      </c>
      <c r="O192" s="27">
        <f t="shared" si="116"/>
        <v>3310000</v>
      </c>
      <c r="P192" s="27">
        <f t="shared" si="108"/>
        <v>75376600</v>
      </c>
    </row>
    <row r="193" spans="1:16" s="20" customFormat="1">
      <c r="A193" s="30"/>
      <c r="B193" s="30"/>
      <c r="C193" s="30"/>
      <c r="D193" s="30" t="s">
        <v>17</v>
      </c>
      <c r="E193" s="31">
        <f>SUM(E183:E192)</f>
        <v>1129107097.8699999</v>
      </c>
      <c r="F193" s="31">
        <f>SUM(F183:F192)</f>
        <v>992604128.87</v>
      </c>
      <c r="G193" s="31">
        <f>SUM(G183:G192)</f>
        <v>544778718.87</v>
      </c>
      <c r="H193" s="31">
        <f t="shared" ref="H193:O193" si="117">SUM(H183:H192)</f>
        <v>46768300</v>
      </c>
      <c r="I193" s="31">
        <f t="shared" si="117"/>
        <v>126502969</v>
      </c>
      <c r="J193" s="31">
        <f t="shared" si="117"/>
        <v>224425262.81</v>
      </c>
      <c r="K193" s="31">
        <f>SUM(K183:K192)</f>
        <v>204469788.63</v>
      </c>
      <c r="L193" s="31">
        <f t="shared" si="117"/>
        <v>19216100</v>
      </c>
      <c r="M193" s="31">
        <f t="shared" si="117"/>
        <v>507100</v>
      </c>
      <c r="N193" s="31">
        <f t="shared" si="117"/>
        <v>0</v>
      </c>
      <c r="O193" s="31">
        <f t="shared" si="117"/>
        <v>205209162.81</v>
      </c>
      <c r="P193" s="31">
        <f>E193+J193</f>
        <v>1353532360.6799998</v>
      </c>
    </row>
    <row r="194" spans="1:16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</row>
    <row r="195" spans="1:16">
      <c r="D195" s="2" t="s">
        <v>280</v>
      </c>
      <c r="J195" s="2" t="s">
        <v>281</v>
      </c>
    </row>
    <row r="196" spans="1:16"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>
      <c r="D199" s="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>
      <c r="E200" s="5"/>
      <c r="G200" s="5"/>
      <c r="H200" s="5"/>
      <c r="J200" s="5"/>
      <c r="P200" s="5"/>
    </row>
    <row r="201" spans="1:16">
      <c r="G201" s="5"/>
      <c r="H201" s="5"/>
    </row>
    <row r="202" spans="1:16">
      <c r="D202" s="4"/>
      <c r="E202" s="5"/>
    </row>
  </sheetData>
  <mergeCells count="22"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  <mergeCell ref="J14:J16"/>
    <mergeCell ref="K14:K16"/>
    <mergeCell ref="L14:L16"/>
    <mergeCell ref="M14:N14"/>
    <mergeCell ref="M15:M16"/>
    <mergeCell ref="N15:N16"/>
  </mergeCells>
  <pageMargins left="0.19685039370078741" right="0.19685039370078741" top="0.59055118110236227" bottom="0.59055118110236227" header="0" footer="0"/>
  <pageSetup paperSize="9" scale="51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Irina</cp:lastModifiedBy>
  <cp:lastPrinted>2025-01-28T10:26:33Z</cp:lastPrinted>
  <dcterms:created xsi:type="dcterms:W3CDTF">2023-12-16T13:37:11Z</dcterms:created>
  <dcterms:modified xsi:type="dcterms:W3CDTF">2025-01-28T10:26:53Z</dcterms:modified>
</cp:coreProperties>
</file>