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ВИКОНАННЯ\2024 рік\"/>
    </mc:Choice>
  </mc:AlternateContent>
  <bookViews>
    <workbookView xWindow="120" yWindow="60" windowWidth="19320" windowHeight="10128"/>
  </bookViews>
  <sheets>
    <sheet name="БР" sheetId="1" r:id="rId1"/>
  </sheets>
  <definedNames>
    <definedName name="Z_02AC496F_F7D9_465B_9A66_D319977CD4A2_.wvu.PrintArea" localSheetId="0" hidden="1">БР!$A$1:$H$8</definedName>
    <definedName name="Z_02AC496F_F7D9_465B_9A66_D319977CD4A2_.wvu.PrintTitles" localSheetId="0" hidden="1">БР!$7:$8</definedName>
    <definedName name="Z_6174BFC3_8EFC_491A_B8A3_28DB8186A904_.wvu.PrintArea" localSheetId="0" hidden="1">БР!$A$1:$H$8</definedName>
    <definedName name="Z_6174BFC3_8EFC_491A_B8A3_28DB8186A904_.wvu.PrintTitles" localSheetId="0" hidden="1">БР!$7:$8</definedName>
    <definedName name="Z_71B4C162_96A9_4CA7_B3F0_0C57B820C4BA_.wvu.PrintArea" localSheetId="0" hidden="1">БР!$A$1:$H$8</definedName>
    <definedName name="Z_71B4C162_96A9_4CA7_B3F0_0C57B820C4BA_.wvu.PrintTitles" localSheetId="0" hidden="1">БР!$7:$8</definedName>
    <definedName name="Z_9D5EF3DD_3431_45D7_BCA1_2268CCD9FD10_.wvu.PrintArea" localSheetId="0" hidden="1">БР!$A$1:$H$8</definedName>
    <definedName name="Z_9D5EF3DD_3431_45D7_BCA1_2268CCD9FD10_.wvu.PrintTitles" localSheetId="0" hidden="1">БР!$7:$8</definedName>
    <definedName name="_xlnm.Print_Titles" localSheetId="0">БР!$7:$8</definedName>
    <definedName name="_xlnm.Print_Area" localSheetId="0">БР!$A$1:$H$192</definedName>
  </definedNames>
  <calcPr calcId="152511"/>
  <customWorkbookViews>
    <customWorkbookView name="220FU6 - Личное представление" guid="{6174BFC3-8EFC-491A-B8A3-28DB8186A904}" mergeInterval="0" personalView="1" maximized="1" xWindow="-8" yWindow="-8" windowWidth="1616" windowHeight="876" activeSheetId="1"/>
    <customWorkbookView name="220FU5 - Личное представление" guid="{71B4C162-96A9-4CA7-B3F0-0C57B820C4BA}" mergeInterval="0" personalView="1" maximized="1" xWindow="-8" yWindow="-8" windowWidth="1936" windowHeight="1056" activeSheetId="1"/>
    <customWorkbookView name="220FU3 - Личное представление" guid="{9D5EF3DD-3431-45D7-BCA1-2268CCD9FD10}" mergeInterval="0" personalView="1" maximized="1" xWindow="-8" yWindow="-8" windowWidth="1382" windowHeight="744" activeSheetId="1"/>
    <customWorkbookView name="220FU1 - Личное представление" guid="{02AC496F-F7D9-465B-9A66-D319977CD4A2}" mergeInterval="0" personalView="1" maximized="1" xWindow="-8" yWindow="-8" windowWidth="1936" windowHeight="1056" activeSheetId="1"/>
  </customWorkbookViews>
</workbook>
</file>

<file path=xl/calcChain.xml><?xml version="1.0" encoding="utf-8"?>
<calcChain xmlns="http://schemas.openxmlformats.org/spreadsheetml/2006/main">
  <c r="G196" i="1" l="1"/>
  <c r="F196" i="1"/>
  <c r="G158" i="1" l="1"/>
  <c r="G151" i="1"/>
  <c r="H14" i="1" l="1"/>
  <c r="H15" i="1"/>
  <c r="H16" i="1"/>
  <c r="H17" i="1"/>
  <c r="H18" i="1"/>
  <c r="H19" i="1"/>
  <c r="H20" i="1"/>
  <c r="H21" i="1"/>
  <c r="H23" i="1"/>
  <c r="H24" i="1"/>
  <c r="H26" i="1"/>
  <c r="H27" i="1"/>
  <c r="H28" i="1"/>
  <c r="H29" i="1"/>
  <c r="H30" i="1"/>
  <c r="H31" i="1"/>
  <c r="H32" i="1"/>
  <c r="H36" i="1"/>
  <c r="H37" i="1"/>
  <c r="H38" i="1"/>
  <c r="H39" i="1"/>
  <c r="H41" i="1"/>
  <c r="H42" i="1"/>
  <c r="H43" i="1"/>
  <c r="H44" i="1"/>
  <c r="H45" i="1"/>
  <c r="H47" i="1"/>
  <c r="H48" i="1"/>
  <c r="H49" i="1"/>
  <c r="H50" i="1"/>
  <c r="H51" i="1"/>
  <c r="H52" i="1"/>
  <c r="H54" i="1"/>
  <c r="H55" i="1"/>
  <c r="H56" i="1"/>
  <c r="H57" i="1"/>
  <c r="H60" i="1"/>
  <c r="H61" i="1"/>
  <c r="H62" i="1"/>
  <c r="H63" i="1"/>
  <c r="H64" i="1"/>
  <c r="H65" i="1"/>
  <c r="H66" i="1"/>
  <c r="H69" i="1"/>
  <c r="H74" i="1"/>
  <c r="H75" i="1"/>
  <c r="H76" i="1"/>
  <c r="H77" i="1"/>
  <c r="H78" i="1"/>
  <c r="H79" i="1"/>
  <c r="H80" i="1"/>
  <c r="H81" i="1"/>
  <c r="H82" i="1"/>
  <c r="H83" i="1"/>
  <c r="H84" i="1"/>
  <c r="H85" i="1"/>
  <c r="H86" i="1"/>
  <c r="H87" i="1"/>
  <c r="H88" i="1"/>
  <c r="H89" i="1"/>
  <c r="H90" i="1"/>
  <c r="H91" i="1"/>
  <c r="H93" i="1"/>
  <c r="H94" i="1"/>
  <c r="H97" i="1"/>
  <c r="H98" i="1"/>
  <c r="H100" i="1"/>
  <c r="H101" i="1"/>
  <c r="H103" i="1"/>
  <c r="H104" i="1"/>
  <c r="H105" i="1"/>
  <c r="H107" i="1"/>
  <c r="H108" i="1"/>
  <c r="H109" i="1"/>
  <c r="H110" i="1"/>
  <c r="H111" i="1"/>
  <c r="H112" i="1"/>
  <c r="H113" i="1"/>
  <c r="H114" i="1"/>
  <c r="H115" i="1"/>
  <c r="H116" i="1"/>
  <c r="H117" i="1"/>
  <c r="H118" i="1"/>
  <c r="H119" i="1"/>
  <c r="H121" i="1"/>
  <c r="H122" i="1"/>
  <c r="H123" i="1"/>
  <c r="H124" i="1"/>
  <c r="H125" i="1"/>
  <c r="H126" i="1"/>
  <c r="H127" i="1"/>
  <c r="H130" i="1"/>
  <c r="H131" i="1"/>
  <c r="H133" i="1"/>
  <c r="H134" i="1"/>
  <c r="H135" i="1"/>
  <c r="H136" i="1"/>
  <c r="H137" i="1"/>
  <c r="H138" i="1"/>
  <c r="H139" i="1"/>
  <c r="H140" i="1"/>
  <c r="H141" i="1"/>
  <c r="H142" i="1"/>
  <c r="H143" i="1"/>
  <c r="H144" i="1"/>
  <c r="H146" i="1"/>
  <c r="H147" i="1"/>
  <c r="H149" i="1"/>
  <c r="H151" i="1"/>
  <c r="H152" i="1"/>
  <c r="H153" i="1"/>
  <c r="H154" i="1"/>
  <c r="H155" i="1"/>
  <c r="H156" i="1"/>
  <c r="H158" i="1"/>
  <c r="H159" i="1"/>
  <c r="H160" i="1"/>
  <c r="H161" i="1"/>
  <c r="H163" i="1"/>
  <c r="H164" i="1"/>
  <c r="H165" i="1"/>
  <c r="H166" i="1"/>
  <c r="H167" i="1"/>
  <c r="H168" i="1"/>
  <c r="H170" i="1"/>
  <c r="H171" i="1"/>
  <c r="H172" i="1"/>
  <c r="H175" i="1"/>
  <c r="H179" i="1"/>
  <c r="H180" i="1"/>
  <c r="H183" i="1"/>
  <c r="H184" i="1"/>
  <c r="H185" i="1"/>
  <c r="H186" i="1"/>
  <c r="H187" i="1"/>
  <c r="H188" i="1"/>
  <c r="H189" i="1"/>
  <c r="G13" i="1" l="1"/>
  <c r="H13" i="1" s="1"/>
  <c r="G22" i="1"/>
  <c r="H22" i="1" s="1"/>
  <c r="G25" i="1"/>
  <c r="H25" i="1" s="1"/>
  <c r="G35" i="1"/>
  <c r="H35" i="1" s="1"/>
  <c r="G40" i="1"/>
  <c r="H40" i="1" s="1"/>
  <c r="G46" i="1"/>
  <c r="H46" i="1" s="1"/>
  <c r="G53" i="1"/>
  <c r="H53" i="1" s="1"/>
  <c r="G59" i="1"/>
  <c r="G65" i="1"/>
  <c r="G64" i="1" s="1"/>
  <c r="G68" i="1"/>
  <c r="G73" i="1"/>
  <c r="G92" i="1"/>
  <c r="H92" i="1" s="1"/>
  <c r="G96" i="1"/>
  <c r="G99" i="1"/>
  <c r="H99" i="1" s="1"/>
  <c r="G102" i="1"/>
  <c r="H102" i="1" s="1"/>
  <c r="G106" i="1"/>
  <c r="H106" i="1" s="1"/>
  <c r="G120" i="1"/>
  <c r="H120" i="1" s="1"/>
  <c r="G132" i="1"/>
  <c r="H132" i="1" s="1"/>
  <c r="G145" i="1"/>
  <c r="H145" i="1" s="1"/>
  <c r="G148" i="1"/>
  <c r="H148" i="1" s="1"/>
  <c r="G150" i="1"/>
  <c r="H150" i="1" s="1"/>
  <c r="G157" i="1"/>
  <c r="H157" i="1" s="1"/>
  <c r="G160" i="1"/>
  <c r="G162" i="1"/>
  <c r="H162" i="1" s="1"/>
  <c r="G169" i="1"/>
  <c r="H169" i="1" s="1"/>
  <c r="G174" i="1"/>
  <c r="G178" i="1"/>
  <c r="H178" i="1" s="1"/>
  <c r="G181" i="1"/>
  <c r="H181" i="1" s="1"/>
  <c r="F184" i="1"/>
  <c r="F181" i="1" s="1"/>
  <c r="F177" i="1" s="1"/>
  <c r="F176" i="1" s="1"/>
  <c r="F183" i="1"/>
  <c r="F178" i="1"/>
  <c r="F174" i="1"/>
  <c r="F173" i="1"/>
  <c r="F171" i="1"/>
  <c r="F169" i="1" s="1"/>
  <c r="F170" i="1"/>
  <c r="F168" i="1"/>
  <c r="F167" i="1"/>
  <c r="F162" i="1" s="1"/>
  <c r="F160" i="1"/>
  <c r="F158" i="1"/>
  <c r="F157" i="1"/>
  <c r="F156" i="1"/>
  <c r="F155" i="1"/>
  <c r="F154" i="1"/>
  <c r="F153" i="1"/>
  <c r="F150" i="1" s="1"/>
  <c r="F152" i="1"/>
  <c r="F148" i="1"/>
  <c r="F145" i="1"/>
  <c r="F143" i="1"/>
  <c r="F142" i="1"/>
  <c r="F141" i="1"/>
  <c r="F140" i="1"/>
  <c r="F139" i="1"/>
  <c r="F138" i="1"/>
  <c r="F137" i="1"/>
  <c r="F136" i="1"/>
  <c r="F135" i="1"/>
  <c r="F134" i="1"/>
  <c r="F133" i="1"/>
  <c r="F132" i="1"/>
  <c r="F130" i="1"/>
  <c r="F124" i="1"/>
  <c r="F120" i="1" s="1"/>
  <c r="F107" i="1"/>
  <c r="F106" i="1"/>
  <c r="F102" i="1"/>
  <c r="F101" i="1"/>
  <c r="F100" i="1"/>
  <c r="F99" i="1"/>
  <c r="F97" i="1"/>
  <c r="F96" i="1" s="1"/>
  <c r="F95" i="1" s="1"/>
  <c r="F92" i="1"/>
  <c r="F90" i="1"/>
  <c r="F81" i="1"/>
  <c r="F80" i="1"/>
  <c r="F79" i="1"/>
  <c r="F78" i="1"/>
  <c r="F73" i="1" s="1"/>
  <c r="F72" i="1" s="1"/>
  <c r="F77" i="1"/>
  <c r="F68" i="1"/>
  <c r="F67" i="1"/>
  <c r="F65" i="1"/>
  <c r="F64" i="1" s="1"/>
  <c r="F61" i="1"/>
  <c r="F59" i="1"/>
  <c r="F58" i="1" s="1"/>
  <c r="F57" i="1"/>
  <c r="F56" i="1"/>
  <c r="F55" i="1"/>
  <c r="F54" i="1"/>
  <c r="F53" i="1" s="1"/>
  <c r="F51" i="1"/>
  <c r="F48" i="1"/>
  <c r="F47" i="1"/>
  <c r="F46" i="1" s="1"/>
  <c r="F44" i="1"/>
  <c r="F43" i="1"/>
  <c r="F42" i="1"/>
  <c r="F40" i="1" s="1"/>
  <c r="F41" i="1"/>
  <c r="F39" i="1"/>
  <c r="F37" i="1"/>
  <c r="F35" i="1" s="1"/>
  <c r="F34" i="1" s="1"/>
  <c r="F33" i="1" s="1"/>
  <c r="F36" i="1"/>
  <c r="F30" i="1"/>
  <c r="F28" i="1"/>
  <c r="F27" i="1"/>
  <c r="F26" i="1"/>
  <c r="F25" i="1" s="1"/>
  <c r="F23" i="1"/>
  <c r="F22" i="1"/>
  <c r="F20" i="1"/>
  <c r="F13" i="1" s="1"/>
  <c r="F11" i="1" s="1"/>
  <c r="F10" i="1" s="1"/>
  <c r="F16" i="1"/>
  <c r="F15" i="1"/>
  <c r="G173" i="1" l="1"/>
  <c r="H173" i="1" s="1"/>
  <c r="H174" i="1"/>
  <c r="G95" i="1"/>
  <c r="H95" i="1" s="1"/>
  <c r="H96" i="1"/>
  <c r="G72" i="1"/>
  <c r="H72" i="1" s="1"/>
  <c r="H73" i="1"/>
  <c r="G67" i="1"/>
  <c r="H67" i="1" s="1"/>
  <c r="H68" i="1"/>
  <c r="G58" i="1"/>
  <c r="H58" i="1" s="1"/>
  <c r="H59" i="1"/>
  <c r="G177" i="1"/>
  <c r="H177" i="1" s="1"/>
  <c r="G11" i="1"/>
  <c r="G10" i="1" s="1"/>
  <c r="G129" i="1"/>
  <c r="G34" i="1"/>
  <c r="F129" i="1"/>
  <c r="F128" i="1" s="1"/>
  <c r="F71" i="1"/>
  <c r="F70" i="1" s="1"/>
  <c r="F190" i="1" s="1"/>
  <c r="G128" i="1" l="1"/>
  <c r="H128" i="1" s="1"/>
  <c r="H129" i="1"/>
  <c r="G71" i="1"/>
  <c r="G33" i="1"/>
  <c r="H33" i="1" s="1"/>
  <c r="H34" i="1"/>
  <c r="G176" i="1"/>
  <c r="H176" i="1" s="1"/>
  <c r="G70" i="1" l="1"/>
  <c r="H70" i="1" s="1"/>
  <c r="H71" i="1"/>
  <c r="G190" i="1" l="1"/>
  <c r="H190" i="1" s="1"/>
  <c r="H12" i="1"/>
  <c r="H11" i="1" l="1"/>
  <c r="H10" i="1" l="1"/>
</calcChain>
</file>

<file path=xl/sharedStrings.xml><?xml version="1.0" encoding="utf-8"?>
<sst xmlns="http://schemas.openxmlformats.org/spreadsheetml/2006/main" count="405" uniqueCount="314">
  <si>
    <t>% виконання</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</si>
  <si>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</si>
  <si>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</si>
  <si>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</si>
  <si>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</si>
  <si>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0600000</t>
  </si>
  <si>
    <t>0610000</t>
  </si>
  <si>
    <t>3700000</t>
  </si>
  <si>
    <t>3710000</t>
  </si>
  <si>
    <t>0180</t>
  </si>
  <si>
    <t>ВСЬОГО</t>
  </si>
  <si>
    <t>(код бюджету)</t>
  </si>
  <si>
    <t>0200000</t>
  </si>
  <si>
    <t>0210000</t>
  </si>
  <si>
    <t>Капітальні видатки</t>
  </si>
  <si>
    <t>0731</t>
  </si>
  <si>
    <t>Багатопрофільна стаціонарна медична допомога населенню</t>
  </si>
  <si>
    <t>6030</t>
  </si>
  <si>
    <t>0620</t>
  </si>
  <si>
    <t>Організація благоустрою населених пунктів</t>
  </si>
  <si>
    <t>0490</t>
  </si>
  <si>
    <t>0611021</t>
  </si>
  <si>
    <t>1021</t>
  </si>
  <si>
    <t>0921</t>
  </si>
  <si>
    <t>Капітальні видатки разом, в т.ч.:</t>
  </si>
  <si>
    <t>0610</t>
  </si>
  <si>
    <t>1200000</t>
  </si>
  <si>
    <t>1210000</t>
  </si>
  <si>
    <t>Експлуатація та технічне обслуговування житлового фонду</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</si>
  <si>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</si>
  <si>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</si>
  <si>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</si>
  <si>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</si>
  <si>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1216030</t>
  </si>
  <si>
    <t>0470</t>
  </si>
  <si>
    <t>Заходи з енергозбереження</t>
  </si>
  <si>
    <t>1500000</t>
  </si>
  <si>
    <t>1510000</t>
  </si>
  <si>
    <t>Реалізація інших заходів щодо соціально-економічного розвитку територій</t>
  </si>
  <si>
    <t>Виконавчий комітет Чорноморської  міської ради  Одеського району Одеської області</t>
  </si>
  <si>
    <t>1518110</t>
  </si>
  <si>
    <t>8110</t>
  </si>
  <si>
    <t>Заходи із запобігання та ліквідації надзвичайних ситуацій та наслідків стихійного лиха</t>
  </si>
  <si>
    <t>Субвенція з місцевого бюджету державному бюджету на виконання програм соціально-економічного розвитку регіонів</t>
  </si>
  <si>
    <t>0320</t>
  </si>
  <si>
    <t>0212010</t>
  </si>
  <si>
    <t>2010</t>
  </si>
  <si>
    <t/>
  </si>
  <si>
    <t>Надання загальної середньої освіти закладами загальної середньої освіти за рахунок коштів місцевого бюджету</t>
  </si>
  <si>
    <t>6011</t>
  </si>
  <si>
    <t>1516013</t>
  </si>
  <si>
    <t>6013</t>
  </si>
  <si>
    <t>1516015</t>
  </si>
  <si>
    <t>7370</t>
  </si>
  <si>
    <t>1517640</t>
  </si>
  <si>
    <t>7640</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</si>
  <si>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</si>
  <si>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</si>
  <si>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Фiнансове управлiння Чорноморської мiської ради Одеського району Одеської областi</t>
  </si>
  <si>
    <t>3719800</t>
  </si>
  <si>
    <t>9800</t>
  </si>
  <si>
    <t>до рішення Чорноморської міської ради</t>
  </si>
  <si>
    <t>0380</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</si>
  <si>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</si>
  <si>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0611010</t>
  </si>
  <si>
    <t>1010</t>
  </si>
  <si>
    <t>0910</t>
  </si>
  <si>
    <t>Надання дошкільної освіти</t>
  </si>
  <si>
    <t>0618110</t>
  </si>
  <si>
    <t>Найменування робіт</t>
  </si>
  <si>
    <t>0218240</t>
  </si>
  <si>
    <t>8240</t>
  </si>
  <si>
    <t>Заходи та роботи з територіальної оборони</t>
  </si>
  <si>
    <t>Придбання затворів (засувок) з демонтажними вставками для заміни на водогонах</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</si>
  <si>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</si>
  <si>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Додаток 5</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</si>
  <si>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</si>
  <si>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Управління освіти Чорноморської  міської ради  Одеського району Одеської області</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</si>
  <si>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</si>
  <si>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</si>
  <si>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</si>
  <si>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</si>
  <si>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</si>
  <si>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</si>
  <si>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</si>
  <si>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</si>
  <si>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</si>
  <si>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</si>
  <si>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</si>
  <si>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</si>
  <si>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Реконструкція скверу за адресою: Одеська область, м.Чорноморськ, проспект Миру, 14. Коригування</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</si>
  <si>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</si>
  <si>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</si>
  <si>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</si>
  <si>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</si>
  <si>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</si>
  <si>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</si>
  <si>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</si>
  <si>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</si>
  <si>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</si>
  <si>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</si>
  <si>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</si>
  <si>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</si>
  <si>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</si>
  <si>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2"/>
        <rFont val="Times New Roman"/>
        <family val="1"/>
        <charset val="204"/>
      </rPr>
      <t>Капітальні видатки</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</si>
  <si>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2"/>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</si>
  <si>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2"/>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</si>
  <si>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</si>
  <si>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</si>
  <si>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</si>
  <si>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</si>
  <si>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</si>
  <si>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вул.1 Травня, 2 (розробка пректно-кошторисної документації, експертиза)</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</si>
  <si>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</si>
  <si>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вул.Лазурна, 7 (1)</t>
    </r>
  </si>
  <si>
    <r>
      <t>Капітальний ремонт (заміна) ліфтів за адресою: м. Чорноморськ,</t>
    </r>
    <r>
      <rPr>
        <sz val="12"/>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</si>
  <si>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</si>
  <si>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</si>
  <si>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</si>
  <si>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</si>
  <si>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</si>
  <si>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вул.Парусна, 10 (2)</t>
    </r>
  </si>
  <si>
    <r>
      <t>Капітальний ремонт (заміна) ліфтів за адресою: м. Чорноморськ,</t>
    </r>
    <r>
      <rPr>
        <sz val="12"/>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</si>
  <si>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вул.1 Травня, 5 (1)</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</si>
  <si>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</si>
  <si>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</si>
  <si>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</si>
  <si>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7</t>
    </r>
  </si>
  <si>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</si>
  <si>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0212111</t>
  </si>
  <si>
    <t>2111</t>
  </si>
  <si>
    <t>0726</t>
  </si>
  <si>
    <t xml:space="preserve"> Первинна медична допомога населенню, що надається центрами первинної медичної (медико-санітарної) допомоги</t>
  </si>
  <si>
    <t>0217350</t>
  </si>
  <si>
    <t>7350</t>
  </si>
  <si>
    <t>0443</t>
  </si>
  <si>
    <t>Розроблення схем планування та забудови територій (містобудівної документації)</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</si>
  <si>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</si>
  <si>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0218210</t>
  </si>
  <si>
    <t>8210</t>
  </si>
  <si>
    <t>Муніципальні формування з охорони громадського порядку</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</si>
  <si>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</si>
  <si>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</si>
  <si>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</si>
  <si>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</si>
  <si>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</si>
  <si>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0160</t>
  </si>
  <si>
    <t>0111</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</si>
  <si>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</si>
  <si>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</si>
  <si>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</si>
  <si>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</si>
  <si>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3719770</t>
  </si>
  <si>
    <t>9770</t>
  </si>
  <si>
    <t>Інші субвенції з місцевого бюджету</t>
  </si>
  <si>
    <t>Міська цільова соціальна програма розвитку цивільного захисту Чорноморської міської територіальної громади на 2021-2025 роки</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</si>
  <si>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</si>
  <si>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</si>
  <si>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</si>
  <si>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</si>
  <si>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Обсяг видатків бюджету розвитку на 2024 рік, грн</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</si>
  <si>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</si>
  <si>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</si>
  <si>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0217520</t>
  </si>
  <si>
    <t>7520</t>
  </si>
  <si>
    <t>0460</t>
  </si>
  <si>
    <t>Реалізація Національної програми інформатизації</t>
  </si>
  <si>
    <t>0218230</t>
  </si>
  <si>
    <t>8230</t>
  </si>
  <si>
    <t>Інші заходи громадського порядку та безпеки</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</si>
  <si>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</si>
  <si>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</si>
  <si>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</si>
  <si>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</si>
  <si>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</si>
  <si>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0800000</t>
  </si>
  <si>
    <t>Управління соціальної політики Чорноморської  міської ради  Одеського району Одеської області</t>
  </si>
  <si>
    <t>0810000</t>
  </si>
  <si>
    <t>0813221</t>
  </si>
  <si>
    <t>3221</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</si>
  <si>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</si>
  <si>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</si>
  <si>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</si>
  <si>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</si>
  <si>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Капітальний ремонт фасаду житлового будинку за адресою: Одеська область, Одеський район, м.Чорноморськ, вул.Паркова, 22-А (ОСББ "Паркова - 22-А")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</si>
  <si>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</si>
  <si>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t>1216017</t>
  </si>
  <si>
    <t>6017</t>
  </si>
  <si>
    <t>Інша діяльність, пов`язана з експлуатацією об`єктів житлово-комунального господарства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</si>
  <si>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</si>
  <si>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Придбання пристроїв резервного живлення для світлофорних об'єктів</t>
  </si>
  <si>
    <t>Капітальний ремонт покрівлі житлового багатоквартирного будинку № 20 по вул.Парусна, м.Чорноморськ</t>
  </si>
  <si>
    <t>1517310</t>
  </si>
  <si>
    <t>7310</t>
  </si>
  <si>
    <t>Будівництво об'єктів житлово-комунального господарства</t>
  </si>
  <si>
    <t>Збільшення електропотужностей для 13-го мікрорайону міста Чорноморськ, Одеської області</t>
  </si>
  <si>
    <r>
      <t>Виготовлення проектно-кошторисної документації по об'єкту "К</t>
    </r>
    <r>
      <rPr>
        <sz val="12"/>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</si>
  <si>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2"/>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</si>
  <si>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r>
      <t xml:space="preserve">Реконструкція водопровідної мережі по </t>
    </r>
    <r>
      <rPr>
        <sz val="12"/>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</si>
  <si>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2"/>
        <color indexed="8"/>
        <rFont val="Times New Roman"/>
        <family val="1"/>
        <charset val="204"/>
      </rPr>
      <t>м.Чорноморськ, вул.Паркова, 46-50</t>
    </r>
  </si>
  <si>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</si>
  <si>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</si>
  <si>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</si>
  <si>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</si>
  <si>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</si>
  <si>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</si>
  <si>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Олександрівська селищна адміністрація Чорноморської міської ради Одеського району Одеської області - придбання автомобіля</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</si>
  <si>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</si>
  <si>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</si>
  <si>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0212100</t>
  </si>
  <si>
    <t>2100</t>
  </si>
  <si>
    <t>0722</t>
  </si>
  <si>
    <t>Стоматологічна допомога населенню</t>
  </si>
  <si>
    <t>Капітальні видатки - придбання основного капіталу</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</si>
  <si>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</si>
  <si>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</si>
  <si>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0218110</t>
  </si>
  <si>
    <t>Олександрівська селищна адміністрація Чорноморської міської ради Одеського району Одеської області - придбання зарядної станції</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</si>
  <si>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</si>
  <si>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</si>
  <si>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</si>
  <si>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</si>
  <si>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Придбання автомобіля</t>
  </si>
  <si>
    <t>Придбання шкільного автобуса</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</si>
  <si>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</si>
  <si>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</si>
  <si>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</si>
  <si>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0617520</t>
  </si>
  <si>
    <t>0813121</t>
  </si>
  <si>
    <t>3121</t>
  </si>
  <si>
    <t>1040</t>
  </si>
  <si>
    <t>Утримання та забезпечення діяльності центрів соціальних служб</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</si>
  <si>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</si>
  <si>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0813222</t>
  </si>
  <si>
    <t>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</si>
  <si>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</si>
  <si>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0900000</t>
  </si>
  <si>
    <t>Служба у справах дітей Чорноморської  міської ради  Одеського району Одеської області</t>
  </si>
  <si>
    <t>0910000</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</si>
  <si>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</si>
  <si>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</si>
  <si>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</si>
  <si>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</si>
  <si>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1000000</t>
  </si>
  <si>
    <t>Відділ культури Чорноморської  міської ради  Одеського району Одеської області</t>
  </si>
  <si>
    <t>1010000</t>
  </si>
  <si>
    <t>1014040</t>
  </si>
  <si>
    <t>4040</t>
  </si>
  <si>
    <t>0824</t>
  </si>
  <si>
    <t>Забезпечення діяльності музеїв і виставок</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</si>
  <si>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</si>
  <si>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</si>
  <si>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</si>
  <si>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Капітальний ремонт, заміна каналізаційних відпусків багатоквартирного будинку за адресою: м.Чорноморськ, вул.Олександрійська, 20</t>
  </si>
  <si>
    <t>Капітальний ремонт, заміна каналізаційних відпусків багатоквартирного будинку за адресою: м.Чорноморськ, вул.Олександрійська, 22</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</si>
  <si>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</si>
  <si>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</si>
  <si>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Придбання насосних станцій підвищення тиску на ВНС м.Чорноморська Одеського району Одеської області</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</si>
  <si>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</si>
  <si>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</si>
  <si>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</si>
  <si>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</si>
  <si>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</si>
  <si>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тенту для КП "МУЖКГ"</t>
  </si>
  <si>
    <t>1217520</t>
  </si>
  <si>
    <t>1217670</t>
  </si>
  <si>
    <t>7670</t>
  </si>
  <si>
    <t>Внески до статутного капіталу суб'єктів господарювання</t>
  </si>
  <si>
    <t>Придбання вантажопасажирського  бортового автомобіля для  КП "МУЖКГ"</t>
  </si>
  <si>
    <t>Придбання вакуумного прибиральника (пилососа) для КП "МУЖКГ"</t>
  </si>
  <si>
    <t>Придбання вантажного електричного трициклу для КП "МУЖКГ"</t>
  </si>
  <si>
    <t>Придбання трактора для КП "МУЖКГ"</t>
  </si>
  <si>
    <t>Придбання дровоколу гідравлічного для  КП "Зеленгосп"</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</si>
  <si>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</si>
  <si>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</si>
  <si>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вакуумного садового пилососу для КП "Зеленгосп"</t>
  </si>
  <si>
    <t>Придбання зварювального терморезисторного апарату для КП "Чорноморськводоканал"</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</si>
  <si>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</si>
  <si>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</si>
  <si>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автоцистерни для транспортування та роздачі питної води для КП "Чорноморськводоканал"</t>
  </si>
  <si>
    <t>Придбання мережевих насосів для КП "Чорноморськтеплоенерго"</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</si>
  <si>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</si>
  <si>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Придбання обладнання і предметів довгострокового користування / генератора</t>
  </si>
  <si>
    <t>1218733</t>
  </si>
  <si>
    <t>8733</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</si>
  <si>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</si>
  <si>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</si>
  <si>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</si>
  <si>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1516017</t>
  </si>
  <si>
    <t>Інша діяльність, пов'язана з експлуатацією об'єктів житлово-комунального господарства</t>
  </si>
  <si>
    <t>Модернізація та енергоефективність бювета, що розташований за адресою: Одеська область, Одеський район, м.Чорноморськ, вул.Парусна, 4-б (проектні роботи)</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</si>
  <si>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</si>
  <si>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Будівництво станції знезараження питної води діоксиду хлору за адресою: Одеська область, Одеський район, с.Великий Дальник, вул.Маяцька, 21 (проектні роботи)</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</si>
  <si>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</si>
  <si>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</si>
  <si>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1517373</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</si>
  <si>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</si>
  <si>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</si>
  <si>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</si>
  <si>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3100000</t>
  </si>
  <si>
    <t>Управління комунальної власності та земельних відносин Чорноморської мiської ради Одеського району Одеської областi</t>
  </si>
  <si>
    <t>3110000</t>
  </si>
  <si>
    <t>3117693</t>
  </si>
  <si>
    <t>7693</t>
  </si>
  <si>
    <t>Інші заходи, пов`язані з економічною діяльністю</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</si>
  <si>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</si>
  <si>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цільова програма фінансової підтримки Іллічівського міського суду Одеської області на 2024 рік</t>
  </si>
  <si>
    <t>Міська цільова програма підтримки Департаменту кіберполіції  Національної  поліції  України на 2024 рік</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</si>
  <si>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</si>
  <si>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Начальник фінансового управління                                                                                          Ольга ЯКОВЕНКО</t>
  </si>
  <si>
    <r>
      <t>Реконструкція напірного каналізаційного колектору за адресою: Одеська область, Одеський район, м.Чорноморськ,</t>
    </r>
    <r>
      <rPr>
        <sz val="12"/>
        <color indexed="8"/>
        <rFont val="Times New Roman"/>
        <family val="1"/>
        <charset val="204"/>
      </rPr>
      <t xml:space="preserve"> від вул.Космонавтів, 59Г в с.Малодолинське до вул.Світла, 51 в смт.Олександрівка</t>
    </r>
  </si>
  <si>
    <t xml:space="preserve">Звіт про використання коштів бюджету розвитку у складі бюджету Чорноморської міської територіальної громади  за 2024 рік </t>
  </si>
  <si>
    <t>від                          2025 №      - VІII</t>
  </si>
  <si>
    <t>Виконано за звітний період (рік), грн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</si>
</sst>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6">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color theme="1"/>
      <name val="Calibri"/>
      <family val="2"/>
      <charset val="204"/>
      <scheme val="minor"/>
    </font>
    <font>
      <sz val="11"/>
      <color indexed="8"/>
      <name val="Calibri"/>
      <family val="2"/>
      <charset val="204"/>
    </font>
    <font>
      <sz val="13"/>
      <color indexed="12"/>
      <name val="Times New Roman"/>
      <family val="1"/>
    </font>
    <font>
      <sz val="14"/>
      <name val="Times New Roman"/>
      <family val="1"/>
      <charset val="204"/>
    </font>
    <font>
      <b/>
      <sz val="16"/>
      <name val="Times New Roman"/>
      <family val="1"/>
      <charset val="204"/>
    </font>
    <font>
      <sz val="16"/>
      <name val="Times New Roman"/>
      <family val="1"/>
      <charset val="204"/>
    </font>
    <font>
      <u/>
      <sz val="10"/>
      <color indexed="12"/>
      <name val="Arial Cyr"/>
      <charset val="204"/>
    </font>
    <font>
      <b/>
      <sz val="10"/>
      <name val="Times New Roman"/>
      <family val="1"/>
    </font>
    <font>
      <sz val="10"/>
      <name val="Times New Roman"/>
      <family val="1"/>
    </font>
    <font>
      <sz val="10"/>
      <color theme="1"/>
      <name val="Times New Roman"/>
      <family val="1"/>
      <charset val="204"/>
    </font>
    <font>
      <sz val="10"/>
      <color rgb="FF000000"/>
      <name val="Arimo"/>
    </font>
    <font>
      <sz val="11"/>
      <color theme="1"/>
      <name val="Calibri"/>
      <family val="2"/>
      <scheme val="minor"/>
    </font>
    <font>
      <sz val="11"/>
      <color theme="1"/>
      <name val="Calibri"/>
      <family val="2"/>
      <charset val="204"/>
      <scheme val="minor"/>
    </font>
    <font>
      <sz val="12"/>
      <color theme="1"/>
      <name val="Times New Roman"/>
      <family val="1"/>
      <charset val="204"/>
    </font>
    <font>
      <i/>
      <sz val="12"/>
      <name val="Times New Roman"/>
      <family val="1"/>
      <charset val="204"/>
    </font>
    <font>
      <i/>
      <sz val="12"/>
      <color theme="1"/>
      <name val="Times New Roman"/>
      <family val="1"/>
      <charset val="204"/>
    </font>
    <font>
      <sz val="12"/>
      <color indexed="8"/>
      <name val="Times New Roman"/>
      <family val="1"/>
      <charset val="204"/>
    </font>
    <font>
      <sz val="10"/>
      <color indexed="8"/>
      <name val="Arial"/>
      <family val="2"/>
      <charset val="204"/>
    </font>
    <font>
      <sz val="10"/>
      <name val="Times New Roman"/>
      <family val="1"/>
      <charset val="204"/>
    </font>
    <font>
      <b/>
      <sz val="12"/>
      <color theme="1"/>
      <name val="Times New Roman"/>
      <family val="1"/>
      <charset val="204"/>
    </font>
    <font>
      <b/>
      <vertAlign val="superscript"/>
      <sz val="12"/>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164" fontId="1" fillId="0" borderId="0" applyFont="0" applyFill="0" applyBorder="0" applyAlignment="0" applyProtection="0"/>
    <xf numFmtId="0" fontId="4" fillId="0" borderId="0"/>
    <xf numFmtId="0" fontId="5" fillId="0" borderId="0"/>
    <xf numFmtId="0" fontId="10" fillId="0" borderId="0" applyNumberFormat="0" applyFill="0" applyBorder="0" applyAlignment="0" applyProtection="0">
      <alignment vertical="top"/>
      <protection locked="0"/>
    </xf>
    <xf numFmtId="0" fontId="1" fillId="0" borderId="0"/>
    <xf numFmtId="0" fontId="14" fillId="0" borderId="0"/>
    <xf numFmtId="0" fontId="15" fillId="0" borderId="0"/>
    <xf numFmtId="9" fontId="16" fillId="0" borderId="0" applyFont="0" applyFill="0" applyBorder="0" applyAlignment="0" applyProtection="0"/>
    <xf numFmtId="0" fontId="21" fillId="0" borderId="0"/>
  </cellStyleXfs>
  <cellXfs count="97">
    <xf numFmtId="0" fontId="0" fillId="0" borderId="0" xfId="0"/>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vertical="center"/>
    </xf>
    <xf numFmtId="0" fontId="9" fillId="2" borderId="0" xfId="0" applyFont="1" applyFill="1"/>
    <xf numFmtId="0" fontId="8" fillId="2" borderId="0" xfId="0" applyFont="1" applyFill="1" applyAlignment="1">
      <alignment horizontal="center" vertical="center" wrapText="1"/>
    </xf>
    <xf numFmtId="0" fontId="12" fillId="0" borderId="5" xfId="5" applyFont="1" applyBorder="1" applyAlignment="1" applyProtection="1">
      <alignment horizontal="left"/>
    </xf>
    <xf numFmtId="0" fontId="11" fillId="0" borderId="0" xfId="5" applyFont="1" applyAlignment="1" applyProtection="1">
      <alignment horizontal="center"/>
    </xf>
    <xf numFmtId="9" fontId="6" fillId="2" borderId="0" xfId="9" applyFont="1" applyFill="1" applyAlignment="1">
      <alignment horizontal="left"/>
    </xf>
    <xf numFmtId="9" fontId="7" fillId="2" borderId="0" xfId="9" applyFont="1" applyFill="1"/>
    <xf numFmtId="9" fontId="7" fillId="2" borderId="0" xfId="9" applyFont="1" applyFill="1" applyAlignment="1">
      <alignment horizontal="center"/>
    </xf>
    <xf numFmtId="9" fontId="7" fillId="2" borderId="0" xfId="9" applyFont="1" applyFill="1" applyAlignment="1">
      <alignment horizontal="left" vertical="center"/>
    </xf>
    <xf numFmtId="49" fontId="2" fillId="2" borderId="1" xfId="0" applyNumberFormat="1" applyFont="1" applyFill="1" applyBorder="1" applyAlignment="1">
      <alignment horizontal="center"/>
    </xf>
    <xf numFmtId="0" fontId="3" fillId="2" borderId="0" xfId="0" applyFont="1" applyFill="1"/>
    <xf numFmtId="49" fontId="3"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1" xfId="0" quotePrefix="1" applyFont="1" applyFill="1" applyBorder="1" applyAlignment="1">
      <alignment vertical="center" wrapText="1"/>
    </xf>
    <xf numFmtId="49" fontId="17" fillId="2" borderId="1" xfId="0" applyNumberFormat="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3" fillId="2" borderId="1" xfId="4"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4" fontId="3" fillId="2" borderId="0" xfId="0" applyNumberFormat="1" applyFont="1" applyFill="1"/>
    <xf numFmtId="0" fontId="17" fillId="2" borderId="1" xfId="0" applyFont="1" applyFill="1" applyBorder="1" applyAlignment="1">
      <alignment vertical="center" wrapText="1"/>
    </xf>
    <xf numFmtId="0" fontId="17" fillId="0" borderId="1" xfId="0" applyFont="1" applyBorder="1" applyAlignment="1">
      <alignment vertical="center" wrapText="1"/>
    </xf>
    <xf numFmtId="0" fontId="3" fillId="2" borderId="1" xfId="0" quotePrefix="1" applyFont="1" applyFill="1" applyBorder="1" applyAlignment="1">
      <alignment vertical="center" wrapText="1"/>
    </xf>
    <xf numFmtId="0" fontId="17" fillId="2" borderId="1" xfId="0" quotePrefix="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left" wrapText="1"/>
    </xf>
    <xf numFmtId="0" fontId="9" fillId="2" borderId="0" xfId="0" applyFont="1" applyFill="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1" xfId="4" applyFont="1" applyFill="1" applyBorder="1" applyAlignment="1">
      <alignment horizontal="center" vertical="center" wrapText="1"/>
    </xf>
    <xf numFmtId="0" fontId="17" fillId="2" borderId="3" xfId="0" quotePrefix="1" applyFont="1" applyFill="1" applyBorder="1" applyAlignment="1">
      <alignment vertical="center" wrapText="1"/>
    </xf>
    <xf numFmtId="0" fontId="19" fillId="2" borderId="3" xfId="0" quotePrefix="1" applyFont="1" applyFill="1" applyBorder="1" applyAlignment="1">
      <alignment vertical="center" wrapText="1"/>
    </xf>
    <xf numFmtId="0" fontId="18" fillId="2" borderId="4" xfId="0" quotePrefix="1" applyFont="1" applyFill="1" applyBorder="1" applyAlignment="1">
      <alignment horizontal="left" vertical="center" wrapText="1"/>
    </xf>
    <xf numFmtId="0" fontId="3" fillId="2" borderId="4" xfId="4" applyFont="1" applyFill="1" applyBorder="1" applyAlignment="1">
      <alignment horizontal="left" vertical="center" wrapText="1"/>
    </xf>
    <xf numFmtId="0" fontId="17" fillId="2" borderId="1" xfId="8" quotePrefix="1" applyFont="1" applyFill="1" applyBorder="1" applyAlignment="1">
      <alignment vertical="center" wrapText="1"/>
    </xf>
    <xf numFmtId="49" fontId="17" fillId="2" borderId="1" xfId="0" quotePrefix="1" applyNumberFormat="1" applyFont="1" applyFill="1" applyBorder="1" applyAlignment="1">
      <alignment horizontal="center" vertical="center" wrapText="1"/>
    </xf>
    <xf numFmtId="3" fontId="3" fillId="2" borderId="0" xfId="0" applyNumberFormat="1" applyFont="1" applyFill="1"/>
    <xf numFmtId="0" fontId="20" fillId="2" borderId="1" xfId="8" quotePrefix="1" applyFont="1" applyFill="1" applyBorder="1" applyAlignment="1">
      <alignment vertical="center" wrapText="1"/>
    </xf>
    <xf numFmtId="0" fontId="17" fillId="2" borderId="4" xfId="8" quotePrefix="1" applyFont="1" applyFill="1" applyBorder="1" applyAlignment="1">
      <alignment vertical="center" wrapText="1"/>
    </xf>
    <xf numFmtId="0" fontId="17" fillId="2" borderId="1" xfId="10" quotePrefix="1" applyFont="1" applyFill="1" applyBorder="1" applyAlignment="1">
      <alignment vertical="center" wrapText="1"/>
    </xf>
    <xf numFmtId="49" fontId="19" fillId="2" borderId="1" xfId="0" quotePrefix="1" applyNumberFormat="1" applyFont="1" applyFill="1" applyBorder="1" applyAlignment="1">
      <alignment horizontal="center" vertical="center" wrapText="1"/>
    </xf>
    <xf numFmtId="0" fontId="18" fillId="2" borderId="1" xfId="0" quotePrefix="1" applyFont="1" applyFill="1" applyBorder="1" applyAlignment="1">
      <alignment horizontal="left" vertical="center" wrapText="1"/>
    </xf>
    <xf numFmtId="0" fontId="22" fillId="2" borderId="0" xfId="0" applyFont="1" applyFill="1"/>
    <xf numFmtId="0" fontId="17" fillId="0" borderId="4" xfId="8" applyFont="1" applyBorder="1" applyAlignment="1">
      <alignment horizontal="left" vertical="center" wrapText="1"/>
    </xf>
    <xf numFmtId="4" fontId="2"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3" fillId="0" borderId="1" xfId="0" quotePrefix="1" applyFont="1" applyBorder="1" applyAlignment="1">
      <alignment vertical="center" wrapText="1"/>
    </xf>
    <xf numFmtId="4" fontId="18" fillId="2"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17" fillId="0" borderId="1" xfId="8" applyFont="1" applyBorder="1" applyAlignment="1">
      <alignment horizontal="left" vertical="center" wrapText="1"/>
    </xf>
    <xf numFmtId="4" fontId="18" fillId="2" borderId="1" xfId="0" applyNumberFormat="1" applyFont="1" applyFill="1" applyBorder="1" applyAlignment="1">
      <alignment horizontal="center" vertical="center" wrapText="1"/>
    </xf>
    <xf numFmtId="0" fontId="18" fillId="2" borderId="1" xfId="8" applyFont="1" applyFill="1" applyBorder="1" applyAlignment="1">
      <alignment horizontal="left" vertical="center" wrapText="1"/>
    </xf>
    <xf numFmtId="4" fontId="18"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8" applyFont="1" applyFill="1" applyBorder="1" applyAlignment="1">
      <alignment horizontal="left" vertical="center" wrapText="1"/>
    </xf>
    <xf numFmtId="0" fontId="3" fillId="2" borderId="1" xfId="8" quotePrefix="1" applyFont="1" applyFill="1" applyBorder="1" applyAlignment="1">
      <alignment horizontal="left" vertical="center" wrapText="1"/>
    </xf>
    <xf numFmtId="0" fontId="3" fillId="2" borderId="0" xfId="0" applyFont="1" applyFill="1" applyAlignment="1">
      <alignment horizontal="center"/>
    </xf>
    <xf numFmtId="0" fontId="17" fillId="2" borderId="4" xfId="0" quotePrefix="1" applyFont="1" applyFill="1" applyBorder="1" applyAlignment="1">
      <alignment vertical="center" wrapText="1"/>
    </xf>
    <xf numFmtId="49" fontId="3" fillId="2" borderId="0" xfId="0" applyNumberFormat="1" applyFont="1" applyFill="1" applyAlignment="1">
      <alignment horizontal="center"/>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24" fillId="0" borderId="0" xfId="0" applyFont="1"/>
    <xf numFmtId="0" fontId="3" fillId="2" borderId="0" xfId="0" applyFont="1" applyFill="1" applyAlignment="1">
      <alignment horizontal="left" vertical="center"/>
    </xf>
    <xf numFmtId="0" fontId="25"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0" xfId="0" applyFont="1" applyFill="1"/>
    <xf numFmtId="4" fontId="7" fillId="2" borderId="0" xfId="0" applyNumberFormat="1" applyFont="1" applyFill="1"/>
    <xf numFmtId="0" fontId="2" fillId="2" borderId="3" xfId="4" applyFont="1" applyFill="1" applyBorder="1" applyAlignment="1">
      <alignment horizontal="center" vertical="center" wrapText="1"/>
    </xf>
    <xf numFmtId="0" fontId="2" fillId="2" borderId="4" xfId="4" applyFont="1" applyFill="1" applyBorder="1" applyAlignment="1">
      <alignment horizontal="center" vertical="center" wrapText="1"/>
    </xf>
    <xf numFmtId="0" fontId="2" fillId="2" borderId="3" xfId="4" applyFont="1" applyFill="1" applyBorder="1" applyAlignment="1">
      <alignment horizontal="center" wrapText="1"/>
    </xf>
    <xf numFmtId="0" fontId="2" fillId="2" borderId="4" xfId="4" applyFont="1" applyFill="1" applyBorder="1" applyAlignment="1">
      <alignment horizontal="center" wrapText="1"/>
    </xf>
    <xf numFmtId="0" fontId="22" fillId="2" borderId="2"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7" fillId="0" borderId="3" xfId="8" applyFont="1" applyBorder="1" applyAlignment="1">
      <alignment horizontal="left" vertical="center" wrapText="1"/>
    </xf>
    <xf numFmtId="0" fontId="17" fillId="0" borderId="4" xfId="8" applyFont="1" applyBorder="1" applyAlignment="1">
      <alignment horizontal="left" vertical="center" wrapText="1"/>
    </xf>
    <xf numFmtId="0" fontId="23" fillId="0" borderId="3" xfId="8" applyFont="1" applyBorder="1" applyAlignment="1">
      <alignment horizontal="center" vertical="center" wrapText="1"/>
    </xf>
    <xf numFmtId="0" fontId="23" fillId="0" borderId="4" xfId="8" applyFont="1" applyBorder="1" applyAlignment="1">
      <alignment horizontal="center" vertical="center" wrapText="1"/>
    </xf>
    <xf numFmtId="9" fontId="13" fillId="0" borderId="0" xfId="9" applyFont="1" applyAlignment="1">
      <alignment horizontal="left"/>
    </xf>
    <xf numFmtId="0" fontId="1" fillId="0" borderId="6" xfId="0" applyFont="1" applyBorder="1"/>
    <xf numFmtId="9" fontId="3" fillId="2" borderId="0" xfId="9" applyFont="1" applyFill="1" applyAlignment="1">
      <alignment horizontal="left"/>
    </xf>
    <xf numFmtId="9" fontId="17" fillId="0" borderId="0" xfId="9" applyFont="1" applyAlignment="1">
      <alignment horizontal="left"/>
    </xf>
    <xf numFmtId="0" fontId="2" fillId="2" borderId="0" xfId="0" applyFont="1" applyFill="1" applyAlignment="1">
      <alignment horizontal="center" vertical="center" wrapText="1"/>
    </xf>
    <xf numFmtId="0" fontId="11" fillId="0" borderId="0" xfId="5" applyFont="1" applyAlignment="1" applyProtection="1">
      <alignment horizontal="left"/>
    </xf>
  </cellXfs>
  <cellStyles count="11">
    <cellStyle name="Відсотковий" xfId="9" builtinId="5"/>
    <cellStyle name="Гіперпосилання" xfId="5" builtinId="8"/>
    <cellStyle name="Звичайний" xfId="0" builtinId="0"/>
    <cellStyle name="Звичайний 2" xfId="10"/>
    <cellStyle name="Обычный 10" xfId="7"/>
    <cellStyle name="Обычный 2" xfId="1"/>
    <cellStyle name="Обычный 2 2" xfId="6"/>
    <cellStyle name="Обычный 3" xfId="3"/>
    <cellStyle name="Обычный 9" xfId="8"/>
    <cellStyle name="Обычный_дод 3" xfId="4"/>
    <cellStyle name="Финансов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6"/>
  <sheetViews>
    <sheetView tabSelected="1" view="pageBreakPreview" zoomScale="80" zoomScaleNormal="90" zoomScaleSheetLayoutView="80" workbookViewId="0">
      <selection activeCell="G9" sqref="G9"/>
    </sheetView>
  </sheetViews>
  <sheetFormatPr defaultColWidth="9.109375" defaultRowHeight="18"/>
  <cols>
    <col min="1" max="1" width="15.88671875" style="2" customWidth="1"/>
    <col min="2" max="2" width="14.88671875" style="1" customWidth="1"/>
    <col min="3" max="3" width="16" style="1" customWidth="1"/>
    <col min="4" max="4" width="50" style="1" customWidth="1"/>
    <col min="5" max="5" width="55.5546875" style="3" customWidth="1"/>
    <col min="6" max="6" width="18.33203125" style="1" customWidth="1"/>
    <col min="7" max="7" width="18" style="1" customWidth="1"/>
    <col min="8" max="8" width="12.6640625" style="2" customWidth="1"/>
    <col min="9" max="9" width="24" style="1" customWidth="1"/>
    <col min="10" max="10" width="18.44140625" style="1" bestFit="1" customWidth="1"/>
    <col min="11" max="11" width="16.88671875" style="1" bestFit="1" customWidth="1"/>
    <col min="12" max="12" width="15.5546875" style="1" bestFit="1" customWidth="1"/>
    <col min="13" max="16384" width="9.109375" style="1"/>
  </cols>
  <sheetData>
    <row r="1" spans="1:9" s="9" customFormat="1">
      <c r="A1" s="8"/>
      <c r="D1" s="10"/>
      <c r="E1" s="11"/>
      <c r="F1" s="91" t="s">
        <v>75</v>
      </c>
      <c r="G1" s="91"/>
      <c r="H1" s="91"/>
    </row>
    <row r="2" spans="1:9" s="9" customFormat="1">
      <c r="A2" s="8"/>
      <c r="D2" s="10"/>
      <c r="E2" s="11"/>
      <c r="F2" s="93" t="s">
        <v>61</v>
      </c>
      <c r="G2" s="93"/>
      <c r="H2" s="93"/>
    </row>
    <row r="3" spans="1:9" s="9" customFormat="1">
      <c r="A3" s="8"/>
      <c r="D3" s="10"/>
      <c r="E3" s="11"/>
      <c r="F3" s="94" t="s">
        <v>312</v>
      </c>
      <c r="G3" s="94"/>
      <c r="H3" s="94"/>
    </row>
    <row r="4" spans="1:9" s="4" customFormat="1" ht="21">
      <c r="A4" s="95" t="s">
        <v>311</v>
      </c>
      <c r="B4" s="95"/>
      <c r="C4" s="95"/>
      <c r="D4" s="95"/>
      <c r="E4" s="95"/>
      <c r="F4" s="95"/>
      <c r="G4" s="95"/>
      <c r="H4" s="95"/>
    </row>
    <row r="5" spans="1:9" s="4" customFormat="1" ht="21">
      <c r="A5" s="96">
        <v>1558900000</v>
      </c>
      <c r="B5" s="96"/>
      <c r="C5" s="5"/>
      <c r="D5" s="5"/>
      <c r="E5" s="5"/>
      <c r="F5" s="5"/>
      <c r="G5" s="5"/>
      <c r="H5" s="36"/>
    </row>
    <row r="6" spans="1:9" s="4" customFormat="1" ht="21">
      <c r="A6" s="6" t="s">
        <v>11</v>
      </c>
      <c r="B6" s="7"/>
      <c r="C6" s="5"/>
      <c r="D6" s="5"/>
      <c r="E6" s="5"/>
      <c r="F6" s="5"/>
      <c r="G6" s="5"/>
      <c r="H6" s="36"/>
    </row>
    <row r="7" spans="1:9" s="54" customFormat="1" ht="18" customHeight="1">
      <c r="A7" s="85" t="s">
        <v>1</v>
      </c>
      <c r="B7" s="85" t="s">
        <v>2</v>
      </c>
      <c r="C7" s="85" t="s">
        <v>3</v>
      </c>
      <c r="D7" s="85" t="s">
        <v>4</v>
      </c>
      <c r="E7" s="85" t="s">
        <v>69</v>
      </c>
      <c r="F7" s="85" t="s">
        <v>160</v>
      </c>
      <c r="G7" s="85" t="s">
        <v>313</v>
      </c>
      <c r="H7" s="85" t="s">
        <v>0</v>
      </c>
    </row>
    <row r="8" spans="1:9" s="54" customFormat="1" ht="50.4" customHeight="1">
      <c r="A8" s="92"/>
      <c r="B8" s="92"/>
      <c r="C8" s="92"/>
      <c r="D8" s="86"/>
      <c r="E8" s="86"/>
      <c r="F8" s="86"/>
      <c r="G8" s="86"/>
      <c r="H8" s="86"/>
    </row>
    <row r="9" spans="1:9" s="79" customFormat="1" ht="13.2">
      <c r="A9" s="77">
        <v>1</v>
      </c>
      <c r="B9" s="77">
        <v>2</v>
      </c>
      <c r="C9" s="77">
        <v>3</v>
      </c>
      <c r="D9" s="78">
        <v>4</v>
      </c>
      <c r="E9" s="78">
        <v>5</v>
      </c>
      <c r="F9" s="78">
        <v>6</v>
      </c>
      <c r="G9" s="78">
        <v>7</v>
      </c>
      <c r="H9" s="78">
        <v>8</v>
      </c>
    </row>
    <row r="10" spans="1:9" s="13" customFormat="1" ht="15.6">
      <c r="A10" s="12" t="s">
        <v>12</v>
      </c>
      <c r="B10" s="12"/>
      <c r="C10" s="12"/>
      <c r="D10" s="83" t="s">
        <v>39</v>
      </c>
      <c r="E10" s="84"/>
      <c r="F10" s="56">
        <f t="shared" ref="F10:G10" si="0">F11</f>
        <v>12321296</v>
      </c>
      <c r="G10" s="56">
        <f t="shared" si="0"/>
        <v>7672908.7699999996</v>
      </c>
      <c r="H10" s="37">
        <f>G10/F10</f>
        <v>0.62273552798341991</v>
      </c>
      <c r="I10" s="48"/>
    </row>
    <row r="11" spans="1:9" s="13" customFormat="1" ht="15.6">
      <c r="A11" s="12" t="s">
        <v>13</v>
      </c>
      <c r="B11" s="14"/>
      <c r="C11" s="14"/>
      <c r="D11" s="83" t="s">
        <v>39</v>
      </c>
      <c r="E11" s="84"/>
      <c r="F11" s="56">
        <f>F12+F13+F21+F22+F25+F28+F29+F30+F31+F32</f>
        <v>12321296</v>
      </c>
      <c r="G11" s="56">
        <f>G12+G13+G21+G22+G25+G28+G29+G30+G31+G32</f>
        <v>7672908.7699999996</v>
      </c>
      <c r="H11" s="37">
        <f t="shared" ref="H11:H76" si="1">G11/F11</f>
        <v>0.62273552798341991</v>
      </c>
    </row>
    <row r="12" spans="1:9" s="13" customFormat="1" ht="78">
      <c r="A12" s="15" t="s">
        <v>203</v>
      </c>
      <c r="B12" s="15" t="s">
        <v>204</v>
      </c>
      <c r="C12" s="15" t="s">
        <v>147</v>
      </c>
      <c r="D12" s="40" t="s">
        <v>205</v>
      </c>
      <c r="E12" s="18" t="s">
        <v>206</v>
      </c>
      <c r="F12" s="57">
        <v>1100000</v>
      </c>
      <c r="G12" s="57">
        <v>1100000</v>
      </c>
      <c r="H12" s="38">
        <f t="shared" si="1"/>
        <v>1</v>
      </c>
    </row>
    <row r="13" spans="1:9" s="13" customFormat="1" ht="31.2">
      <c r="A13" s="15" t="s">
        <v>45</v>
      </c>
      <c r="B13" s="15" t="s">
        <v>46</v>
      </c>
      <c r="C13" s="15" t="s">
        <v>15</v>
      </c>
      <c r="D13" s="40" t="s">
        <v>16</v>
      </c>
      <c r="E13" s="18" t="s">
        <v>24</v>
      </c>
      <c r="F13" s="57">
        <f>SUM(F14:F20)</f>
        <v>4863749</v>
      </c>
      <c r="G13" s="57">
        <f>SUM(G14:G20)</f>
        <v>2670522.25</v>
      </c>
      <c r="H13" s="38">
        <f t="shared" si="1"/>
        <v>0.54906662535422779</v>
      </c>
    </row>
    <row r="14" spans="1:9" s="13" customFormat="1" ht="93.6">
      <c r="A14" s="15"/>
      <c r="B14" s="15"/>
      <c r="C14" s="15"/>
      <c r="D14" s="41"/>
      <c r="E14" s="25" t="s">
        <v>207</v>
      </c>
      <c r="F14" s="57">
        <v>334805</v>
      </c>
      <c r="G14" s="57">
        <v>334804.25</v>
      </c>
      <c r="H14" s="38">
        <f t="shared" si="1"/>
        <v>0.99999775989008532</v>
      </c>
    </row>
    <row r="15" spans="1:9" s="13" customFormat="1" ht="78">
      <c r="A15" s="15"/>
      <c r="B15" s="15"/>
      <c r="C15" s="15"/>
      <c r="D15" s="41"/>
      <c r="E15" s="25" t="s">
        <v>76</v>
      </c>
      <c r="F15" s="57">
        <f>1400000+700000</f>
        <v>2100000</v>
      </c>
      <c r="G15" s="57">
        <v>2099833</v>
      </c>
      <c r="H15" s="38">
        <f t="shared" si="1"/>
        <v>0.99992047619047619</v>
      </c>
    </row>
    <row r="16" spans="1:9" s="13" customFormat="1" ht="124.8">
      <c r="A16" s="15"/>
      <c r="B16" s="15"/>
      <c r="C16" s="15"/>
      <c r="D16" s="41"/>
      <c r="E16" s="45" t="s">
        <v>128</v>
      </c>
      <c r="F16" s="57">
        <f>66000-9440.93</f>
        <v>56559.07</v>
      </c>
      <c r="G16" s="57">
        <v>56559.07</v>
      </c>
      <c r="H16" s="38">
        <f t="shared" si="1"/>
        <v>1</v>
      </c>
    </row>
    <row r="17" spans="1:8" s="13" customFormat="1" ht="156">
      <c r="A17" s="15"/>
      <c r="B17" s="15"/>
      <c r="C17" s="15"/>
      <c r="D17" s="41"/>
      <c r="E17" s="49" t="s">
        <v>161</v>
      </c>
      <c r="F17" s="57">
        <v>47706</v>
      </c>
      <c r="G17" s="57">
        <v>47706</v>
      </c>
      <c r="H17" s="38">
        <f t="shared" si="1"/>
        <v>1</v>
      </c>
    </row>
    <row r="18" spans="1:8" s="13" customFormat="1" ht="124.8">
      <c r="A18" s="15"/>
      <c r="B18" s="15"/>
      <c r="C18" s="15"/>
      <c r="D18" s="41"/>
      <c r="E18" s="49" t="s">
        <v>208</v>
      </c>
      <c r="F18" s="57">
        <v>2193059</v>
      </c>
      <c r="G18" s="57"/>
      <c r="H18" s="38">
        <f t="shared" si="1"/>
        <v>0</v>
      </c>
    </row>
    <row r="19" spans="1:8" s="13" customFormat="1" ht="156">
      <c r="A19" s="15"/>
      <c r="B19" s="15"/>
      <c r="C19" s="15"/>
      <c r="D19" s="41"/>
      <c r="E19" s="46" t="s">
        <v>196</v>
      </c>
      <c r="F19" s="57">
        <v>47706</v>
      </c>
      <c r="G19" s="57">
        <v>47706</v>
      </c>
      <c r="H19" s="38">
        <f t="shared" si="1"/>
        <v>1</v>
      </c>
    </row>
    <row r="20" spans="1:8" s="13" customFormat="1" ht="62.4">
      <c r="A20" s="15"/>
      <c r="B20" s="15"/>
      <c r="C20" s="15"/>
      <c r="D20" s="41"/>
      <c r="E20" s="50" t="s">
        <v>162</v>
      </c>
      <c r="F20" s="57">
        <f>74473+9440.93</f>
        <v>83913.93</v>
      </c>
      <c r="G20" s="57">
        <v>83913.93</v>
      </c>
      <c r="H20" s="38">
        <f t="shared" si="1"/>
        <v>1</v>
      </c>
    </row>
    <row r="21" spans="1:8" s="13" customFormat="1" ht="15.6">
      <c r="A21" s="15" t="s">
        <v>209</v>
      </c>
      <c r="B21" s="15" t="s">
        <v>210</v>
      </c>
      <c r="C21" s="16" t="s">
        <v>211</v>
      </c>
      <c r="D21" s="17" t="s">
        <v>212</v>
      </c>
      <c r="E21" s="50" t="s">
        <v>213</v>
      </c>
      <c r="F21" s="57">
        <v>870000</v>
      </c>
      <c r="G21" s="57">
        <v>868180</v>
      </c>
      <c r="H21" s="38">
        <f t="shared" si="1"/>
        <v>0.99790804597701155</v>
      </c>
    </row>
    <row r="22" spans="1:8" s="13" customFormat="1" ht="46.8">
      <c r="A22" s="15" t="s">
        <v>129</v>
      </c>
      <c r="B22" s="15" t="s">
        <v>130</v>
      </c>
      <c r="C22" s="15" t="s">
        <v>131</v>
      </c>
      <c r="D22" s="25" t="s">
        <v>132</v>
      </c>
      <c r="E22" s="45" t="s">
        <v>24</v>
      </c>
      <c r="F22" s="57">
        <f>F23+F24</f>
        <v>2320500</v>
      </c>
      <c r="G22" s="57">
        <f>G23+G24</f>
        <v>881684.52</v>
      </c>
      <c r="H22" s="38">
        <f t="shared" si="1"/>
        <v>0.37995454427925018</v>
      </c>
    </row>
    <row r="23" spans="1:8" s="13" customFormat="1" ht="15.6">
      <c r="A23" s="15"/>
      <c r="B23" s="15"/>
      <c r="C23" s="15"/>
      <c r="D23" s="25"/>
      <c r="E23" s="45" t="s">
        <v>213</v>
      </c>
      <c r="F23" s="57">
        <f>1000000-36000-56200+130000-246600+4700</f>
        <v>795900</v>
      </c>
      <c r="G23" s="57">
        <v>783177.2</v>
      </c>
      <c r="H23" s="38">
        <f t="shared" si="1"/>
        <v>0.98401457469531339</v>
      </c>
    </row>
    <row r="24" spans="1:8" s="13" customFormat="1" ht="109.2">
      <c r="A24" s="15"/>
      <c r="B24" s="15"/>
      <c r="C24" s="15"/>
      <c r="D24" s="25"/>
      <c r="E24" s="45" t="s">
        <v>214</v>
      </c>
      <c r="F24" s="57">
        <v>1524600</v>
      </c>
      <c r="G24" s="57">
        <v>98507.32</v>
      </c>
      <c r="H24" s="38">
        <f t="shared" si="1"/>
        <v>6.4611911321002233E-2</v>
      </c>
    </row>
    <row r="25" spans="1:8" s="13" customFormat="1" ht="31.2">
      <c r="A25" s="15" t="s">
        <v>133</v>
      </c>
      <c r="B25" s="15" t="s">
        <v>134</v>
      </c>
      <c r="C25" s="22" t="s">
        <v>135</v>
      </c>
      <c r="D25" s="17" t="s">
        <v>136</v>
      </c>
      <c r="E25" s="45" t="s">
        <v>24</v>
      </c>
      <c r="F25" s="57">
        <f>F26+F27</f>
        <v>660000</v>
      </c>
      <c r="G25" s="57">
        <f>G26+G27</f>
        <v>259999</v>
      </c>
      <c r="H25" s="38">
        <f t="shared" si="1"/>
        <v>0.39393787878787878</v>
      </c>
    </row>
    <row r="26" spans="1:8" s="13" customFormat="1" ht="62.4">
      <c r="A26" s="15"/>
      <c r="B26" s="15"/>
      <c r="C26" s="22"/>
      <c r="D26" s="17"/>
      <c r="E26" s="45" t="s">
        <v>137</v>
      </c>
      <c r="F26" s="57">
        <f>260000</f>
        <v>260000</v>
      </c>
      <c r="G26" s="57">
        <v>259999</v>
      </c>
      <c r="H26" s="38">
        <f t="shared" si="1"/>
        <v>0.99999615384615381</v>
      </c>
    </row>
    <row r="27" spans="1:8" s="13" customFormat="1" ht="62.4">
      <c r="A27" s="15"/>
      <c r="B27" s="15"/>
      <c r="C27" s="22"/>
      <c r="D27" s="17"/>
      <c r="E27" s="45" t="s">
        <v>215</v>
      </c>
      <c r="F27" s="57">
        <f>400000</f>
        <v>400000</v>
      </c>
      <c r="G27" s="57"/>
      <c r="H27" s="38">
        <f t="shared" si="1"/>
        <v>0</v>
      </c>
    </row>
    <row r="28" spans="1:8" s="13" customFormat="1" ht="31.2">
      <c r="A28" s="15" t="s">
        <v>163</v>
      </c>
      <c r="B28" s="15" t="s">
        <v>164</v>
      </c>
      <c r="C28" s="22" t="s">
        <v>165</v>
      </c>
      <c r="D28" s="17" t="s">
        <v>166</v>
      </c>
      <c r="E28" s="23" t="s">
        <v>14</v>
      </c>
      <c r="F28" s="58">
        <f>58200+60000+75597+690000</f>
        <v>883797</v>
      </c>
      <c r="G28" s="58">
        <v>297277</v>
      </c>
      <c r="H28" s="38">
        <f t="shared" si="1"/>
        <v>0.33636344092591397</v>
      </c>
    </row>
    <row r="29" spans="1:8" s="13" customFormat="1" ht="46.8">
      <c r="A29" s="15" t="s">
        <v>216</v>
      </c>
      <c r="B29" s="15" t="s">
        <v>41</v>
      </c>
      <c r="C29" s="22" t="s">
        <v>44</v>
      </c>
      <c r="D29" s="42" t="s">
        <v>42</v>
      </c>
      <c r="E29" s="18" t="s">
        <v>217</v>
      </c>
      <c r="F29" s="58">
        <v>120000</v>
      </c>
      <c r="G29" s="58">
        <v>92000</v>
      </c>
      <c r="H29" s="38">
        <f t="shared" si="1"/>
        <v>0.76666666666666672</v>
      </c>
    </row>
    <row r="30" spans="1:8" s="13" customFormat="1" ht="31.2">
      <c r="A30" s="15" t="s">
        <v>138</v>
      </c>
      <c r="B30" s="15" t="s">
        <v>139</v>
      </c>
      <c r="C30" s="16" t="s">
        <v>62</v>
      </c>
      <c r="D30" s="17" t="s">
        <v>140</v>
      </c>
      <c r="E30" s="45" t="s">
        <v>14</v>
      </c>
      <c r="F30" s="57">
        <f>37299-1349</f>
        <v>35950</v>
      </c>
      <c r="G30" s="57">
        <v>35950</v>
      </c>
      <c r="H30" s="38">
        <f t="shared" si="1"/>
        <v>1</v>
      </c>
    </row>
    <row r="31" spans="1:8" s="13" customFormat="1" ht="15.6">
      <c r="A31" s="15" t="s">
        <v>167</v>
      </c>
      <c r="B31" s="15" t="s">
        <v>168</v>
      </c>
      <c r="C31" s="22" t="s">
        <v>62</v>
      </c>
      <c r="D31" s="17" t="s">
        <v>169</v>
      </c>
      <c r="E31" s="45" t="s">
        <v>14</v>
      </c>
      <c r="F31" s="57">
        <v>190800</v>
      </c>
      <c r="G31" s="57">
        <v>190796</v>
      </c>
      <c r="H31" s="38">
        <f t="shared" si="1"/>
        <v>0.99997903563941304</v>
      </c>
    </row>
    <row r="32" spans="1:8" s="13" customFormat="1" ht="109.2">
      <c r="A32" s="15" t="s">
        <v>70</v>
      </c>
      <c r="B32" s="15" t="s">
        <v>71</v>
      </c>
      <c r="C32" s="22" t="s">
        <v>62</v>
      </c>
      <c r="D32" s="17" t="s">
        <v>72</v>
      </c>
      <c r="E32" s="27" t="s">
        <v>104</v>
      </c>
      <c r="F32" s="57">
        <v>1276500</v>
      </c>
      <c r="G32" s="57">
        <v>1276500</v>
      </c>
      <c r="H32" s="38">
        <f t="shared" si="1"/>
        <v>1</v>
      </c>
    </row>
    <row r="33" spans="1:8" s="13" customFormat="1" ht="15.6">
      <c r="A33" s="12" t="s">
        <v>5</v>
      </c>
      <c r="B33" s="12"/>
      <c r="C33" s="12"/>
      <c r="D33" s="83" t="s">
        <v>77</v>
      </c>
      <c r="E33" s="84"/>
      <c r="F33" s="56">
        <f t="shared" ref="F33:G33" si="2">F34</f>
        <v>26555829.359999999</v>
      </c>
      <c r="G33" s="56">
        <f t="shared" si="2"/>
        <v>18365293.210000001</v>
      </c>
      <c r="H33" s="37">
        <f t="shared" si="1"/>
        <v>0.6915729484865164</v>
      </c>
    </row>
    <row r="34" spans="1:8" s="13" customFormat="1" ht="15.6">
      <c r="A34" s="12" t="s">
        <v>6</v>
      </c>
      <c r="B34" s="14"/>
      <c r="C34" s="14"/>
      <c r="D34" s="83" t="s">
        <v>77</v>
      </c>
      <c r="E34" s="84"/>
      <c r="F34" s="56">
        <f>F35+F40+F46+F49+F50+F51+F52+F53</f>
        <v>26555829.359999999</v>
      </c>
      <c r="G34" s="56">
        <f>G35+G40+G46+G49+G50+G51+G52+G53</f>
        <v>18365293.210000001</v>
      </c>
      <c r="H34" s="37">
        <f t="shared" si="1"/>
        <v>0.6915729484865164</v>
      </c>
    </row>
    <row r="35" spans="1:8" s="13" customFormat="1" ht="15.6">
      <c r="A35" s="15" t="s">
        <v>64</v>
      </c>
      <c r="B35" s="15" t="s">
        <v>65</v>
      </c>
      <c r="C35" s="15" t="s">
        <v>66</v>
      </c>
      <c r="D35" s="40" t="s">
        <v>67</v>
      </c>
      <c r="E35" s="18" t="s">
        <v>24</v>
      </c>
      <c r="F35" s="57">
        <f>SUM(F36:F39)</f>
        <v>5545713</v>
      </c>
      <c r="G35" s="57">
        <f>SUM(G36:G39)</f>
        <v>4471183.46</v>
      </c>
      <c r="H35" s="38">
        <f t="shared" si="1"/>
        <v>0.80624140845370107</v>
      </c>
    </row>
    <row r="36" spans="1:8" s="13" customFormat="1" ht="62.4">
      <c r="A36" s="15"/>
      <c r="B36" s="15"/>
      <c r="C36" s="22"/>
      <c r="D36" s="42"/>
      <c r="E36" s="59" t="s">
        <v>78</v>
      </c>
      <c r="F36" s="58">
        <f>1071430-166000</f>
        <v>905430</v>
      </c>
      <c r="G36" s="58">
        <v>904000</v>
      </c>
      <c r="H36" s="38">
        <f t="shared" si="1"/>
        <v>0.99842063991694552</v>
      </c>
    </row>
    <row r="37" spans="1:8" s="13" customFormat="1" ht="62.4">
      <c r="A37" s="15"/>
      <c r="B37" s="15"/>
      <c r="C37" s="22"/>
      <c r="D37" s="42"/>
      <c r="E37" s="59" t="s">
        <v>79</v>
      </c>
      <c r="F37" s="58">
        <f>1100000-30000</f>
        <v>1070000</v>
      </c>
      <c r="G37" s="58">
        <v>196963.46</v>
      </c>
      <c r="H37" s="38">
        <f t="shared" si="1"/>
        <v>0.18407799999999999</v>
      </c>
    </row>
    <row r="38" spans="1:8" s="13" customFormat="1" ht="78">
      <c r="A38" s="15"/>
      <c r="B38" s="15"/>
      <c r="C38" s="22"/>
      <c r="D38" s="42"/>
      <c r="E38" s="31" t="s">
        <v>80</v>
      </c>
      <c r="F38" s="58">
        <v>200000</v>
      </c>
      <c r="G38" s="58"/>
      <c r="H38" s="38">
        <f t="shared" si="1"/>
        <v>0</v>
      </c>
    </row>
    <row r="39" spans="1:8" s="13" customFormat="1" ht="78">
      <c r="A39" s="15"/>
      <c r="B39" s="15"/>
      <c r="C39" s="22"/>
      <c r="D39" s="42"/>
      <c r="E39" s="59" t="s">
        <v>141</v>
      </c>
      <c r="F39" s="58">
        <f>287283+2100000+953000+30000</f>
        <v>3370283</v>
      </c>
      <c r="G39" s="58">
        <v>3370220</v>
      </c>
      <c r="H39" s="38">
        <f t="shared" si="1"/>
        <v>0.99998130720773304</v>
      </c>
    </row>
    <row r="40" spans="1:8" s="13" customFormat="1" ht="46.8">
      <c r="A40" s="15" t="s">
        <v>21</v>
      </c>
      <c r="B40" s="15" t="s">
        <v>22</v>
      </c>
      <c r="C40" s="15" t="s">
        <v>23</v>
      </c>
      <c r="D40" s="40" t="s">
        <v>48</v>
      </c>
      <c r="E40" s="18" t="s">
        <v>24</v>
      </c>
      <c r="F40" s="57">
        <f>SUM(F41:F45)</f>
        <v>3606770</v>
      </c>
      <c r="G40" s="57">
        <f>SUM(G41:G45)</f>
        <v>3417980</v>
      </c>
      <c r="H40" s="38">
        <f t="shared" si="1"/>
        <v>0.94765676768965035</v>
      </c>
    </row>
    <row r="41" spans="1:8" s="13" customFormat="1" ht="46.8">
      <c r="A41" s="15"/>
      <c r="B41" s="15"/>
      <c r="C41" s="22"/>
      <c r="D41" s="42"/>
      <c r="E41" s="23" t="s">
        <v>81</v>
      </c>
      <c r="F41" s="58">
        <f>1173330-153000</f>
        <v>1020330</v>
      </c>
      <c r="G41" s="58">
        <v>1020000</v>
      </c>
      <c r="H41" s="38">
        <f t="shared" si="1"/>
        <v>0.99967657522566233</v>
      </c>
    </row>
    <row r="42" spans="1:8" s="13" customFormat="1" ht="46.8">
      <c r="A42" s="15"/>
      <c r="B42" s="15"/>
      <c r="C42" s="22"/>
      <c r="D42" s="42"/>
      <c r="E42" s="23" t="s">
        <v>82</v>
      </c>
      <c r="F42" s="58">
        <f>888180-108000</f>
        <v>780180</v>
      </c>
      <c r="G42" s="58">
        <v>780000</v>
      </c>
      <c r="H42" s="38">
        <f t="shared" si="1"/>
        <v>0.99976928401138199</v>
      </c>
    </row>
    <row r="43" spans="1:8" s="13" customFormat="1" ht="62.4">
      <c r="A43" s="15"/>
      <c r="B43" s="15"/>
      <c r="C43" s="22"/>
      <c r="D43" s="42"/>
      <c r="E43" s="23" t="s">
        <v>83</v>
      </c>
      <c r="F43" s="58">
        <f>193260-37000</f>
        <v>156260</v>
      </c>
      <c r="G43" s="58">
        <v>154000</v>
      </c>
      <c r="H43" s="38">
        <f t="shared" si="1"/>
        <v>0.98553692563675921</v>
      </c>
    </row>
    <row r="44" spans="1:8" s="13" customFormat="1" ht="124.8">
      <c r="A44" s="15"/>
      <c r="B44" s="15"/>
      <c r="C44" s="22"/>
      <c r="D44" s="42"/>
      <c r="E44" s="23" t="s">
        <v>170</v>
      </c>
      <c r="F44" s="58">
        <f>1720000-270000</f>
        <v>1450000</v>
      </c>
      <c r="G44" s="58">
        <v>1274996</v>
      </c>
      <c r="H44" s="38">
        <f t="shared" si="1"/>
        <v>0.87930758620689653</v>
      </c>
    </row>
    <row r="45" spans="1:8" s="13" customFormat="1" ht="93.6">
      <c r="A45" s="15"/>
      <c r="B45" s="15"/>
      <c r="C45" s="22"/>
      <c r="D45" s="42"/>
      <c r="E45" s="23" t="s">
        <v>218</v>
      </c>
      <c r="F45" s="58">
        <v>200000</v>
      </c>
      <c r="G45" s="58">
        <v>188984</v>
      </c>
      <c r="H45" s="38">
        <f t="shared" si="1"/>
        <v>0.94491999999999998</v>
      </c>
    </row>
    <row r="46" spans="1:8" s="13" customFormat="1" ht="31.2">
      <c r="A46" s="15" t="s">
        <v>219</v>
      </c>
      <c r="B46" s="15" t="s">
        <v>220</v>
      </c>
      <c r="C46" s="22" t="s">
        <v>144</v>
      </c>
      <c r="D46" s="42" t="s">
        <v>221</v>
      </c>
      <c r="E46" s="23" t="s">
        <v>24</v>
      </c>
      <c r="F46" s="58">
        <f>F47+F48</f>
        <v>4630000</v>
      </c>
      <c r="G46" s="58">
        <f>G47+G48</f>
        <v>4600000</v>
      </c>
      <c r="H46" s="38">
        <f t="shared" si="1"/>
        <v>0.99352051835853128</v>
      </c>
    </row>
    <row r="47" spans="1:8" s="13" customFormat="1" ht="15.6">
      <c r="A47" s="19"/>
      <c r="B47" s="19"/>
      <c r="C47" s="26"/>
      <c r="D47" s="43"/>
      <c r="E47" s="53" t="s">
        <v>222</v>
      </c>
      <c r="F47" s="60">
        <f>1130000+70000</f>
        <v>1200000</v>
      </c>
      <c r="G47" s="60">
        <v>1200000</v>
      </c>
      <c r="H47" s="39">
        <f t="shared" si="1"/>
        <v>1</v>
      </c>
    </row>
    <row r="48" spans="1:8" s="13" customFormat="1" ht="15.6">
      <c r="A48" s="19"/>
      <c r="B48" s="19"/>
      <c r="C48" s="26"/>
      <c r="D48" s="43"/>
      <c r="E48" s="53" t="s">
        <v>223</v>
      </c>
      <c r="F48" s="60">
        <f>3500000-70000</f>
        <v>3430000</v>
      </c>
      <c r="G48" s="60">
        <v>3400000</v>
      </c>
      <c r="H48" s="39">
        <f t="shared" si="1"/>
        <v>0.99125364431486884</v>
      </c>
    </row>
    <row r="49" spans="1:10" s="13" customFormat="1" ht="78">
      <c r="A49" s="15" t="s">
        <v>224</v>
      </c>
      <c r="B49" s="15" t="s">
        <v>225</v>
      </c>
      <c r="C49" s="22" t="s">
        <v>144</v>
      </c>
      <c r="D49" s="42" t="s">
        <v>226</v>
      </c>
      <c r="E49" s="23" t="s">
        <v>14</v>
      </c>
      <c r="F49" s="58">
        <v>1012084</v>
      </c>
      <c r="G49" s="58">
        <v>1011672</v>
      </c>
      <c r="H49" s="38">
        <f t="shared" si="1"/>
        <v>0.99959291916481241</v>
      </c>
    </row>
    <row r="50" spans="1:10" s="13" customFormat="1" ht="78">
      <c r="A50" s="15" t="s">
        <v>200</v>
      </c>
      <c r="B50" s="15" t="s">
        <v>201</v>
      </c>
      <c r="C50" s="22" t="s">
        <v>144</v>
      </c>
      <c r="D50" s="42" t="s">
        <v>202</v>
      </c>
      <c r="E50" s="23" t="s">
        <v>14</v>
      </c>
      <c r="F50" s="58">
        <v>2361528</v>
      </c>
      <c r="G50" s="58">
        <v>2361528</v>
      </c>
      <c r="H50" s="38">
        <f t="shared" si="1"/>
        <v>1</v>
      </c>
      <c r="J50" s="28"/>
    </row>
    <row r="51" spans="1:10" s="13" customFormat="1" ht="109.2">
      <c r="A51" s="15" t="s">
        <v>142</v>
      </c>
      <c r="B51" s="15" t="s">
        <v>143</v>
      </c>
      <c r="C51" s="15" t="s">
        <v>144</v>
      </c>
      <c r="D51" s="17" t="s">
        <v>145</v>
      </c>
      <c r="E51" s="23" t="s">
        <v>14</v>
      </c>
      <c r="F51" s="58">
        <f>656964+784845</f>
        <v>1441809</v>
      </c>
      <c r="G51" s="58">
        <v>1439753</v>
      </c>
      <c r="H51" s="38">
        <f t="shared" si="1"/>
        <v>0.99857401361761511</v>
      </c>
    </row>
    <row r="52" spans="1:10" s="13" customFormat="1" ht="31.2">
      <c r="A52" s="15" t="s">
        <v>227</v>
      </c>
      <c r="B52" s="15" t="s">
        <v>164</v>
      </c>
      <c r="C52" s="22" t="s">
        <v>165</v>
      </c>
      <c r="D52" s="17" t="s">
        <v>166</v>
      </c>
      <c r="E52" s="23" t="s">
        <v>14</v>
      </c>
      <c r="F52" s="58">
        <v>205000</v>
      </c>
      <c r="G52" s="58">
        <v>204900</v>
      </c>
      <c r="H52" s="38">
        <f t="shared" si="1"/>
        <v>0.99951219512195122</v>
      </c>
    </row>
    <row r="53" spans="1:10" s="13" customFormat="1" ht="31.2">
      <c r="A53" s="15" t="s">
        <v>68</v>
      </c>
      <c r="B53" s="15" t="s">
        <v>41</v>
      </c>
      <c r="C53" s="22" t="s">
        <v>44</v>
      </c>
      <c r="D53" s="42" t="s">
        <v>42</v>
      </c>
      <c r="E53" s="18" t="s">
        <v>24</v>
      </c>
      <c r="F53" s="57">
        <f>SUM(F54:F57)</f>
        <v>7752925.3600000003</v>
      </c>
      <c r="G53" s="57">
        <f>SUM(G54:G57)</f>
        <v>858276.75</v>
      </c>
      <c r="H53" s="38">
        <f t="shared" si="1"/>
        <v>0.11070360027302004</v>
      </c>
      <c r="J53" s="28"/>
    </row>
    <row r="54" spans="1:10" s="13" customFormat="1" ht="93.6">
      <c r="A54" s="15"/>
      <c r="B54" s="15"/>
      <c r="C54" s="22"/>
      <c r="D54" s="42"/>
      <c r="E54" s="23" t="s">
        <v>171</v>
      </c>
      <c r="F54" s="58">
        <f>1400000+383680+1822017-421900</f>
        <v>3183797</v>
      </c>
      <c r="G54" s="58">
        <v>383678.33</v>
      </c>
      <c r="H54" s="38">
        <f t="shared" si="1"/>
        <v>0.12050967131384319</v>
      </c>
    </row>
    <row r="55" spans="1:10" s="13" customFormat="1" ht="78">
      <c r="A55" s="15"/>
      <c r="B55" s="15"/>
      <c r="C55" s="22"/>
      <c r="D55" s="42"/>
      <c r="E55" s="23" t="s">
        <v>172</v>
      </c>
      <c r="F55" s="58">
        <f>900000+306196+667364-373200</f>
        <v>1500360</v>
      </c>
      <c r="G55" s="58">
        <v>306144.15000000002</v>
      </c>
      <c r="H55" s="38">
        <f t="shared" si="1"/>
        <v>0.20404712868911462</v>
      </c>
    </row>
    <row r="56" spans="1:10" s="13" customFormat="1" ht="78">
      <c r="A56" s="15"/>
      <c r="B56" s="15"/>
      <c r="C56" s="22"/>
      <c r="D56" s="42"/>
      <c r="E56" s="23" t="s">
        <v>173</v>
      </c>
      <c r="F56" s="58">
        <f>168768.36+5000000-3500000-100000</f>
        <v>1568768.3600000003</v>
      </c>
      <c r="G56" s="58">
        <v>168454.27</v>
      </c>
      <c r="H56" s="38">
        <f t="shared" si="1"/>
        <v>0.10737995123767026</v>
      </c>
    </row>
    <row r="57" spans="1:10" s="13" customFormat="1" ht="93.6">
      <c r="A57" s="15"/>
      <c r="B57" s="15"/>
      <c r="C57" s="22"/>
      <c r="D57" s="17"/>
      <c r="E57" s="23" t="s">
        <v>174</v>
      </c>
      <c r="F57" s="58">
        <f>2000000-500000</f>
        <v>1500000</v>
      </c>
      <c r="G57" s="58"/>
      <c r="H57" s="38">
        <f t="shared" si="1"/>
        <v>0</v>
      </c>
    </row>
    <row r="58" spans="1:10" s="13" customFormat="1" ht="15.6">
      <c r="A58" s="12" t="s">
        <v>175</v>
      </c>
      <c r="B58" s="12"/>
      <c r="C58" s="12"/>
      <c r="D58" s="83" t="s">
        <v>176</v>
      </c>
      <c r="E58" s="84"/>
      <c r="F58" s="56">
        <f t="shared" ref="F58:G58" si="3">F59</f>
        <v>19175497</v>
      </c>
      <c r="G58" s="56">
        <f t="shared" si="3"/>
        <v>19008989.640000001</v>
      </c>
      <c r="H58" s="37">
        <f t="shared" si="1"/>
        <v>0.99131666000625696</v>
      </c>
    </row>
    <row r="59" spans="1:10" s="13" customFormat="1" ht="15.6">
      <c r="A59" s="12" t="s">
        <v>177</v>
      </c>
      <c r="B59" s="14"/>
      <c r="C59" s="14"/>
      <c r="D59" s="83" t="s">
        <v>176</v>
      </c>
      <c r="E59" s="84"/>
      <c r="F59" s="56">
        <f>F60+F61+F62+F63</f>
        <v>19175497</v>
      </c>
      <c r="G59" s="56">
        <f>G60+G61+G62+G63</f>
        <v>19008989.640000001</v>
      </c>
      <c r="H59" s="37">
        <f t="shared" si="1"/>
        <v>0.99131666000625696</v>
      </c>
    </row>
    <row r="60" spans="1:10" s="13" customFormat="1" ht="93.6">
      <c r="A60" s="15" t="s">
        <v>228</v>
      </c>
      <c r="B60" s="15" t="s">
        <v>229</v>
      </c>
      <c r="C60" s="16" t="s">
        <v>230</v>
      </c>
      <c r="D60" s="17" t="s">
        <v>231</v>
      </c>
      <c r="E60" s="45" t="s">
        <v>232</v>
      </c>
      <c r="F60" s="57">
        <v>2000000</v>
      </c>
      <c r="G60" s="57">
        <v>1852020</v>
      </c>
      <c r="H60" s="38">
        <f t="shared" si="1"/>
        <v>0.92601</v>
      </c>
    </row>
    <row r="61" spans="1:10" s="13" customFormat="1" ht="145.80000000000001" customHeight="1">
      <c r="A61" s="15" t="s">
        <v>178</v>
      </c>
      <c r="B61" s="15" t="s">
        <v>179</v>
      </c>
      <c r="C61" s="16">
        <v>1060</v>
      </c>
      <c r="D61" s="87" t="s">
        <v>180</v>
      </c>
      <c r="E61" s="88"/>
      <c r="F61" s="58">
        <f>1859158+4332560</f>
        <v>6191718</v>
      </c>
      <c r="G61" s="58">
        <v>6185263.5099999998</v>
      </c>
      <c r="H61" s="38">
        <f t="shared" si="1"/>
        <v>0.99895756072870245</v>
      </c>
    </row>
    <row r="62" spans="1:10" s="13" customFormat="1" ht="148.80000000000001" customHeight="1">
      <c r="A62" s="15" t="s">
        <v>233</v>
      </c>
      <c r="B62" s="15" t="s">
        <v>234</v>
      </c>
      <c r="C62" s="16">
        <v>1060</v>
      </c>
      <c r="D62" s="87" t="s">
        <v>235</v>
      </c>
      <c r="E62" s="88"/>
      <c r="F62" s="58">
        <v>6239090</v>
      </c>
      <c r="G62" s="58">
        <v>6239089.0300000003</v>
      </c>
      <c r="H62" s="38">
        <f t="shared" si="1"/>
        <v>0.99999984452860913</v>
      </c>
    </row>
    <row r="63" spans="1:10" s="13" customFormat="1" ht="98.4" customHeight="1">
      <c r="A63" s="15" t="s">
        <v>181</v>
      </c>
      <c r="B63" s="15" t="s">
        <v>182</v>
      </c>
      <c r="C63" s="16">
        <v>1060</v>
      </c>
      <c r="D63" s="87" t="s">
        <v>183</v>
      </c>
      <c r="E63" s="88"/>
      <c r="F63" s="58">
        <v>4744689</v>
      </c>
      <c r="G63" s="58">
        <v>4732617.0999999996</v>
      </c>
      <c r="H63" s="38">
        <f t="shared" si="1"/>
        <v>0.99745570257608029</v>
      </c>
    </row>
    <row r="64" spans="1:10" s="13" customFormat="1" ht="15.6">
      <c r="A64" s="24" t="s">
        <v>236</v>
      </c>
      <c r="B64" s="24"/>
      <c r="C64" s="61"/>
      <c r="D64" s="89" t="s">
        <v>237</v>
      </c>
      <c r="E64" s="90"/>
      <c r="F64" s="62">
        <f>F65</f>
        <v>4231735</v>
      </c>
      <c r="G64" s="62">
        <f>G65</f>
        <v>0</v>
      </c>
      <c r="H64" s="37">
        <f t="shared" si="1"/>
        <v>0</v>
      </c>
      <c r="I64" s="48"/>
    </row>
    <row r="65" spans="1:10" s="13" customFormat="1" ht="15.6">
      <c r="A65" s="24" t="s">
        <v>238</v>
      </c>
      <c r="B65" s="24"/>
      <c r="C65" s="61"/>
      <c r="D65" s="89" t="s">
        <v>237</v>
      </c>
      <c r="E65" s="90"/>
      <c r="F65" s="62">
        <f>F66</f>
        <v>4231735</v>
      </c>
      <c r="G65" s="62">
        <f>G66</f>
        <v>0</v>
      </c>
      <c r="H65" s="37">
        <f t="shared" si="1"/>
        <v>0</v>
      </c>
    </row>
    <row r="66" spans="1:10" s="13" customFormat="1" ht="93.6">
      <c r="A66" s="15" t="s">
        <v>239</v>
      </c>
      <c r="B66" s="15" t="s">
        <v>240</v>
      </c>
      <c r="C66" s="22" t="s">
        <v>25</v>
      </c>
      <c r="D66" s="17" t="s">
        <v>241</v>
      </c>
      <c r="E66" s="55" t="s">
        <v>242</v>
      </c>
      <c r="F66" s="58">
        <v>4231735</v>
      </c>
      <c r="G66" s="58"/>
      <c r="H66" s="38">
        <f t="shared" si="1"/>
        <v>0</v>
      </c>
    </row>
    <row r="67" spans="1:10" s="13" customFormat="1" ht="15.6">
      <c r="A67" s="12" t="s">
        <v>243</v>
      </c>
      <c r="B67" s="12"/>
      <c r="C67" s="12"/>
      <c r="D67" s="83" t="s">
        <v>244</v>
      </c>
      <c r="E67" s="84"/>
      <c r="F67" s="56">
        <f>F68</f>
        <v>190000</v>
      </c>
      <c r="G67" s="56">
        <f>G68</f>
        <v>190000</v>
      </c>
      <c r="H67" s="37">
        <f t="shared" si="1"/>
        <v>1</v>
      </c>
    </row>
    <row r="68" spans="1:10" s="13" customFormat="1" ht="15.6">
      <c r="A68" s="12" t="s">
        <v>245</v>
      </c>
      <c r="B68" s="14"/>
      <c r="C68" s="14"/>
      <c r="D68" s="83" t="s">
        <v>244</v>
      </c>
      <c r="E68" s="84"/>
      <c r="F68" s="56">
        <f>F69</f>
        <v>190000</v>
      </c>
      <c r="G68" s="56">
        <f>G69</f>
        <v>190000</v>
      </c>
      <c r="H68" s="37">
        <f t="shared" si="1"/>
        <v>1</v>
      </c>
    </row>
    <row r="69" spans="1:10" s="13" customFormat="1" ht="15.6">
      <c r="A69" s="15" t="s">
        <v>246</v>
      </c>
      <c r="B69" s="15" t="s">
        <v>247</v>
      </c>
      <c r="C69" s="22" t="s">
        <v>248</v>
      </c>
      <c r="D69" s="63" t="s">
        <v>249</v>
      </c>
      <c r="E69" s="63" t="s">
        <v>14</v>
      </c>
      <c r="F69" s="58">
        <v>190000</v>
      </c>
      <c r="G69" s="58">
        <v>190000</v>
      </c>
      <c r="H69" s="38">
        <f t="shared" si="1"/>
        <v>1</v>
      </c>
    </row>
    <row r="70" spans="1:10" s="13" customFormat="1" ht="15.6">
      <c r="A70" s="12" t="s">
        <v>26</v>
      </c>
      <c r="B70" s="12"/>
      <c r="C70" s="12"/>
      <c r="D70" s="83" t="s">
        <v>84</v>
      </c>
      <c r="E70" s="84"/>
      <c r="F70" s="56">
        <f t="shared" ref="F70:G70" si="4">F71</f>
        <v>32130880.16</v>
      </c>
      <c r="G70" s="56">
        <f t="shared" si="4"/>
        <v>23669381.730000004</v>
      </c>
      <c r="H70" s="37">
        <f t="shared" si="1"/>
        <v>0.73665525538470045</v>
      </c>
    </row>
    <row r="71" spans="1:10" s="13" customFormat="1" ht="15.6">
      <c r="A71" s="12" t="s">
        <v>27</v>
      </c>
      <c r="B71" s="14"/>
      <c r="C71" s="14"/>
      <c r="D71" s="83" t="s">
        <v>84</v>
      </c>
      <c r="E71" s="84"/>
      <c r="F71" s="56">
        <f>F72+F92+F95+F98+F99+F102+F105+F106+F120+F126+F127</f>
        <v>32130880.16</v>
      </c>
      <c r="G71" s="56">
        <f>G72+G92+G95+G98+G99+G102+G105+G106+G120+G126+G127</f>
        <v>23669381.730000004</v>
      </c>
      <c r="H71" s="37">
        <f t="shared" si="1"/>
        <v>0.73665525538470045</v>
      </c>
    </row>
    <row r="72" spans="1:10" s="13" customFormat="1" ht="31.2">
      <c r="A72" s="15" t="s">
        <v>85</v>
      </c>
      <c r="B72" s="15" t="s">
        <v>49</v>
      </c>
      <c r="C72" s="22" t="s">
        <v>25</v>
      </c>
      <c r="D72" s="42" t="s">
        <v>28</v>
      </c>
      <c r="E72" s="18" t="s">
        <v>24</v>
      </c>
      <c r="F72" s="58">
        <f>F73+F80+F81+F82+F83+F84+F85+F86+F87+F88+F89+F90+F91</f>
        <v>5393826</v>
      </c>
      <c r="G72" s="58">
        <f>G73+G80+G81+G82+G83+G84+G85+G86+G87+G88+G89+G90+G91</f>
        <v>3375920.46</v>
      </c>
      <c r="H72" s="38">
        <f t="shared" si="1"/>
        <v>0.62588605194160873</v>
      </c>
    </row>
    <row r="73" spans="1:10" s="13" customFormat="1" ht="78">
      <c r="A73" s="15"/>
      <c r="B73" s="15"/>
      <c r="C73" s="22"/>
      <c r="D73" s="42"/>
      <c r="E73" s="17" t="s">
        <v>86</v>
      </c>
      <c r="F73" s="57">
        <f>F74+F75+F76+F77+F78+F79</f>
        <v>3741524</v>
      </c>
      <c r="G73" s="57">
        <f>G74+G75+G76+G77+G78+G79</f>
        <v>1966368.65</v>
      </c>
      <c r="H73" s="38">
        <f t="shared" si="1"/>
        <v>0.52555286295103276</v>
      </c>
    </row>
    <row r="74" spans="1:10" s="13" customFormat="1" ht="46.8">
      <c r="A74" s="15"/>
      <c r="B74" s="15"/>
      <c r="C74" s="22"/>
      <c r="D74" s="42"/>
      <c r="E74" s="21" t="s">
        <v>250</v>
      </c>
      <c r="F74" s="64">
        <v>45000</v>
      </c>
      <c r="G74" s="64"/>
      <c r="H74" s="39">
        <f t="shared" si="1"/>
        <v>0</v>
      </c>
    </row>
    <row r="75" spans="1:10" s="13" customFormat="1" ht="62.4">
      <c r="A75" s="15"/>
      <c r="B75" s="15"/>
      <c r="C75" s="22"/>
      <c r="D75" s="42"/>
      <c r="E75" s="21" t="s">
        <v>251</v>
      </c>
      <c r="F75" s="64">
        <v>360000</v>
      </c>
      <c r="G75" s="64">
        <v>340800.28</v>
      </c>
      <c r="H75" s="39">
        <f t="shared" si="1"/>
        <v>0.94666744444444451</v>
      </c>
    </row>
    <row r="76" spans="1:10" s="13" customFormat="1" ht="46.8">
      <c r="A76" s="15"/>
      <c r="B76" s="15"/>
      <c r="C76" s="22"/>
      <c r="D76" s="42"/>
      <c r="E76" s="65" t="s">
        <v>252</v>
      </c>
      <c r="F76" s="64">
        <v>90000</v>
      </c>
      <c r="G76" s="64">
        <v>53016.06</v>
      </c>
      <c r="H76" s="39">
        <f t="shared" si="1"/>
        <v>0.58906733333333328</v>
      </c>
    </row>
    <row r="77" spans="1:10" s="13" customFormat="1" ht="62.4">
      <c r="A77" s="15"/>
      <c r="B77" s="15"/>
      <c r="C77" s="22"/>
      <c r="D77" s="42"/>
      <c r="E77" s="21" t="s">
        <v>184</v>
      </c>
      <c r="F77" s="66">
        <f>973214-32514.68</f>
        <v>940699.32</v>
      </c>
      <c r="G77" s="66">
        <v>940547.46</v>
      </c>
      <c r="H77" s="39">
        <f t="shared" ref="H77:H140" si="5">G77/F77</f>
        <v>0.99983856690786166</v>
      </c>
      <c r="J77" s="28"/>
    </row>
    <row r="78" spans="1:10" s="13" customFormat="1" ht="62.4">
      <c r="A78" s="15"/>
      <c r="B78" s="15"/>
      <c r="C78" s="22"/>
      <c r="D78" s="42"/>
      <c r="E78" s="21" t="s">
        <v>87</v>
      </c>
      <c r="F78" s="66">
        <f>1878462+277921.81</f>
        <v>2156383.81</v>
      </c>
      <c r="G78" s="66">
        <v>482563.98</v>
      </c>
      <c r="H78" s="39">
        <f t="shared" si="5"/>
        <v>0.22378390051073513</v>
      </c>
    </row>
    <row r="79" spans="1:10" s="13" customFormat="1" ht="62.4">
      <c r="A79" s="15"/>
      <c r="B79" s="15"/>
      <c r="C79" s="22"/>
      <c r="D79" s="42"/>
      <c r="E79" s="21" t="s">
        <v>88</v>
      </c>
      <c r="F79" s="66">
        <f>192509-43068.13</f>
        <v>149440.87</v>
      </c>
      <c r="G79" s="66">
        <v>149440.87</v>
      </c>
      <c r="H79" s="39">
        <f t="shared" si="5"/>
        <v>1</v>
      </c>
    </row>
    <row r="80" spans="1:10" s="13" customFormat="1" ht="171.6">
      <c r="A80" s="15"/>
      <c r="B80" s="15"/>
      <c r="C80" s="22"/>
      <c r="D80" s="42"/>
      <c r="E80" s="17" t="s">
        <v>105</v>
      </c>
      <c r="F80" s="67">
        <f>158368.14+0.86</f>
        <v>158369</v>
      </c>
      <c r="G80" s="67">
        <v>158368.14000000001</v>
      </c>
      <c r="H80" s="38">
        <f t="shared" si="5"/>
        <v>0.99999456964431177</v>
      </c>
    </row>
    <row r="81" spans="1:9" s="13" customFormat="1" ht="171.6">
      <c r="A81" s="15"/>
      <c r="B81" s="15"/>
      <c r="C81" s="22"/>
      <c r="D81" s="42"/>
      <c r="E81" s="17" t="s">
        <v>106</v>
      </c>
      <c r="F81" s="67">
        <f>166805.43+0.57</f>
        <v>166806</v>
      </c>
      <c r="G81" s="67">
        <v>166805.43</v>
      </c>
      <c r="H81" s="38">
        <f t="shared" si="5"/>
        <v>0.99999658285673176</v>
      </c>
    </row>
    <row r="82" spans="1:9" s="13" customFormat="1" ht="78">
      <c r="A82" s="15"/>
      <c r="B82" s="15"/>
      <c r="C82" s="22"/>
      <c r="D82" s="42"/>
      <c r="E82" s="30" t="s">
        <v>107</v>
      </c>
      <c r="F82" s="67">
        <v>182708</v>
      </c>
      <c r="G82" s="67">
        <v>182707.09</v>
      </c>
      <c r="H82" s="38">
        <f t="shared" si="5"/>
        <v>0.99999501937517787</v>
      </c>
    </row>
    <row r="83" spans="1:9" s="13" customFormat="1" ht="62.4">
      <c r="A83" s="15"/>
      <c r="B83" s="15"/>
      <c r="C83" s="22"/>
      <c r="D83" s="42"/>
      <c r="E83" s="17" t="s">
        <v>108</v>
      </c>
      <c r="F83" s="67">
        <v>13964</v>
      </c>
      <c r="G83" s="67">
        <v>7600.27</v>
      </c>
      <c r="H83" s="38">
        <f t="shared" si="5"/>
        <v>0.54427599541678606</v>
      </c>
      <c r="I83" s="28"/>
    </row>
    <row r="84" spans="1:9" s="13" customFormat="1" ht="78">
      <c r="A84" s="15"/>
      <c r="B84" s="15"/>
      <c r="C84" s="22"/>
      <c r="D84" s="42"/>
      <c r="E84" s="30" t="s">
        <v>109</v>
      </c>
      <c r="F84" s="67">
        <v>151219</v>
      </c>
      <c r="G84" s="67">
        <v>151218.07</v>
      </c>
      <c r="H84" s="38">
        <f t="shared" si="5"/>
        <v>0.99999384997916929</v>
      </c>
    </row>
    <row r="85" spans="1:9" s="13" customFormat="1" ht="78">
      <c r="A85" s="15"/>
      <c r="B85" s="15"/>
      <c r="C85" s="22"/>
      <c r="D85" s="42"/>
      <c r="E85" s="30" t="s">
        <v>110</v>
      </c>
      <c r="F85" s="67">
        <v>151219</v>
      </c>
      <c r="G85" s="67">
        <v>151218.07</v>
      </c>
      <c r="H85" s="38">
        <f t="shared" si="5"/>
        <v>0.99999384997916929</v>
      </c>
    </row>
    <row r="86" spans="1:9" s="13" customFormat="1" ht="62.4">
      <c r="A86" s="15"/>
      <c r="B86" s="15"/>
      <c r="C86" s="22"/>
      <c r="D86" s="42"/>
      <c r="E86" s="17" t="s">
        <v>111</v>
      </c>
      <c r="F86" s="67">
        <v>13964</v>
      </c>
      <c r="G86" s="67">
        <v>7672.2</v>
      </c>
      <c r="H86" s="38">
        <f t="shared" si="5"/>
        <v>0.54942709825264968</v>
      </c>
    </row>
    <row r="87" spans="1:9" s="13" customFormat="1" ht="62.4">
      <c r="A87" s="15"/>
      <c r="B87" s="15"/>
      <c r="C87" s="22"/>
      <c r="D87" s="42"/>
      <c r="E87" s="30" t="s">
        <v>112</v>
      </c>
      <c r="F87" s="67">
        <v>147053</v>
      </c>
      <c r="G87" s="67">
        <v>147052.94</v>
      </c>
      <c r="H87" s="38">
        <f t="shared" si="5"/>
        <v>0.99999959198384258</v>
      </c>
    </row>
    <row r="88" spans="1:9" s="13" customFormat="1" ht="46.8">
      <c r="A88" s="15"/>
      <c r="B88" s="15"/>
      <c r="C88" s="22"/>
      <c r="D88" s="42"/>
      <c r="E88" s="30" t="s">
        <v>253</v>
      </c>
      <c r="F88" s="67">
        <v>94000</v>
      </c>
      <c r="G88" s="67">
        <v>49818.12</v>
      </c>
      <c r="H88" s="38">
        <f t="shared" si="5"/>
        <v>0.52998000000000001</v>
      </c>
    </row>
    <row r="89" spans="1:9" s="13" customFormat="1" ht="46.8">
      <c r="A89" s="15"/>
      <c r="B89" s="15"/>
      <c r="C89" s="22"/>
      <c r="D89" s="42"/>
      <c r="E89" s="30" t="s">
        <v>254</v>
      </c>
      <c r="F89" s="67">
        <v>61000</v>
      </c>
      <c r="G89" s="67">
        <v>43288.1</v>
      </c>
      <c r="H89" s="38">
        <f t="shared" si="5"/>
        <v>0.70964098360655736</v>
      </c>
    </row>
    <row r="90" spans="1:9" s="13" customFormat="1" ht="46.8">
      <c r="A90" s="15"/>
      <c r="B90" s="15"/>
      <c r="C90" s="22"/>
      <c r="D90" s="42"/>
      <c r="E90" s="17" t="s">
        <v>255</v>
      </c>
      <c r="F90" s="67">
        <f>300000-155000</f>
        <v>145000</v>
      </c>
      <c r="G90" s="67">
        <v>49266.61</v>
      </c>
      <c r="H90" s="38">
        <f t="shared" si="5"/>
        <v>0.33976972413793105</v>
      </c>
    </row>
    <row r="91" spans="1:9" s="13" customFormat="1" ht="46.8">
      <c r="A91" s="15"/>
      <c r="B91" s="15"/>
      <c r="C91" s="22"/>
      <c r="D91" s="42"/>
      <c r="E91" s="17" t="s">
        <v>256</v>
      </c>
      <c r="F91" s="67">
        <v>367000</v>
      </c>
      <c r="G91" s="67">
        <v>294536.77</v>
      </c>
      <c r="H91" s="38">
        <f t="shared" si="5"/>
        <v>0.8025525068119892</v>
      </c>
    </row>
    <row r="92" spans="1:9" s="13" customFormat="1" ht="31.2">
      <c r="A92" s="15" t="s">
        <v>148</v>
      </c>
      <c r="B92" s="15" t="s">
        <v>51</v>
      </c>
      <c r="C92" s="22" t="s">
        <v>18</v>
      </c>
      <c r="D92" s="42" t="s">
        <v>29</v>
      </c>
      <c r="E92" s="30" t="s">
        <v>24</v>
      </c>
      <c r="F92" s="67">
        <f>F93+F94</f>
        <v>2074563</v>
      </c>
      <c r="G92" s="67">
        <f>G93+G94</f>
        <v>2074562.5</v>
      </c>
      <c r="H92" s="38">
        <f t="shared" si="5"/>
        <v>0.99999975898538629</v>
      </c>
    </row>
    <row r="93" spans="1:9" s="13" customFormat="1" ht="15.6">
      <c r="A93" s="15"/>
      <c r="B93" s="15"/>
      <c r="C93" s="22"/>
      <c r="D93" s="42"/>
      <c r="E93" s="30" t="s">
        <v>149</v>
      </c>
      <c r="F93" s="67">
        <v>1244281</v>
      </c>
      <c r="G93" s="67">
        <v>1244281</v>
      </c>
      <c r="H93" s="38">
        <f t="shared" si="5"/>
        <v>1</v>
      </c>
    </row>
    <row r="94" spans="1:9" s="13" customFormat="1" ht="46.8">
      <c r="A94" s="15"/>
      <c r="B94" s="15"/>
      <c r="C94" s="22"/>
      <c r="D94" s="42"/>
      <c r="E94" s="68" t="s">
        <v>257</v>
      </c>
      <c r="F94" s="67">
        <v>830282</v>
      </c>
      <c r="G94" s="67">
        <v>830281.5</v>
      </c>
      <c r="H94" s="38">
        <f t="shared" si="5"/>
        <v>0.99999939779496605</v>
      </c>
    </row>
    <row r="95" spans="1:9" s="13" customFormat="1" ht="31.2">
      <c r="A95" s="15" t="s">
        <v>30</v>
      </c>
      <c r="B95" s="15" t="s">
        <v>31</v>
      </c>
      <c r="C95" s="22" t="s">
        <v>18</v>
      </c>
      <c r="D95" s="42" t="s">
        <v>32</v>
      </c>
      <c r="E95" s="18" t="s">
        <v>24</v>
      </c>
      <c r="F95" s="58">
        <f>F96</f>
        <v>1834392.76</v>
      </c>
      <c r="G95" s="58">
        <f>G96</f>
        <v>35060.639999999999</v>
      </c>
      <c r="H95" s="38">
        <f t="shared" si="5"/>
        <v>1.9112940676891899E-2</v>
      </c>
    </row>
    <row r="96" spans="1:9" s="13" customFormat="1" ht="78">
      <c r="A96" s="15"/>
      <c r="B96" s="15"/>
      <c r="C96" s="22"/>
      <c r="D96" s="42"/>
      <c r="E96" s="17" t="s">
        <v>185</v>
      </c>
      <c r="F96" s="58">
        <f>F97</f>
        <v>1834392.76</v>
      </c>
      <c r="G96" s="58">
        <f>G97</f>
        <v>35060.639999999999</v>
      </c>
      <c r="H96" s="38">
        <f t="shared" si="5"/>
        <v>1.9112940676891899E-2</v>
      </c>
    </row>
    <row r="97" spans="1:8" s="13" customFormat="1" ht="62.4">
      <c r="A97" s="19"/>
      <c r="B97" s="19"/>
      <c r="C97" s="26"/>
      <c r="D97" s="43"/>
      <c r="E97" s="21" t="s">
        <v>89</v>
      </c>
      <c r="F97" s="60">
        <f>495000+1485702-146309.24</f>
        <v>1834392.76</v>
      </c>
      <c r="G97" s="60">
        <v>35060.639999999999</v>
      </c>
      <c r="H97" s="39">
        <f t="shared" si="5"/>
        <v>1.9112940676891899E-2</v>
      </c>
    </row>
    <row r="98" spans="1:8" s="13" customFormat="1" ht="124.8">
      <c r="A98" s="15" t="s">
        <v>186</v>
      </c>
      <c r="B98" s="15" t="s">
        <v>187</v>
      </c>
      <c r="C98" s="16" t="s">
        <v>18</v>
      </c>
      <c r="D98" s="17" t="s">
        <v>188</v>
      </c>
      <c r="E98" s="23" t="s">
        <v>197</v>
      </c>
      <c r="F98" s="58">
        <v>1200000</v>
      </c>
      <c r="G98" s="58">
        <v>104038.2</v>
      </c>
      <c r="H98" s="38">
        <f t="shared" si="5"/>
        <v>8.6698499999999998E-2</v>
      </c>
    </row>
    <row r="99" spans="1:8" s="13" customFormat="1" ht="62.4">
      <c r="A99" s="15" t="s">
        <v>258</v>
      </c>
      <c r="B99" s="15" t="s">
        <v>259</v>
      </c>
      <c r="C99" s="22" t="s">
        <v>18</v>
      </c>
      <c r="D99" s="42" t="s">
        <v>260</v>
      </c>
      <c r="E99" s="23" t="s">
        <v>24</v>
      </c>
      <c r="F99" s="58">
        <f>F100+F101</f>
        <v>932973.4</v>
      </c>
      <c r="G99" s="58">
        <f>G100+G101</f>
        <v>932952</v>
      </c>
      <c r="H99" s="38">
        <f t="shared" si="5"/>
        <v>0.9999770625829203</v>
      </c>
    </row>
    <row r="100" spans="1:8" s="13" customFormat="1" ht="78">
      <c r="A100" s="15"/>
      <c r="B100" s="15"/>
      <c r="C100" s="22"/>
      <c r="D100" s="42"/>
      <c r="E100" s="23" t="s">
        <v>261</v>
      </c>
      <c r="F100" s="58">
        <f>126980-24008.6</f>
        <v>102971.4</v>
      </c>
      <c r="G100" s="58">
        <v>102971.4</v>
      </c>
      <c r="H100" s="38">
        <f t="shared" si="5"/>
        <v>1</v>
      </c>
    </row>
    <row r="101" spans="1:8" s="13" customFormat="1" ht="62.4">
      <c r="A101" s="15"/>
      <c r="B101" s="15"/>
      <c r="C101" s="22"/>
      <c r="D101" s="42"/>
      <c r="E101" s="23" t="s">
        <v>262</v>
      </c>
      <c r="F101" s="58">
        <f>866100-36098</f>
        <v>830002</v>
      </c>
      <c r="G101" s="58">
        <v>829980.6</v>
      </c>
      <c r="H101" s="38">
        <f t="shared" si="5"/>
        <v>0.99997421692959776</v>
      </c>
    </row>
    <row r="102" spans="1:8" s="13" customFormat="1" ht="15.6">
      <c r="A102" s="15" t="s">
        <v>33</v>
      </c>
      <c r="B102" s="15" t="s">
        <v>17</v>
      </c>
      <c r="C102" s="22" t="s">
        <v>18</v>
      </c>
      <c r="D102" s="42" t="s">
        <v>19</v>
      </c>
      <c r="E102" s="18" t="s">
        <v>24</v>
      </c>
      <c r="F102" s="58">
        <f>F103+F104</f>
        <v>879500</v>
      </c>
      <c r="G102" s="58">
        <f>G103+G104</f>
        <v>34400</v>
      </c>
      <c r="H102" s="38">
        <f t="shared" si="5"/>
        <v>3.9113132461625927E-2</v>
      </c>
    </row>
    <row r="103" spans="1:8" s="13" customFormat="1" ht="31.2">
      <c r="A103" s="15"/>
      <c r="B103" s="15"/>
      <c r="C103" s="22"/>
      <c r="D103" s="17"/>
      <c r="E103" s="23" t="s">
        <v>90</v>
      </c>
      <c r="F103" s="58">
        <v>839500</v>
      </c>
      <c r="G103" s="58"/>
      <c r="H103" s="38">
        <f t="shared" si="5"/>
        <v>0</v>
      </c>
    </row>
    <row r="104" spans="1:8" s="13" customFormat="1" ht="15.6">
      <c r="A104" s="15"/>
      <c r="B104" s="15"/>
      <c r="C104" s="22"/>
      <c r="D104" s="17"/>
      <c r="E104" s="23" t="s">
        <v>263</v>
      </c>
      <c r="F104" s="58">
        <v>40000</v>
      </c>
      <c r="G104" s="58">
        <v>34400</v>
      </c>
      <c r="H104" s="38">
        <f t="shared" si="5"/>
        <v>0.86</v>
      </c>
    </row>
    <row r="105" spans="1:8" s="13" customFormat="1" ht="31.2">
      <c r="A105" s="15" t="s">
        <v>264</v>
      </c>
      <c r="B105" s="15" t="s">
        <v>164</v>
      </c>
      <c r="C105" s="22" t="s">
        <v>165</v>
      </c>
      <c r="D105" s="17" t="s">
        <v>166</v>
      </c>
      <c r="E105" s="23" t="s">
        <v>14</v>
      </c>
      <c r="F105" s="58">
        <v>36000</v>
      </c>
      <c r="G105" s="58"/>
      <c r="H105" s="38">
        <f t="shared" si="5"/>
        <v>0</v>
      </c>
    </row>
    <row r="106" spans="1:8" s="13" customFormat="1" ht="31.2">
      <c r="A106" s="15" t="s">
        <v>265</v>
      </c>
      <c r="B106" s="15" t="s">
        <v>266</v>
      </c>
      <c r="C106" s="22" t="s">
        <v>20</v>
      </c>
      <c r="D106" s="17" t="s">
        <v>267</v>
      </c>
      <c r="E106" s="18" t="s">
        <v>24</v>
      </c>
      <c r="F106" s="58">
        <f>SUM(F107:F119)</f>
        <v>16769497</v>
      </c>
      <c r="G106" s="58">
        <f>SUM(G107:G119)</f>
        <v>14519595</v>
      </c>
      <c r="H106" s="38">
        <f t="shared" si="5"/>
        <v>0.86583366215456548</v>
      </c>
    </row>
    <row r="107" spans="1:8" s="13" customFormat="1" ht="31.2">
      <c r="A107" s="15"/>
      <c r="B107" s="15"/>
      <c r="C107" s="22"/>
      <c r="D107" s="17"/>
      <c r="E107" s="30" t="s">
        <v>268</v>
      </c>
      <c r="F107" s="58">
        <f>1950000-331200</f>
        <v>1618800</v>
      </c>
      <c r="G107" s="58">
        <v>1618800</v>
      </c>
      <c r="H107" s="38">
        <f t="shared" si="5"/>
        <v>1</v>
      </c>
    </row>
    <row r="108" spans="1:8" s="13" customFormat="1" ht="31.2">
      <c r="A108" s="15"/>
      <c r="B108" s="15"/>
      <c r="C108" s="22"/>
      <c r="D108" s="17"/>
      <c r="E108" s="30" t="s">
        <v>269</v>
      </c>
      <c r="F108" s="58">
        <v>150000</v>
      </c>
      <c r="G108" s="58">
        <v>74700</v>
      </c>
      <c r="H108" s="38">
        <f t="shared" si="5"/>
        <v>0.498</v>
      </c>
    </row>
    <row r="109" spans="1:8" s="13" customFormat="1" ht="31.2">
      <c r="A109" s="15"/>
      <c r="B109" s="15"/>
      <c r="C109" s="22"/>
      <c r="D109" s="17"/>
      <c r="E109" s="30" t="s">
        <v>270</v>
      </c>
      <c r="F109" s="58">
        <v>141200</v>
      </c>
      <c r="G109" s="58">
        <v>99000</v>
      </c>
      <c r="H109" s="38">
        <f t="shared" si="5"/>
        <v>0.70113314447592068</v>
      </c>
    </row>
    <row r="110" spans="1:8" s="13" customFormat="1" ht="15.6">
      <c r="A110" s="15"/>
      <c r="B110" s="15"/>
      <c r="C110" s="22"/>
      <c r="D110" s="17"/>
      <c r="E110" s="30" t="s">
        <v>271</v>
      </c>
      <c r="F110" s="58">
        <v>1500000</v>
      </c>
      <c r="G110" s="58"/>
      <c r="H110" s="38">
        <f t="shared" si="5"/>
        <v>0</v>
      </c>
    </row>
    <row r="111" spans="1:8" s="13" customFormat="1" ht="31.2">
      <c r="A111" s="15"/>
      <c r="B111" s="15"/>
      <c r="C111" s="22"/>
      <c r="D111" s="17"/>
      <c r="E111" s="30" t="s">
        <v>272</v>
      </c>
      <c r="F111" s="58">
        <v>220700</v>
      </c>
      <c r="G111" s="58">
        <v>220698</v>
      </c>
      <c r="H111" s="38">
        <f t="shared" si="5"/>
        <v>0.99999093792478477</v>
      </c>
    </row>
    <row r="112" spans="1:8" s="13" customFormat="1" ht="46.8">
      <c r="A112" s="15"/>
      <c r="B112" s="15"/>
      <c r="C112" s="22"/>
      <c r="D112" s="17"/>
      <c r="E112" s="68" t="s">
        <v>273</v>
      </c>
      <c r="F112" s="58">
        <v>35997</v>
      </c>
      <c r="G112" s="58">
        <v>35997</v>
      </c>
      <c r="H112" s="38">
        <f t="shared" si="5"/>
        <v>1</v>
      </c>
    </row>
    <row r="113" spans="1:8" s="13" customFormat="1" ht="46.8">
      <c r="A113" s="15"/>
      <c r="B113" s="15"/>
      <c r="C113" s="22"/>
      <c r="D113" s="17"/>
      <c r="E113" s="68" t="s">
        <v>274</v>
      </c>
      <c r="F113" s="58">
        <v>99000</v>
      </c>
      <c r="G113" s="58">
        <v>99000</v>
      </c>
      <c r="H113" s="38">
        <f t="shared" si="5"/>
        <v>1</v>
      </c>
    </row>
    <row r="114" spans="1:8" s="13" customFormat="1" ht="31.2">
      <c r="A114" s="15"/>
      <c r="B114" s="15"/>
      <c r="C114" s="22"/>
      <c r="D114" s="17"/>
      <c r="E114" s="68" t="s">
        <v>275</v>
      </c>
      <c r="F114" s="58">
        <v>195500</v>
      </c>
      <c r="G114" s="58">
        <v>195500</v>
      </c>
      <c r="H114" s="38">
        <f t="shared" si="5"/>
        <v>1</v>
      </c>
    </row>
    <row r="115" spans="1:8" s="13" customFormat="1" ht="31.2">
      <c r="A115" s="15"/>
      <c r="B115" s="15"/>
      <c r="C115" s="22"/>
      <c r="D115" s="17"/>
      <c r="E115" s="69" t="s">
        <v>276</v>
      </c>
      <c r="F115" s="58">
        <v>428800</v>
      </c>
      <c r="G115" s="58">
        <v>398400</v>
      </c>
      <c r="H115" s="38">
        <f t="shared" si="5"/>
        <v>0.92910447761194026</v>
      </c>
    </row>
    <row r="116" spans="1:8" s="13" customFormat="1" ht="31.2">
      <c r="A116" s="15"/>
      <c r="B116" s="15"/>
      <c r="C116" s="22"/>
      <c r="D116" s="17"/>
      <c r="E116" s="69" t="s">
        <v>277</v>
      </c>
      <c r="F116" s="58">
        <v>4191500</v>
      </c>
      <c r="G116" s="58">
        <v>4191500</v>
      </c>
      <c r="H116" s="38">
        <f t="shared" si="5"/>
        <v>1</v>
      </c>
    </row>
    <row r="117" spans="1:8" s="13" customFormat="1" ht="31.2">
      <c r="A117" s="15"/>
      <c r="B117" s="15"/>
      <c r="C117" s="22"/>
      <c r="D117" s="17"/>
      <c r="E117" s="69" t="s">
        <v>278</v>
      </c>
      <c r="F117" s="58">
        <v>188000</v>
      </c>
      <c r="G117" s="58">
        <v>188000</v>
      </c>
      <c r="H117" s="38">
        <f t="shared" si="5"/>
        <v>1</v>
      </c>
    </row>
    <row r="118" spans="1:8" s="13" customFormat="1" ht="31.2">
      <c r="A118" s="15"/>
      <c r="B118" s="15"/>
      <c r="C118" s="22"/>
      <c r="D118" s="17"/>
      <c r="E118" s="69" t="s">
        <v>279</v>
      </c>
      <c r="F118" s="58">
        <v>7400000</v>
      </c>
      <c r="G118" s="58">
        <v>7398000</v>
      </c>
      <c r="H118" s="38">
        <f t="shared" si="5"/>
        <v>0.99972972972972973</v>
      </c>
    </row>
    <row r="119" spans="1:8" s="13" customFormat="1" ht="31.2">
      <c r="A119" s="15"/>
      <c r="B119" s="15"/>
      <c r="C119" s="22"/>
      <c r="D119" s="17"/>
      <c r="E119" s="69" t="s">
        <v>280</v>
      </c>
      <c r="F119" s="58">
        <v>600000</v>
      </c>
      <c r="G119" s="58"/>
      <c r="H119" s="38">
        <f t="shared" si="5"/>
        <v>0</v>
      </c>
    </row>
    <row r="120" spans="1:8" s="13" customFormat="1" ht="31.2">
      <c r="A120" s="15" t="s">
        <v>150</v>
      </c>
      <c r="B120" s="15" t="s">
        <v>41</v>
      </c>
      <c r="C120" s="22" t="s">
        <v>44</v>
      </c>
      <c r="D120" s="17" t="s">
        <v>42</v>
      </c>
      <c r="E120" s="18" t="s">
        <v>24</v>
      </c>
      <c r="F120" s="58">
        <f>SUM(F121:F125)</f>
        <v>1835500</v>
      </c>
      <c r="G120" s="58">
        <f>SUM(G121:G125)</f>
        <v>1424326.83</v>
      </c>
      <c r="H120" s="38">
        <f t="shared" si="5"/>
        <v>0.77598846635794061</v>
      </c>
    </row>
    <row r="121" spans="1:8" s="13" customFormat="1" ht="62.4">
      <c r="A121" s="15"/>
      <c r="B121" s="15"/>
      <c r="C121" s="22"/>
      <c r="D121" s="17"/>
      <c r="E121" s="23" t="s">
        <v>151</v>
      </c>
      <c r="F121" s="58">
        <v>150000</v>
      </c>
      <c r="G121" s="58">
        <v>122205.83</v>
      </c>
      <c r="H121" s="38">
        <f t="shared" si="5"/>
        <v>0.8147055333333334</v>
      </c>
    </row>
    <row r="122" spans="1:8" s="13" customFormat="1" ht="93.6">
      <c r="A122" s="15"/>
      <c r="B122" s="15"/>
      <c r="C122" s="22"/>
      <c r="D122" s="17"/>
      <c r="E122" s="23" t="s">
        <v>189</v>
      </c>
      <c r="F122" s="58">
        <v>419000</v>
      </c>
      <c r="G122" s="58">
        <v>39761</v>
      </c>
      <c r="H122" s="38">
        <f t="shared" si="5"/>
        <v>9.4894988066825781E-2</v>
      </c>
    </row>
    <row r="123" spans="1:8" s="13" customFormat="1" ht="31.2">
      <c r="A123" s="15"/>
      <c r="B123" s="15"/>
      <c r="C123" s="22"/>
      <c r="D123" s="17"/>
      <c r="E123" s="23" t="s">
        <v>190</v>
      </c>
      <c r="F123" s="58">
        <v>594000</v>
      </c>
      <c r="G123" s="58">
        <v>589860</v>
      </c>
      <c r="H123" s="38">
        <f t="shared" si="5"/>
        <v>0.99303030303030304</v>
      </c>
    </row>
    <row r="124" spans="1:8" s="13" customFormat="1" ht="62.4">
      <c r="A124" s="15"/>
      <c r="B124" s="15"/>
      <c r="C124" s="22"/>
      <c r="D124" s="17"/>
      <c r="E124" s="23" t="s">
        <v>281</v>
      </c>
      <c r="F124" s="58">
        <f>270000-17500</f>
        <v>252500</v>
      </c>
      <c r="G124" s="58">
        <v>252500</v>
      </c>
      <c r="H124" s="38">
        <f t="shared" si="5"/>
        <v>1</v>
      </c>
    </row>
    <row r="125" spans="1:8" s="13" customFormat="1" ht="31.2">
      <c r="A125" s="15"/>
      <c r="B125" s="15"/>
      <c r="C125" s="22"/>
      <c r="D125" s="17"/>
      <c r="E125" s="23" t="s">
        <v>282</v>
      </c>
      <c r="F125" s="58">
        <v>420000</v>
      </c>
      <c r="G125" s="58">
        <v>420000</v>
      </c>
      <c r="H125" s="38">
        <f t="shared" si="5"/>
        <v>1</v>
      </c>
    </row>
    <row r="126" spans="1:8" s="13" customFormat="1" ht="62.4">
      <c r="A126" s="15" t="s">
        <v>156</v>
      </c>
      <c r="B126" s="15" t="s">
        <v>157</v>
      </c>
      <c r="C126" s="22" t="s">
        <v>158</v>
      </c>
      <c r="D126" s="17" t="s">
        <v>159</v>
      </c>
      <c r="E126" s="17" t="s">
        <v>191</v>
      </c>
      <c r="F126" s="58">
        <v>674628</v>
      </c>
      <c r="G126" s="58">
        <v>674628</v>
      </c>
      <c r="H126" s="38">
        <f t="shared" si="5"/>
        <v>1</v>
      </c>
    </row>
    <row r="127" spans="1:8" s="13" customFormat="1" ht="93.6">
      <c r="A127" s="15" t="s">
        <v>283</v>
      </c>
      <c r="B127" s="15" t="s">
        <v>284</v>
      </c>
      <c r="C127" s="22" t="s">
        <v>146</v>
      </c>
      <c r="D127" s="17" t="s">
        <v>285</v>
      </c>
      <c r="E127" s="17" t="s">
        <v>286</v>
      </c>
      <c r="F127" s="58">
        <v>500000</v>
      </c>
      <c r="G127" s="58">
        <v>493898.1</v>
      </c>
      <c r="H127" s="38">
        <f t="shared" si="5"/>
        <v>0.9877961999999999</v>
      </c>
    </row>
    <row r="128" spans="1:8" s="13" customFormat="1" ht="15.6">
      <c r="A128" s="12" t="s">
        <v>36</v>
      </c>
      <c r="B128" s="12"/>
      <c r="C128" s="12"/>
      <c r="D128" s="83" t="s">
        <v>91</v>
      </c>
      <c r="E128" s="84"/>
      <c r="F128" s="56">
        <f t="shared" ref="F128:G128" si="6">F129</f>
        <v>78893930.620000005</v>
      </c>
      <c r="G128" s="56">
        <f t="shared" si="6"/>
        <v>44438778.549999997</v>
      </c>
      <c r="H128" s="37">
        <f t="shared" si="5"/>
        <v>0.56327246216243843</v>
      </c>
    </row>
    <row r="129" spans="1:8" s="13" customFormat="1" ht="15.6">
      <c r="A129" s="12" t="s">
        <v>37</v>
      </c>
      <c r="B129" s="14"/>
      <c r="C129" s="14"/>
      <c r="D129" s="83" t="s">
        <v>91</v>
      </c>
      <c r="E129" s="84"/>
      <c r="F129" s="56">
        <f>F130+F131+F132+F145+F148+F150+F157+F160+F162+F169</f>
        <v>78893930.620000005</v>
      </c>
      <c r="G129" s="56">
        <f>G130+G131+G132+G145+G148+G150+G157+G160+G162+G169</f>
        <v>44438778.549999997</v>
      </c>
      <c r="H129" s="37">
        <f t="shared" si="5"/>
        <v>0.56327246216243843</v>
      </c>
    </row>
    <row r="130" spans="1:8" s="13" customFormat="1" ht="109.2">
      <c r="A130" s="15" t="s">
        <v>92</v>
      </c>
      <c r="B130" s="15" t="s">
        <v>46</v>
      </c>
      <c r="C130" s="22" t="s">
        <v>15</v>
      </c>
      <c r="D130" s="17" t="s">
        <v>16</v>
      </c>
      <c r="E130" s="23" t="s">
        <v>93</v>
      </c>
      <c r="F130" s="57">
        <f>1205627-30000-25000-19900</f>
        <v>1130727</v>
      </c>
      <c r="G130" s="57">
        <v>1110730.92</v>
      </c>
      <c r="H130" s="38">
        <f t="shared" si="5"/>
        <v>0.98231573138343731</v>
      </c>
    </row>
    <row r="131" spans="1:8" s="13" customFormat="1" ht="31.2">
      <c r="A131" s="15" t="s">
        <v>50</v>
      </c>
      <c r="B131" s="15" t="s">
        <v>51</v>
      </c>
      <c r="C131" s="22" t="s">
        <v>18</v>
      </c>
      <c r="D131" s="17" t="s">
        <v>29</v>
      </c>
      <c r="E131" s="27" t="s">
        <v>73</v>
      </c>
      <c r="F131" s="57">
        <v>382750</v>
      </c>
      <c r="G131" s="57">
        <v>382749.55</v>
      </c>
      <c r="H131" s="38">
        <f t="shared" si="5"/>
        <v>0.99999882429784448</v>
      </c>
    </row>
    <row r="132" spans="1:8" s="13" customFormat="1" ht="31.2">
      <c r="A132" s="15" t="s">
        <v>52</v>
      </c>
      <c r="B132" s="15" t="s">
        <v>31</v>
      </c>
      <c r="C132" s="22" t="s">
        <v>18</v>
      </c>
      <c r="D132" s="17" t="s">
        <v>32</v>
      </c>
      <c r="E132" s="18" t="s">
        <v>24</v>
      </c>
      <c r="F132" s="57">
        <f>SUM(F133:F144)</f>
        <v>15718117</v>
      </c>
      <c r="G132" s="57">
        <f>SUM(G133:G144)</f>
        <v>9291160.2300000004</v>
      </c>
      <c r="H132" s="38">
        <f t="shared" si="5"/>
        <v>0.59111153263460248</v>
      </c>
    </row>
    <row r="133" spans="1:8" s="13" customFormat="1" ht="46.8">
      <c r="A133" s="15"/>
      <c r="B133" s="15"/>
      <c r="C133" s="22"/>
      <c r="D133" s="42"/>
      <c r="E133" s="29" t="s">
        <v>113</v>
      </c>
      <c r="F133" s="57">
        <f>2056596.21+7494.74+0.05</f>
        <v>2064091</v>
      </c>
      <c r="G133" s="57">
        <v>1906338.38</v>
      </c>
      <c r="H133" s="38">
        <f t="shared" si="5"/>
        <v>0.92357283666272461</v>
      </c>
    </row>
    <row r="134" spans="1:8" s="13" customFormat="1" ht="46.8">
      <c r="A134" s="15"/>
      <c r="B134" s="15"/>
      <c r="C134" s="22"/>
      <c r="D134" s="42"/>
      <c r="E134" s="29" t="s">
        <v>114</v>
      </c>
      <c r="F134" s="57">
        <f>1499167.78+4111.79+0.43</f>
        <v>1503280</v>
      </c>
      <c r="G134" s="57"/>
      <c r="H134" s="38">
        <f t="shared" si="5"/>
        <v>0</v>
      </c>
    </row>
    <row r="135" spans="1:8" s="13" customFormat="1" ht="31.2">
      <c r="A135" s="15"/>
      <c r="B135" s="15"/>
      <c r="C135" s="22"/>
      <c r="D135" s="42"/>
      <c r="E135" s="29" t="s">
        <v>115</v>
      </c>
      <c r="F135" s="67">
        <f>1100020-1000000</f>
        <v>100020</v>
      </c>
      <c r="G135" s="67">
        <v>62398</v>
      </c>
      <c r="H135" s="38">
        <f t="shared" si="5"/>
        <v>0.6238552289542092</v>
      </c>
    </row>
    <row r="136" spans="1:8" s="13" customFormat="1" ht="46.8">
      <c r="A136" s="15"/>
      <c r="B136" s="15"/>
      <c r="C136" s="22"/>
      <c r="D136" s="42"/>
      <c r="E136" s="29" t="s">
        <v>116</v>
      </c>
      <c r="F136" s="67">
        <f>38956.27+2126763.13+0.6</f>
        <v>2165720</v>
      </c>
      <c r="G136" s="67">
        <v>38956.269999999997</v>
      </c>
      <c r="H136" s="38">
        <f t="shared" si="5"/>
        <v>1.7987676153888774E-2</v>
      </c>
    </row>
    <row r="137" spans="1:8" s="13" customFormat="1" ht="46.8">
      <c r="A137" s="15"/>
      <c r="B137" s="15"/>
      <c r="C137" s="22"/>
      <c r="D137" s="42"/>
      <c r="E137" s="29" t="s">
        <v>117</v>
      </c>
      <c r="F137" s="67">
        <f>1971768.08+7494.74+0.18</f>
        <v>1979263</v>
      </c>
      <c r="G137" s="67">
        <v>1883473.99</v>
      </c>
      <c r="H137" s="38">
        <f t="shared" si="5"/>
        <v>0.95160369794211275</v>
      </c>
    </row>
    <row r="138" spans="1:8" s="13" customFormat="1" ht="46.8">
      <c r="A138" s="15"/>
      <c r="B138" s="15"/>
      <c r="C138" s="22"/>
      <c r="D138" s="42"/>
      <c r="E138" s="29" t="s">
        <v>118</v>
      </c>
      <c r="F138" s="67">
        <f>1496810.5+4111.98+0.52</f>
        <v>1500923</v>
      </c>
      <c r="G138" s="67">
        <v>1214453.3</v>
      </c>
      <c r="H138" s="38">
        <f t="shared" si="5"/>
        <v>0.80913764396974397</v>
      </c>
    </row>
    <row r="139" spans="1:8" s="13" customFormat="1" ht="46.8">
      <c r="A139" s="15"/>
      <c r="B139" s="15"/>
      <c r="C139" s="22"/>
      <c r="D139" s="42"/>
      <c r="E139" s="29" t="s">
        <v>119</v>
      </c>
      <c r="F139" s="67">
        <f>1496069.17+4111.98+0.85</f>
        <v>1500182</v>
      </c>
      <c r="G139" s="67">
        <v>1377811.66</v>
      </c>
      <c r="H139" s="38">
        <f t="shared" si="5"/>
        <v>0.9184296705333086</v>
      </c>
    </row>
    <row r="140" spans="1:8" s="13" customFormat="1" ht="46.8">
      <c r="A140" s="15"/>
      <c r="B140" s="15"/>
      <c r="C140" s="22"/>
      <c r="D140" s="42"/>
      <c r="E140" s="29" t="s">
        <v>120</v>
      </c>
      <c r="F140" s="67">
        <f>1499053.98+4111.79+0.23</f>
        <v>1503166</v>
      </c>
      <c r="G140" s="67">
        <v>1188649.3600000001</v>
      </c>
      <c r="H140" s="38">
        <f t="shared" si="5"/>
        <v>0.79076386772984497</v>
      </c>
    </row>
    <row r="141" spans="1:8" s="13" customFormat="1" ht="46.8">
      <c r="A141" s="15"/>
      <c r="B141" s="15"/>
      <c r="C141" s="22"/>
      <c r="D141" s="42"/>
      <c r="E141" s="29" t="s">
        <v>121</v>
      </c>
      <c r="F141" s="67">
        <f>1444898.12+3747.36+0.52</f>
        <v>1448646.0000000002</v>
      </c>
      <c r="G141" s="67"/>
      <c r="H141" s="38">
        <f t="shared" ref="H141:H190" si="7">G141/F141</f>
        <v>0</v>
      </c>
    </row>
    <row r="142" spans="1:8" s="13" customFormat="1" ht="31.2">
      <c r="A142" s="15"/>
      <c r="B142" s="15"/>
      <c r="C142" s="22"/>
      <c r="D142" s="42"/>
      <c r="E142" s="29" t="s">
        <v>122</v>
      </c>
      <c r="F142" s="67">
        <f>1100020-1000000</f>
        <v>100020</v>
      </c>
      <c r="G142" s="67">
        <v>62398</v>
      </c>
      <c r="H142" s="38">
        <f t="shared" si="7"/>
        <v>0.6238552289542092</v>
      </c>
    </row>
    <row r="143" spans="1:8" s="13" customFormat="1" ht="46.8">
      <c r="A143" s="15"/>
      <c r="B143" s="15"/>
      <c r="C143" s="22"/>
      <c r="D143" s="42"/>
      <c r="E143" s="29" t="s">
        <v>123</v>
      </c>
      <c r="F143" s="67">
        <f>1449158.58+3747.36+0.06</f>
        <v>1452906.0000000002</v>
      </c>
      <c r="G143" s="67">
        <v>1156781.27</v>
      </c>
      <c r="H143" s="38">
        <f t="shared" si="7"/>
        <v>0.79618452260504113</v>
      </c>
    </row>
    <row r="144" spans="1:8" s="13" customFormat="1" ht="62.4">
      <c r="A144" s="15"/>
      <c r="B144" s="15"/>
      <c r="C144" s="22"/>
      <c r="D144" s="42"/>
      <c r="E144" s="29" t="s">
        <v>287</v>
      </c>
      <c r="F144" s="67">
        <v>399900</v>
      </c>
      <c r="G144" s="67">
        <v>399900</v>
      </c>
      <c r="H144" s="38">
        <f t="shared" si="7"/>
        <v>1</v>
      </c>
    </row>
    <row r="145" spans="1:8" s="13" customFormat="1" ht="31.2">
      <c r="A145" s="15" t="s">
        <v>288</v>
      </c>
      <c r="B145" s="15" t="s">
        <v>187</v>
      </c>
      <c r="C145" s="22" t="s">
        <v>18</v>
      </c>
      <c r="D145" s="42" t="s">
        <v>289</v>
      </c>
      <c r="E145" s="18" t="s">
        <v>24</v>
      </c>
      <c r="F145" s="67">
        <f>SUM(F146:F147)</f>
        <v>330000</v>
      </c>
      <c r="G145" s="67">
        <f>SUM(G146:G147)</f>
        <v>325134.45999999996</v>
      </c>
      <c r="H145" s="38">
        <f t="shared" si="7"/>
        <v>0.9852559393939393</v>
      </c>
    </row>
    <row r="146" spans="1:8" s="13" customFormat="1" ht="62.4">
      <c r="A146" s="15"/>
      <c r="B146" s="15"/>
      <c r="C146" s="22"/>
      <c r="D146" s="42"/>
      <c r="E146" s="17" t="s">
        <v>290</v>
      </c>
      <c r="F146" s="67">
        <v>155000</v>
      </c>
      <c r="G146" s="67">
        <v>152260</v>
      </c>
      <c r="H146" s="38">
        <f t="shared" si="7"/>
        <v>0.98232258064516131</v>
      </c>
    </row>
    <row r="147" spans="1:8" s="13" customFormat="1" ht="62.4">
      <c r="A147" s="15"/>
      <c r="B147" s="15"/>
      <c r="C147" s="22"/>
      <c r="D147" s="42"/>
      <c r="E147" s="17" t="s">
        <v>291</v>
      </c>
      <c r="F147" s="67">
        <v>175000</v>
      </c>
      <c r="G147" s="67">
        <v>172874.46</v>
      </c>
      <c r="H147" s="38">
        <f t="shared" si="7"/>
        <v>0.98785405714285712</v>
      </c>
    </row>
    <row r="148" spans="1:8" s="13" customFormat="1" ht="62.4">
      <c r="A148" s="16">
        <v>1516050</v>
      </c>
      <c r="B148" s="22" t="s">
        <v>94</v>
      </c>
      <c r="C148" s="22" t="s">
        <v>18</v>
      </c>
      <c r="D148" s="17" t="s">
        <v>95</v>
      </c>
      <c r="E148" s="18" t="s">
        <v>24</v>
      </c>
      <c r="F148" s="67">
        <f>F149</f>
        <v>1194873</v>
      </c>
      <c r="G148" s="67">
        <f>G149</f>
        <v>1194872.49</v>
      </c>
      <c r="H148" s="38">
        <f t="shared" si="7"/>
        <v>0.99999957317639609</v>
      </c>
    </row>
    <row r="149" spans="1:8" s="13" customFormat="1" ht="62.4">
      <c r="A149" s="15"/>
      <c r="B149" s="15"/>
      <c r="C149" s="22"/>
      <c r="D149" s="42"/>
      <c r="E149" s="30" t="s">
        <v>63</v>
      </c>
      <c r="F149" s="67">
        <v>1194873</v>
      </c>
      <c r="G149" s="67">
        <v>1194872.49</v>
      </c>
      <c r="H149" s="38">
        <f t="shared" si="7"/>
        <v>0.99999957317639609</v>
      </c>
    </row>
    <row r="150" spans="1:8" s="13" customFormat="1" ht="31.2">
      <c r="A150" s="15" t="s">
        <v>192</v>
      </c>
      <c r="B150" s="15" t="s">
        <v>193</v>
      </c>
      <c r="C150" s="22" t="s">
        <v>135</v>
      </c>
      <c r="D150" s="23" t="s">
        <v>194</v>
      </c>
      <c r="E150" s="18" t="s">
        <v>24</v>
      </c>
      <c r="F150" s="67">
        <f>SUM(F151:F156)</f>
        <v>13512003.620000001</v>
      </c>
      <c r="G150" s="67">
        <f>SUM(G151:G156)</f>
        <v>8433377.8099999987</v>
      </c>
      <c r="H150" s="38">
        <f t="shared" si="7"/>
        <v>0.62413969439123029</v>
      </c>
    </row>
    <row r="151" spans="1:8" s="13" customFormat="1" ht="78">
      <c r="A151" s="15"/>
      <c r="B151" s="15"/>
      <c r="C151" s="22"/>
      <c r="D151" s="42"/>
      <c r="E151" s="17" t="s">
        <v>310</v>
      </c>
      <c r="F151" s="57">
        <v>4634170</v>
      </c>
      <c r="G151" s="57">
        <f>29114.3+456954</f>
        <v>486068.3</v>
      </c>
      <c r="H151" s="38">
        <f t="shared" si="7"/>
        <v>0.10488788715131296</v>
      </c>
    </row>
    <row r="152" spans="1:8" s="13" customFormat="1" ht="46.8">
      <c r="A152" s="15"/>
      <c r="B152" s="15"/>
      <c r="C152" s="22"/>
      <c r="D152" s="42"/>
      <c r="E152" s="51" t="s">
        <v>198</v>
      </c>
      <c r="F152" s="57">
        <f>1392820-13929</f>
        <v>1378891</v>
      </c>
      <c r="G152" s="57">
        <v>1378891</v>
      </c>
      <c r="H152" s="38">
        <f t="shared" si="7"/>
        <v>1</v>
      </c>
    </row>
    <row r="153" spans="1:8" s="13" customFormat="1" ht="46.8">
      <c r="A153" s="15"/>
      <c r="B153" s="15"/>
      <c r="C153" s="22"/>
      <c r="D153" s="42"/>
      <c r="E153" s="51" t="s">
        <v>199</v>
      </c>
      <c r="F153" s="57">
        <f>3374260+1027000-276446</f>
        <v>4124814</v>
      </c>
      <c r="G153" s="57">
        <v>3200466.55</v>
      </c>
      <c r="H153" s="38">
        <f t="shared" si="7"/>
        <v>0.77590566507968595</v>
      </c>
    </row>
    <row r="154" spans="1:8" s="13" customFormat="1" ht="62.4">
      <c r="A154" s="15"/>
      <c r="B154" s="15"/>
      <c r="C154" s="22"/>
      <c r="D154" s="42"/>
      <c r="E154" s="68" t="s">
        <v>292</v>
      </c>
      <c r="F154" s="57">
        <f>1492000-400</f>
        <v>1491600</v>
      </c>
      <c r="G154" s="57">
        <v>1491600</v>
      </c>
      <c r="H154" s="38">
        <f t="shared" si="7"/>
        <v>1</v>
      </c>
    </row>
    <row r="155" spans="1:8" s="13" customFormat="1" ht="46.8">
      <c r="A155" s="15"/>
      <c r="B155" s="15"/>
      <c r="C155" s="22"/>
      <c r="D155" s="42"/>
      <c r="E155" s="68" t="s">
        <v>293</v>
      </c>
      <c r="F155" s="57">
        <f>622000-14880</f>
        <v>607120</v>
      </c>
      <c r="G155" s="57">
        <v>600943.34</v>
      </c>
      <c r="H155" s="38">
        <f t="shared" si="7"/>
        <v>0.98982629463697447</v>
      </c>
    </row>
    <row r="156" spans="1:8" s="13" customFormat="1" ht="46.8">
      <c r="A156" s="15"/>
      <c r="B156" s="15"/>
      <c r="C156" s="22"/>
      <c r="D156" s="42"/>
      <c r="E156" s="68" t="s">
        <v>294</v>
      </c>
      <c r="F156" s="57">
        <f>1290000-14591.38</f>
        <v>1275408.6200000001</v>
      </c>
      <c r="G156" s="57">
        <v>1275408.6200000001</v>
      </c>
      <c r="H156" s="38">
        <f t="shared" si="7"/>
        <v>1</v>
      </c>
    </row>
    <row r="157" spans="1:8" s="13" customFormat="1" ht="31.2">
      <c r="A157" s="16">
        <v>1517370</v>
      </c>
      <c r="B157" s="22" t="s">
        <v>53</v>
      </c>
      <c r="C157" s="22" t="s">
        <v>20</v>
      </c>
      <c r="D157" s="17" t="s">
        <v>38</v>
      </c>
      <c r="E157" s="18" t="s">
        <v>24</v>
      </c>
      <c r="F157" s="67">
        <f>SUM(F158:F159)</f>
        <v>27703591</v>
      </c>
      <c r="G157" s="67">
        <f>SUM(G158:G159)</f>
        <v>7664434.9000000004</v>
      </c>
      <c r="H157" s="38">
        <f t="shared" si="7"/>
        <v>0.27665853498920051</v>
      </c>
    </row>
    <row r="158" spans="1:8" s="13" customFormat="1" ht="31.2">
      <c r="A158" s="15"/>
      <c r="B158" s="15"/>
      <c r="C158" s="22"/>
      <c r="D158" s="42"/>
      <c r="E158" s="29" t="s">
        <v>195</v>
      </c>
      <c r="F158" s="67">
        <f>7664771+2000000+17920251</f>
        <v>27585022</v>
      </c>
      <c r="G158" s="67">
        <f>5664434.9+2000000</f>
        <v>7664434.9000000004</v>
      </c>
      <c r="H158" s="38">
        <f t="shared" si="7"/>
        <v>0.27784769937830756</v>
      </c>
    </row>
    <row r="159" spans="1:8" s="13" customFormat="1" ht="62.4">
      <c r="A159" s="15"/>
      <c r="B159" s="15"/>
      <c r="C159" s="22"/>
      <c r="D159" s="42"/>
      <c r="E159" s="23" t="s">
        <v>96</v>
      </c>
      <c r="F159" s="67">
        <v>118569</v>
      </c>
      <c r="G159" s="67"/>
      <c r="H159" s="38">
        <f t="shared" si="7"/>
        <v>0</v>
      </c>
    </row>
    <row r="160" spans="1:8" s="13" customFormat="1" ht="62.4">
      <c r="A160" s="15" t="s">
        <v>295</v>
      </c>
      <c r="B160" s="15" t="s">
        <v>296</v>
      </c>
      <c r="C160" s="22" t="s">
        <v>20</v>
      </c>
      <c r="D160" s="17" t="s">
        <v>297</v>
      </c>
      <c r="E160" s="45" t="s">
        <v>24</v>
      </c>
      <c r="F160" s="67">
        <f>F161</f>
        <v>550000</v>
      </c>
      <c r="G160" s="67">
        <f>G161</f>
        <v>0</v>
      </c>
      <c r="H160" s="38">
        <f t="shared" si="7"/>
        <v>0</v>
      </c>
    </row>
    <row r="161" spans="1:8" s="13" customFormat="1" ht="140.4">
      <c r="A161" s="15"/>
      <c r="B161" s="15"/>
      <c r="C161" s="22"/>
      <c r="D161" s="42"/>
      <c r="E161" s="68" t="s">
        <v>298</v>
      </c>
      <c r="F161" s="67">
        <v>550000</v>
      </c>
      <c r="G161" s="67"/>
      <c r="H161" s="38">
        <f t="shared" si="7"/>
        <v>0</v>
      </c>
    </row>
    <row r="162" spans="1:8" s="13" customFormat="1" ht="15.6">
      <c r="A162" s="15" t="s">
        <v>54</v>
      </c>
      <c r="B162" s="15" t="s">
        <v>55</v>
      </c>
      <c r="C162" s="22" t="s">
        <v>34</v>
      </c>
      <c r="D162" s="17" t="s">
        <v>35</v>
      </c>
      <c r="E162" s="18" t="s">
        <v>24</v>
      </c>
      <c r="F162" s="67">
        <f>SUM(F163:F168)</f>
        <v>6451791</v>
      </c>
      <c r="G162" s="67">
        <f>SUM(G163:G168)</f>
        <v>5907548.5999999996</v>
      </c>
      <c r="H162" s="38">
        <f t="shared" si="7"/>
        <v>0.91564475662649325</v>
      </c>
    </row>
    <row r="163" spans="1:8" s="13" customFormat="1" ht="46.8">
      <c r="A163" s="15"/>
      <c r="B163" s="15"/>
      <c r="C163" s="22"/>
      <c r="D163" s="42"/>
      <c r="E163" s="17" t="s">
        <v>124</v>
      </c>
      <c r="F163" s="67">
        <v>15339</v>
      </c>
      <c r="G163" s="67">
        <v>6015.5</v>
      </c>
      <c r="H163" s="38">
        <f t="shared" si="7"/>
        <v>0.39217028489471284</v>
      </c>
    </row>
    <row r="164" spans="1:8" s="13" customFormat="1" ht="46.8">
      <c r="A164" s="15"/>
      <c r="B164" s="15"/>
      <c r="C164" s="22"/>
      <c r="D164" s="42"/>
      <c r="E164" s="17" t="s">
        <v>125</v>
      </c>
      <c r="F164" s="67">
        <v>73574</v>
      </c>
      <c r="G164" s="67">
        <v>54375.05</v>
      </c>
      <c r="H164" s="38">
        <f t="shared" si="7"/>
        <v>0.73905251855274967</v>
      </c>
    </row>
    <row r="165" spans="1:8" s="13" customFormat="1" ht="46.8">
      <c r="A165" s="15"/>
      <c r="B165" s="15"/>
      <c r="C165" s="22"/>
      <c r="D165" s="42"/>
      <c r="E165" s="17" t="s">
        <v>126</v>
      </c>
      <c r="F165" s="67">
        <v>14952</v>
      </c>
      <c r="G165" s="67">
        <v>5774.85</v>
      </c>
      <c r="H165" s="38">
        <f t="shared" si="7"/>
        <v>0.3862259229534511</v>
      </c>
    </row>
    <row r="166" spans="1:8" s="13" customFormat="1" ht="46.8">
      <c r="A166" s="15"/>
      <c r="B166" s="15"/>
      <c r="C166" s="22"/>
      <c r="D166" s="42"/>
      <c r="E166" s="17" t="s">
        <v>127</v>
      </c>
      <c r="F166" s="67">
        <v>17357</v>
      </c>
      <c r="G166" s="67">
        <v>7792.94</v>
      </c>
      <c r="H166" s="38">
        <f t="shared" si="7"/>
        <v>0.44897966238405251</v>
      </c>
    </row>
    <row r="167" spans="1:8" s="13" customFormat="1" ht="78">
      <c r="A167" s="15"/>
      <c r="B167" s="15"/>
      <c r="C167" s="22"/>
      <c r="D167" s="42"/>
      <c r="E167" s="29" t="s">
        <v>56</v>
      </c>
      <c r="F167" s="67">
        <f>4787741-966200</f>
        <v>3821541</v>
      </c>
      <c r="G167" s="67">
        <v>3821532.83</v>
      </c>
      <c r="H167" s="38">
        <f t="shared" si="7"/>
        <v>0.99999786211897246</v>
      </c>
    </row>
    <row r="168" spans="1:8" s="13" customFormat="1" ht="62.4">
      <c r="A168" s="15"/>
      <c r="B168" s="15"/>
      <c r="C168" s="22"/>
      <c r="D168" s="42"/>
      <c r="E168" s="29" t="s">
        <v>97</v>
      </c>
      <c r="F168" s="67">
        <f>2811128-302100</f>
        <v>2509028</v>
      </c>
      <c r="G168" s="67">
        <v>2012057.43</v>
      </c>
      <c r="H168" s="38">
        <f t="shared" si="7"/>
        <v>0.80192705302611211</v>
      </c>
    </row>
    <row r="169" spans="1:8" s="13" customFormat="1" ht="31.2">
      <c r="A169" s="15" t="s">
        <v>40</v>
      </c>
      <c r="B169" s="15" t="s">
        <v>41</v>
      </c>
      <c r="C169" s="22" t="s">
        <v>44</v>
      </c>
      <c r="D169" s="17" t="s">
        <v>42</v>
      </c>
      <c r="E169" s="18" t="s">
        <v>24</v>
      </c>
      <c r="F169" s="67">
        <f>SUM(F170:F172)</f>
        <v>11920078</v>
      </c>
      <c r="G169" s="67">
        <f>SUM(G170:G172)</f>
        <v>10128769.59</v>
      </c>
      <c r="H169" s="38">
        <f t="shared" si="7"/>
        <v>0.84972343217888335</v>
      </c>
    </row>
    <row r="170" spans="1:8" s="13" customFormat="1" ht="93.6">
      <c r="A170" s="15"/>
      <c r="B170" s="15"/>
      <c r="C170" s="22"/>
      <c r="D170" s="42"/>
      <c r="E170" s="29" t="s">
        <v>98</v>
      </c>
      <c r="F170" s="57">
        <f>3707457-49000-40000-42500</f>
        <v>3575957</v>
      </c>
      <c r="G170" s="57">
        <v>3575938.72</v>
      </c>
      <c r="H170" s="38">
        <f t="shared" si="7"/>
        <v>0.999994888081708</v>
      </c>
    </row>
    <row r="171" spans="1:8" s="13" customFormat="1" ht="78">
      <c r="A171" s="15"/>
      <c r="B171" s="15"/>
      <c r="C171" s="22"/>
      <c r="D171" s="17"/>
      <c r="E171" s="29" t="s">
        <v>57</v>
      </c>
      <c r="F171" s="67">
        <f>1520477-282200</f>
        <v>1238277</v>
      </c>
      <c r="G171" s="67">
        <v>1238271.78</v>
      </c>
      <c r="H171" s="38">
        <f t="shared" si="7"/>
        <v>0.99999578446502679</v>
      </c>
    </row>
    <row r="172" spans="1:8" s="13" customFormat="1" ht="93.6">
      <c r="A172" s="15"/>
      <c r="B172" s="15"/>
      <c r="C172" s="22"/>
      <c r="D172" s="17"/>
      <c r="E172" s="17" t="s">
        <v>74</v>
      </c>
      <c r="F172" s="67">
        <v>7105844</v>
      </c>
      <c r="G172" s="67">
        <v>5314559.09</v>
      </c>
      <c r="H172" s="38">
        <f t="shared" si="7"/>
        <v>0.74791384246544113</v>
      </c>
    </row>
    <row r="173" spans="1:8" s="13" customFormat="1" ht="15.6">
      <c r="A173" s="24" t="s">
        <v>299</v>
      </c>
      <c r="B173" s="15" t="s">
        <v>47</v>
      </c>
      <c r="C173" s="15" t="s">
        <v>47</v>
      </c>
      <c r="D173" s="81" t="s">
        <v>300</v>
      </c>
      <c r="E173" s="82"/>
      <c r="F173" s="56">
        <f>F174</f>
        <v>28500</v>
      </c>
      <c r="G173" s="56">
        <f>G174</f>
        <v>28500</v>
      </c>
      <c r="H173" s="37">
        <f t="shared" si="7"/>
        <v>1</v>
      </c>
    </row>
    <row r="174" spans="1:8" s="13" customFormat="1" ht="15.6">
      <c r="A174" s="24" t="s">
        <v>301</v>
      </c>
      <c r="B174" s="15" t="s">
        <v>47</v>
      </c>
      <c r="C174" s="15" t="s">
        <v>47</v>
      </c>
      <c r="D174" s="81" t="s">
        <v>300</v>
      </c>
      <c r="E174" s="82"/>
      <c r="F174" s="56">
        <f>F175</f>
        <v>28500</v>
      </c>
      <c r="G174" s="56">
        <f>G175</f>
        <v>28500</v>
      </c>
      <c r="H174" s="37">
        <f t="shared" si="7"/>
        <v>1</v>
      </c>
    </row>
    <row r="175" spans="1:8" s="13" customFormat="1" ht="15.6">
      <c r="A175" s="15" t="s">
        <v>302</v>
      </c>
      <c r="B175" s="15" t="s">
        <v>303</v>
      </c>
      <c r="C175" s="16" t="s">
        <v>20</v>
      </c>
      <c r="D175" s="17" t="s">
        <v>304</v>
      </c>
      <c r="E175" s="71" t="s">
        <v>14</v>
      </c>
      <c r="F175" s="67">
        <v>28500</v>
      </c>
      <c r="G175" s="67">
        <v>28500</v>
      </c>
      <c r="H175" s="38">
        <f t="shared" si="7"/>
        <v>1</v>
      </c>
    </row>
    <row r="176" spans="1:8" s="13" customFormat="1" ht="15.6">
      <c r="A176" s="24" t="s">
        <v>7</v>
      </c>
      <c r="B176" s="15" t="s">
        <v>47</v>
      </c>
      <c r="C176" s="15" t="s">
        <v>47</v>
      </c>
      <c r="D176" s="81" t="s">
        <v>58</v>
      </c>
      <c r="E176" s="82"/>
      <c r="F176" s="56">
        <f>F177</f>
        <v>78145443</v>
      </c>
      <c r="G176" s="56">
        <f>G177</f>
        <v>74445206.469999999</v>
      </c>
      <c r="H176" s="37">
        <f t="shared" si="7"/>
        <v>0.95264936267620881</v>
      </c>
    </row>
    <row r="177" spans="1:8" s="13" customFormat="1" ht="15.6">
      <c r="A177" s="24" t="s">
        <v>8</v>
      </c>
      <c r="B177" s="15" t="s">
        <v>47</v>
      </c>
      <c r="C177" s="15" t="s">
        <v>47</v>
      </c>
      <c r="D177" s="81" t="s">
        <v>58</v>
      </c>
      <c r="E177" s="82"/>
      <c r="F177" s="56">
        <f>F178+F181</f>
        <v>78145443</v>
      </c>
      <c r="G177" s="56">
        <f>G178+G181</f>
        <v>74445206.469999999</v>
      </c>
      <c r="H177" s="37">
        <f t="shared" si="7"/>
        <v>0.95264936267620881</v>
      </c>
    </row>
    <row r="178" spans="1:8" s="13" customFormat="1" ht="15.6">
      <c r="A178" s="15" t="s">
        <v>152</v>
      </c>
      <c r="B178" s="16" t="s">
        <v>153</v>
      </c>
      <c r="C178" s="47" t="s">
        <v>9</v>
      </c>
      <c r="D178" s="23" t="s">
        <v>154</v>
      </c>
      <c r="E178" s="23" t="s">
        <v>99</v>
      </c>
      <c r="F178" s="57">
        <f>F179+F180</f>
        <v>2083500</v>
      </c>
      <c r="G178" s="57">
        <f>G179+G180</f>
        <v>2083500</v>
      </c>
      <c r="H178" s="38">
        <f t="shared" si="7"/>
        <v>1</v>
      </c>
    </row>
    <row r="179" spans="1:8" s="13" customFormat="1" ht="62.4">
      <c r="A179" s="19"/>
      <c r="B179" s="20"/>
      <c r="C179" s="52"/>
      <c r="D179" s="53"/>
      <c r="E179" s="44" t="s">
        <v>102</v>
      </c>
      <c r="F179" s="64">
        <v>1800000</v>
      </c>
      <c r="G179" s="64">
        <v>1800000</v>
      </c>
      <c r="H179" s="39">
        <f t="shared" si="7"/>
        <v>1</v>
      </c>
    </row>
    <row r="180" spans="1:8" s="13" customFormat="1" ht="93.6">
      <c r="A180" s="19"/>
      <c r="B180" s="20"/>
      <c r="C180" s="52"/>
      <c r="D180" s="53"/>
      <c r="E180" s="44" t="s">
        <v>305</v>
      </c>
      <c r="F180" s="64">
        <v>283500</v>
      </c>
      <c r="G180" s="64">
        <v>283500</v>
      </c>
      <c r="H180" s="39">
        <f t="shared" si="7"/>
        <v>1</v>
      </c>
    </row>
    <row r="181" spans="1:8" s="13" customFormat="1" ht="46.8">
      <c r="A181" s="15" t="s">
        <v>59</v>
      </c>
      <c r="B181" s="16" t="s">
        <v>60</v>
      </c>
      <c r="C181" s="32" t="s">
        <v>9</v>
      </c>
      <c r="D181" s="23" t="s">
        <v>43</v>
      </c>
      <c r="E181" s="23" t="s">
        <v>99</v>
      </c>
      <c r="F181" s="57">
        <f>F183+F184+F185+F186+F187+F188+F189</f>
        <v>76061943</v>
      </c>
      <c r="G181" s="57">
        <f>G183+G184+G185+G186+G187+G188+G189</f>
        <v>72361706.469999999</v>
      </c>
      <c r="H181" s="38">
        <f t="shared" si="7"/>
        <v>0.95135232701063133</v>
      </c>
    </row>
    <row r="182" spans="1:8" s="13" customFormat="1" ht="15.6">
      <c r="A182" s="15"/>
      <c r="B182" s="16"/>
      <c r="C182" s="32"/>
      <c r="D182" s="23"/>
      <c r="E182" s="23" t="s">
        <v>100</v>
      </c>
      <c r="F182" s="64"/>
      <c r="G182" s="64"/>
      <c r="H182" s="38"/>
    </row>
    <row r="183" spans="1:8" s="13" customFormat="1" ht="93.6">
      <c r="A183" s="19"/>
      <c r="B183" s="19"/>
      <c r="C183" s="20"/>
      <c r="D183" s="21"/>
      <c r="E183" s="44" t="s">
        <v>101</v>
      </c>
      <c r="F183" s="64">
        <f>1300000+6800000+1902000+4750000+1943963+2204400+5202404+4100000+6000000+10044456+5757500-172780+3000000</f>
        <v>52831943</v>
      </c>
      <c r="G183" s="64">
        <v>49131943</v>
      </c>
      <c r="H183" s="39">
        <f t="shared" si="7"/>
        <v>0.92996661129801717</v>
      </c>
    </row>
    <row r="184" spans="1:8" s="13" customFormat="1" ht="62.4">
      <c r="A184" s="19"/>
      <c r="B184" s="19"/>
      <c r="C184" s="20"/>
      <c r="D184" s="21"/>
      <c r="E184" s="44" t="s">
        <v>102</v>
      </c>
      <c r="F184" s="64">
        <f>5000000+3200000+8000000</f>
        <v>16200000</v>
      </c>
      <c r="G184" s="64">
        <v>16199789</v>
      </c>
      <c r="H184" s="39">
        <f t="shared" si="7"/>
        <v>0.999986975308642</v>
      </c>
    </row>
    <row r="185" spans="1:8" s="13" customFormat="1" ht="46.8">
      <c r="A185" s="19"/>
      <c r="B185" s="19"/>
      <c r="C185" s="20"/>
      <c r="D185" s="21"/>
      <c r="E185" s="44" t="s">
        <v>103</v>
      </c>
      <c r="F185" s="64">
        <v>1550000</v>
      </c>
      <c r="G185" s="64">
        <v>1549974.47</v>
      </c>
      <c r="H185" s="39">
        <f t="shared" si="7"/>
        <v>0.99998352903225807</v>
      </c>
    </row>
    <row r="186" spans="1:8" s="13" customFormat="1" ht="46.8">
      <c r="A186" s="19"/>
      <c r="B186" s="19"/>
      <c r="C186" s="20"/>
      <c r="D186" s="21"/>
      <c r="E186" s="44" t="s">
        <v>155</v>
      </c>
      <c r="F186" s="64">
        <v>950000</v>
      </c>
      <c r="G186" s="64">
        <v>950000</v>
      </c>
      <c r="H186" s="39">
        <f t="shared" si="7"/>
        <v>1</v>
      </c>
    </row>
    <row r="187" spans="1:8" s="13" customFormat="1" ht="46.8">
      <c r="A187" s="19"/>
      <c r="B187" s="19"/>
      <c r="C187" s="20"/>
      <c r="D187" s="21"/>
      <c r="E187" s="44" t="s">
        <v>306</v>
      </c>
      <c r="F187" s="64">
        <v>1000000</v>
      </c>
      <c r="G187" s="64">
        <v>1000000</v>
      </c>
      <c r="H187" s="39">
        <f t="shared" si="7"/>
        <v>1</v>
      </c>
    </row>
    <row r="188" spans="1:8" s="13" customFormat="1" ht="31.2">
      <c r="A188" s="19"/>
      <c r="B188" s="19"/>
      <c r="C188" s="20"/>
      <c r="D188" s="21"/>
      <c r="E188" s="44" t="s">
        <v>307</v>
      </c>
      <c r="F188" s="64">
        <v>2700000</v>
      </c>
      <c r="G188" s="64">
        <v>2700000</v>
      </c>
      <c r="H188" s="39">
        <f t="shared" si="7"/>
        <v>1</v>
      </c>
    </row>
    <row r="189" spans="1:8" s="13" customFormat="1" ht="62.4">
      <c r="A189" s="19"/>
      <c r="B189" s="19"/>
      <c r="C189" s="20"/>
      <c r="D189" s="21"/>
      <c r="E189" s="44" t="s">
        <v>308</v>
      </c>
      <c r="F189" s="64">
        <v>830000</v>
      </c>
      <c r="G189" s="64">
        <v>830000</v>
      </c>
      <c r="H189" s="39">
        <f t="shared" si="7"/>
        <v>1</v>
      </c>
    </row>
    <row r="190" spans="1:8" s="13" customFormat="1" ht="15.6">
      <c r="A190" s="33"/>
      <c r="B190" s="14"/>
      <c r="C190" s="14"/>
      <c r="D190" s="34"/>
      <c r="E190" s="35" t="s">
        <v>10</v>
      </c>
      <c r="F190" s="62">
        <f>F10+F33+F58+F64+F67+F70+F128+F173+F176</f>
        <v>251673111.13999999</v>
      </c>
      <c r="G190" s="62">
        <f>G10+G33+G58+G64+G67+G70+G128+G173+G176</f>
        <v>187819058.37</v>
      </c>
      <c r="H190" s="37">
        <f t="shared" si="7"/>
        <v>0.74628178401434619</v>
      </c>
    </row>
    <row r="191" spans="1:8" s="13" customFormat="1" ht="15.6">
      <c r="B191" s="72"/>
      <c r="C191" s="72"/>
      <c r="E191" s="73"/>
      <c r="F191" s="74"/>
      <c r="H191" s="70"/>
    </row>
    <row r="192" spans="1:8" s="13" customFormat="1">
      <c r="A192" s="75"/>
      <c r="B192" s="13" t="s">
        <v>309</v>
      </c>
      <c r="H192" s="70"/>
    </row>
    <row r="193" spans="1:8" s="13" customFormat="1" ht="15.6">
      <c r="A193" s="70"/>
      <c r="E193" s="76"/>
      <c r="H193" s="70"/>
    </row>
    <row r="194" spans="1:8">
      <c r="F194" s="1">
        <v>154997902</v>
      </c>
      <c r="G194" s="1">
        <v>20648313.710000001</v>
      </c>
    </row>
    <row r="196" spans="1:8">
      <c r="F196" s="80">
        <f>F190+F194</f>
        <v>406671013.13999999</v>
      </c>
      <c r="G196" s="80">
        <f>G190+G194</f>
        <v>208467372.08000001</v>
      </c>
    </row>
  </sheetData>
  <customSheetViews>
    <customSheetView guid="{6174BFC3-8EFC-491A-B8A3-28DB8186A904}" scale="80" showPageBreaks="1" fitToPage="1" printArea="1" view="pageBreakPreview">
      <selection activeCell="G142" sqref="G142"/>
      <rowBreaks count="1" manualBreakCount="1">
        <brk id="101" max="7" man="1"/>
      </rowBreaks>
      <pageMargins left="0.19685039370078741" right="0.19685039370078741" top="0.19685039370078741" bottom="0.19685039370078741" header="0.19685039370078741" footer="0.19685039370078741"/>
      <pageSetup paperSize="9" scale="47" fitToHeight="36" orientation="portrait" r:id="rId1"/>
    </customSheetView>
    <customSheetView guid="{71B4C162-96A9-4CA7-B3F0-0C57B820C4BA}" scale="80" showPageBreaks="1" printArea="1" view="pageBreakPreview" topLeftCell="A48">
      <selection activeCell="G35" sqref="G35"/>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2"/>
    </customSheetView>
    <customSheetView guid="{9D5EF3DD-3431-45D7-BCA1-2268CCD9FD10}" scale="80" showPageBreaks="1" printArea="1" view="pageBreakPreview">
      <selection activeCell="G407" sqref="G407"/>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3"/>
    </customSheetView>
    <customSheetView guid="{02AC496F-F7D9-465B-9A66-D319977CD4A2}" scale="80" showPageBreaks="1" printArea="1" view="pageBreakPreview" topLeftCell="A88">
      <selection activeCell="K94" sqref="K94"/>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4"/>
    </customSheetView>
  </customSheetViews>
  <mergeCells count="34">
    <mergeCell ref="H7:H8"/>
    <mergeCell ref="D10:E10"/>
    <mergeCell ref="D11:E11"/>
    <mergeCell ref="F1:H1"/>
    <mergeCell ref="A7:A8"/>
    <mergeCell ref="B7:B8"/>
    <mergeCell ref="C7:C8"/>
    <mergeCell ref="D7:D8"/>
    <mergeCell ref="E7:E8"/>
    <mergeCell ref="F2:H2"/>
    <mergeCell ref="F3:H3"/>
    <mergeCell ref="A4:H4"/>
    <mergeCell ref="A5:B5"/>
    <mergeCell ref="D68:E68"/>
    <mergeCell ref="D70:E70"/>
    <mergeCell ref="D71:E71"/>
    <mergeCell ref="F7:F8"/>
    <mergeCell ref="G7:G8"/>
    <mergeCell ref="D62:E62"/>
    <mergeCell ref="D63:E63"/>
    <mergeCell ref="D64:E64"/>
    <mergeCell ref="D65:E65"/>
    <mergeCell ref="D67:E67"/>
    <mergeCell ref="D33:E33"/>
    <mergeCell ref="D34:E34"/>
    <mergeCell ref="D58:E58"/>
    <mergeCell ref="D59:E59"/>
    <mergeCell ref="D61:E61"/>
    <mergeCell ref="D177:E177"/>
    <mergeCell ref="D128:E128"/>
    <mergeCell ref="D129:E129"/>
    <mergeCell ref="D173:E173"/>
    <mergeCell ref="D174:E174"/>
    <mergeCell ref="D176:E176"/>
  </mergeCells>
  <pageMargins left="0.39370078740157483" right="0.39370078740157483" top="0.59055118110236227" bottom="0.59055118110236227" header="0.19685039370078741" footer="0.19685039370078741"/>
  <pageSetup paperSize="9" scale="47" fitToHeight="36" orientation="portrait" r:id="rId5"/>
  <headerFooter differentFirst="1"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БР</vt:lpstr>
      <vt:lpstr>БР!Заголовки_для_друку</vt:lpstr>
      <vt:lpstr>БР!Область_друку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220FU11</cp:lastModifiedBy>
  <cp:lastPrinted>2024-10-16T13:02:55Z</cp:lastPrinted>
  <dcterms:created xsi:type="dcterms:W3CDTF">2019-04-10T18:00:09Z</dcterms:created>
  <dcterms:modified xsi:type="dcterms:W3CDTF">2025-01-22T09:08:22Z</dcterms:modified>
</cp:coreProperties>
</file>