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SHARE\0-Старые данные\SHARE\Бюджет 2024\ВИКОНАННЯ\2024 рік\"/>
    </mc:Choice>
  </mc:AlternateContent>
  <bookViews>
    <workbookView xWindow="120" yWindow="60" windowWidth="19320" windowHeight="10128"/>
  </bookViews>
  <sheets>
    <sheet name="БР" sheetId="1" r:id="rId1"/>
  </sheets>
  <definedNames>
    <definedName name="Z_02AC496F_F7D9_465B_9A66_D319977CD4A2_.wvu.PrintArea" localSheetId="0" hidden="1">БР!$A$1:$H$8</definedName>
    <definedName name="Z_02AC496F_F7D9_465B_9A66_D319977CD4A2_.wvu.PrintTitles" localSheetId="0" hidden="1">БР!$7:$8</definedName>
    <definedName name="Z_6174BFC3_8EFC_491A_B8A3_28DB8186A904_.wvu.PrintArea" localSheetId="0" hidden="1">БР!$A$1:$H$8</definedName>
    <definedName name="Z_6174BFC3_8EFC_491A_B8A3_28DB8186A904_.wvu.PrintTitles" localSheetId="0" hidden="1">БР!$7:$8</definedName>
    <definedName name="Z_71B4C162_96A9_4CA7_B3F0_0C57B820C4BA_.wvu.PrintArea" localSheetId="0" hidden="1">БР!$A$1:$H$8</definedName>
    <definedName name="Z_71B4C162_96A9_4CA7_B3F0_0C57B820C4BA_.wvu.PrintTitles" localSheetId="0" hidden="1">БР!$7:$8</definedName>
    <definedName name="Z_9D5EF3DD_3431_45D7_BCA1_2268CCD9FD10_.wvu.PrintArea" localSheetId="0" hidden="1">БР!$A$1:$H$8</definedName>
    <definedName name="Z_9D5EF3DD_3431_45D7_BCA1_2268CCD9FD10_.wvu.PrintTitles" localSheetId="0" hidden="1">БР!$7:$8</definedName>
    <definedName name="_xlnm.Print_Titles" localSheetId="0">БР!$7:$8</definedName>
    <definedName name="_xlnm.Print_Area" localSheetId="0">БР!$A$1:$H$192</definedName>
  </definedNames>
  <calcPr calcId="152511"/>
  <customWorkbookViews>
    <customWorkbookView name="220FU6 - Личное представление" guid="{6174BFC3-8EFC-491A-B8A3-28DB8186A904}" mergeInterval="0" personalView="1" maximized="1" xWindow="-8" yWindow="-8" windowWidth="1616" windowHeight="876" activeSheetId="1"/>
    <customWorkbookView name="220FU5 - Личное представление" guid="{71B4C162-96A9-4CA7-B3F0-0C57B820C4BA}" mergeInterval="0" personalView="1" maximized="1" xWindow="-8" yWindow="-8" windowWidth="1936" windowHeight="1056" activeSheetId="1"/>
    <customWorkbookView name="220FU3 - Личное представление" guid="{9D5EF3DD-3431-45D7-BCA1-2268CCD9FD10}" mergeInterval="0" personalView="1" maximized="1" xWindow="-8" yWindow="-8" windowWidth="1382" windowHeight="744" activeSheetId="1"/>
    <customWorkbookView name="220FU1 - Личное представление" guid="{02AC496F-F7D9-465B-9A66-D319977CD4A2}" mergeInterval="0" personalView="1" maximized="1" xWindow="-8" yWindow="-8" windowWidth="1936" windowHeight="1056" activeSheetId="1"/>
  </customWorkbookViews>
</workbook>
</file>

<file path=xl/calcChain.xml><?xml version="1.0" encoding="utf-8"?>
<calcChain xmlns="http://schemas.openxmlformats.org/spreadsheetml/2006/main">
  <c r="G196" i="1" l="1"/>
  <c r="F196" i="1"/>
  <c r="G158" i="1" l="1"/>
  <c r="G151" i="1"/>
  <c r="H14" i="1" l="1"/>
  <c r="H15" i="1"/>
  <c r="H16" i="1"/>
  <c r="H17" i="1"/>
  <c r="H18" i="1"/>
  <c r="H19" i="1"/>
  <c r="H20" i="1"/>
  <c r="H21" i="1"/>
  <c r="H23" i="1"/>
  <c r="H24" i="1"/>
  <c r="H26" i="1"/>
  <c r="H27" i="1"/>
  <c r="H28" i="1"/>
  <c r="H29" i="1"/>
  <c r="H30" i="1"/>
  <c r="H31" i="1"/>
  <c r="H32" i="1"/>
  <c r="H36" i="1"/>
  <c r="H37" i="1"/>
  <c r="H38" i="1"/>
  <c r="H39" i="1"/>
  <c r="H41" i="1"/>
  <c r="H42" i="1"/>
  <c r="H43" i="1"/>
  <c r="H44" i="1"/>
  <c r="H45" i="1"/>
  <c r="H47" i="1"/>
  <c r="H48" i="1"/>
  <c r="H49" i="1"/>
  <c r="H50" i="1"/>
  <c r="H51" i="1"/>
  <c r="H52" i="1"/>
  <c r="H54" i="1"/>
  <c r="H55" i="1"/>
  <c r="H56" i="1"/>
  <c r="H57" i="1"/>
  <c r="H60" i="1"/>
  <c r="H61" i="1"/>
  <c r="H62" i="1"/>
  <c r="H63" i="1"/>
  <c r="H64" i="1"/>
  <c r="H65" i="1"/>
  <c r="H66" i="1"/>
  <c r="H69" i="1"/>
  <c r="H74" i="1"/>
  <c r="H75" i="1"/>
  <c r="H76" i="1"/>
  <c r="H77" i="1"/>
  <c r="H78" i="1"/>
  <c r="H79" i="1"/>
  <c r="H80" i="1"/>
  <c r="H81" i="1"/>
  <c r="H82" i="1"/>
  <c r="H83" i="1"/>
  <c r="H84" i="1"/>
  <c r="H85" i="1"/>
  <c r="H86" i="1"/>
  <c r="H87" i="1"/>
  <c r="H88" i="1"/>
  <c r="H89" i="1"/>
  <c r="H90" i="1"/>
  <c r="H91" i="1"/>
  <c r="H93" i="1"/>
  <c r="H94" i="1"/>
  <c r="H97" i="1"/>
  <c r="H98" i="1"/>
  <c r="H100" i="1"/>
  <c r="H101" i="1"/>
  <c r="H103" i="1"/>
  <c r="H104" i="1"/>
  <c r="H105" i="1"/>
  <c r="H107" i="1"/>
  <c r="H108" i="1"/>
  <c r="H109" i="1"/>
  <c r="H110" i="1"/>
  <c r="H111" i="1"/>
  <c r="H112" i="1"/>
  <c r="H113" i="1"/>
  <c r="H114" i="1"/>
  <c r="H115" i="1"/>
  <c r="H116" i="1"/>
  <c r="H117" i="1"/>
  <c r="H118" i="1"/>
  <c r="H119" i="1"/>
  <c r="H121" i="1"/>
  <c r="H122" i="1"/>
  <c r="H123" i="1"/>
  <c r="H124" i="1"/>
  <c r="H125" i="1"/>
  <c r="H126" i="1"/>
  <c r="H127" i="1"/>
  <c r="H130" i="1"/>
  <c r="H131" i="1"/>
  <c r="H133" i="1"/>
  <c r="H134" i="1"/>
  <c r="H135" i="1"/>
  <c r="H136" i="1"/>
  <c r="H137" i="1"/>
  <c r="H138" i="1"/>
  <c r="H139" i="1"/>
  <c r="H140" i="1"/>
  <c r="H141" i="1"/>
  <c r="H142" i="1"/>
  <c r="H143" i="1"/>
  <c r="H144" i="1"/>
  <c r="H146" i="1"/>
  <c r="H147" i="1"/>
  <c r="H149" i="1"/>
  <c r="H151" i="1"/>
  <c r="H152" i="1"/>
  <c r="H153" i="1"/>
  <c r="H154" i="1"/>
  <c r="H155" i="1"/>
  <c r="H156" i="1"/>
  <c r="H158" i="1"/>
  <c r="H159" i="1"/>
  <c r="H160" i="1"/>
  <c r="H161" i="1"/>
  <c r="H163" i="1"/>
  <c r="H164" i="1"/>
  <c r="H165" i="1"/>
  <c r="H166" i="1"/>
  <c r="H167" i="1"/>
  <c r="H168" i="1"/>
  <c r="H170" i="1"/>
  <c r="H171" i="1"/>
  <c r="H172" i="1"/>
  <c r="H175" i="1"/>
  <c r="H179" i="1"/>
  <c r="H180" i="1"/>
  <c r="H183" i="1"/>
  <c r="H184" i="1"/>
  <c r="H185" i="1"/>
  <c r="H186" i="1"/>
  <c r="H187" i="1"/>
  <c r="H188" i="1"/>
  <c r="H189" i="1"/>
  <c r="G13" i="1" l="1"/>
  <c r="H13" i="1" s="1"/>
  <c r="G22" i="1"/>
  <c r="H22" i="1" s="1"/>
  <c r="G25" i="1"/>
  <c r="H25" i="1" s="1"/>
  <c r="G35" i="1"/>
  <c r="H35" i="1" s="1"/>
  <c r="G40" i="1"/>
  <c r="H40" i="1" s="1"/>
  <c r="G46" i="1"/>
  <c r="H46" i="1" s="1"/>
  <c r="G53" i="1"/>
  <c r="H53" i="1" s="1"/>
  <c r="G59" i="1"/>
  <c r="G65" i="1"/>
  <c r="G64" i="1" s="1"/>
  <c r="G68" i="1"/>
  <c r="G73" i="1"/>
  <c r="G92" i="1"/>
  <c r="H92" i="1" s="1"/>
  <c r="G96" i="1"/>
  <c r="G99" i="1"/>
  <c r="H99" i="1" s="1"/>
  <c r="G102" i="1"/>
  <c r="H102" i="1" s="1"/>
  <c r="G106" i="1"/>
  <c r="H106" i="1" s="1"/>
  <c r="G120" i="1"/>
  <c r="H120" i="1" s="1"/>
  <c r="G132" i="1"/>
  <c r="H132" i="1" s="1"/>
  <c r="G145" i="1"/>
  <c r="H145" i="1" s="1"/>
  <c r="G148" i="1"/>
  <c r="H148" i="1" s="1"/>
  <c r="G150" i="1"/>
  <c r="H150" i="1" s="1"/>
  <c r="G157" i="1"/>
  <c r="H157" i="1" s="1"/>
  <c r="G160" i="1"/>
  <c r="G162" i="1"/>
  <c r="H162" i="1" s="1"/>
  <c r="G169" i="1"/>
  <c r="H169" i="1" s="1"/>
  <c r="G174" i="1"/>
  <c r="G178" i="1"/>
  <c r="H178" i="1" s="1"/>
  <c r="G181" i="1"/>
  <c r="H181" i="1" s="1"/>
  <c r="F184" i="1"/>
  <c r="F181" i="1" s="1"/>
  <c r="F177" i="1" s="1"/>
  <c r="F176" i="1" s="1"/>
  <c r="F183" i="1"/>
  <c r="F178" i="1"/>
  <c r="F174" i="1"/>
  <c r="F173" i="1"/>
  <c r="F171" i="1"/>
  <c r="F169" i="1" s="1"/>
  <c r="F170" i="1"/>
  <c r="F168" i="1"/>
  <c r="F167" i="1"/>
  <c r="F162" i="1" s="1"/>
  <c r="F160" i="1"/>
  <c r="F158" i="1"/>
  <c r="F157" i="1"/>
  <c r="F156" i="1"/>
  <c r="F155" i="1"/>
  <c r="F154" i="1"/>
  <c r="F153" i="1"/>
  <c r="F150" i="1" s="1"/>
  <c r="F152" i="1"/>
  <c r="F148" i="1"/>
  <c r="F145" i="1"/>
  <c r="F143" i="1"/>
  <c r="F142" i="1"/>
  <c r="F141" i="1"/>
  <c r="F140" i="1"/>
  <c r="F139" i="1"/>
  <c r="F138" i="1"/>
  <c r="F137" i="1"/>
  <c r="F136" i="1"/>
  <c r="F135" i="1"/>
  <c r="F134" i="1"/>
  <c r="F133" i="1"/>
  <c r="F132" i="1"/>
  <c r="F130" i="1"/>
  <c r="F124" i="1"/>
  <c r="F120" i="1" s="1"/>
  <c r="F107" i="1"/>
  <c r="F106" i="1"/>
  <c r="F102" i="1"/>
  <c r="F101" i="1"/>
  <c r="F100" i="1"/>
  <c r="F99" i="1"/>
  <c r="F97" i="1"/>
  <c r="F96" i="1" s="1"/>
  <c r="F95" i="1" s="1"/>
  <c r="F92" i="1"/>
  <c r="F90" i="1"/>
  <c r="F81" i="1"/>
  <c r="F80" i="1"/>
  <c r="F79" i="1"/>
  <c r="F78" i="1"/>
  <c r="F73" i="1" s="1"/>
  <c r="F72" i="1" s="1"/>
  <c r="F77" i="1"/>
  <c r="F68" i="1"/>
  <c r="F67" i="1"/>
  <c r="F65" i="1"/>
  <c r="F64" i="1" s="1"/>
  <c r="F61" i="1"/>
  <c r="F59" i="1"/>
  <c r="F58" i="1" s="1"/>
  <c r="F57" i="1"/>
  <c r="F56" i="1"/>
  <c r="F55" i="1"/>
  <c r="F54" i="1"/>
  <c r="F53" i="1" s="1"/>
  <c r="F51" i="1"/>
  <c r="F48" i="1"/>
  <c r="F47" i="1"/>
  <c r="F46" i="1" s="1"/>
  <c r="F44" i="1"/>
  <c r="F43" i="1"/>
  <c r="F42" i="1"/>
  <c r="F40" i="1" s="1"/>
  <c r="F41" i="1"/>
  <c r="F39" i="1"/>
  <c r="F37" i="1"/>
  <c r="F35" i="1" s="1"/>
  <c r="F34" i="1" s="1"/>
  <c r="F33" i="1" s="1"/>
  <c r="F36" i="1"/>
  <c r="F30" i="1"/>
  <c r="F28" i="1"/>
  <c r="F27" i="1"/>
  <c r="F26" i="1"/>
  <c r="F25" i="1" s="1"/>
  <c r="F23" i="1"/>
  <c r="F22" i="1"/>
  <c r="F20" i="1"/>
  <c r="F13" i="1" s="1"/>
  <c r="F11" i="1" s="1"/>
  <c r="F10" i="1" s="1"/>
  <c r="F16" i="1"/>
  <c r="F15" i="1"/>
  <c r="G173" i="1" l="1"/>
  <c r="H173" i="1" s="1"/>
  <c r="H174" i="1"/>
  <c r="G95" i="1"/>
  <c r="H95" i="1" s="1"/>
  <c r="H96" i="1"/>
  <c r="G72" i="1"/>
  <c r="H72" i="1" s="1"/>
  <c r="H73" i="1"/>
  <c r="G67" i="1"/>
  <c r="H67" i="1" s="1"/>
  <c r="H68" i="1"/>
  <c r="G58" i="1"/>
  <c r="H58" i="1" s="1"/>
  <c r="H59" i="1"/>
  <c r="G177" i="1"/>
  <c r="H177" i="1" s="1"/>
  <c r="G11" i="1"/>
  <c r="G10" i="1" s="1"/>
  <c r="G129" i="1"/>
  <c r="G34" i="1"/>
  <c r="F129" i="1"/>
  <c r="F128" i="1" s="1"/>
  <c r="F71" i="1"/>
  <c r="F70" i="1" s="1"/>
  <c r="F190" i="1" s="1"/>
  <c r="G128" i="1" l="1"/>
  <c r="H128" i="1" s="1"/>
  <c r="H129" i="1"/>
  <c r="G71" i="1"/>
  <c r="G33" i="1"/>
  <c r="H33" i="1" s="1"/>
  <c r="H34" i="1"/>
  <c r="G176" i="1"/>
  <c r="H176" i="1" s="1"/>
  <c r="G70" i="1" l="1"/>
  <c r="H70" i="1" s="1"/>
  <c r="H71" i="1"/>
  <c r="G190" i="1" l="1"/>
  <c r="H190" i="1" s="1"/>
  <c r="H12" i="1"/>
  <c r="H11" i="1" l="1"/>
  <c r="H10" i="1" l="1"/>
</calcChain>
</file>

<file path=xl/sharedStrings.xml><?xml version="1.0" encoding="utf-8"?>
<sst xmlns="http://schemas.openxmlformats.org/spreadsheetml/2006/main" count="405" uniqueCount="314">
  <si>
    <t>% виконання</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</si>
  <si>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</si>
  <si>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</si>
  <si>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</si>
  <si>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</si>
  <si>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0600000</t>
  </si>
  <si>
    <t>0610000</t>
  </si>
  <si>
    <t>3700000</t>
  </si>
  <si>
    <t>3710000</t>
  </si>
  <si>
    <t>0180</t>
  </si>
  <si>
    <t>ВСЬОГО</t>
  </si>
  <si>
    <t>(код бюджету)</t>
  </si>
  <si>
    <t>0200000</t>
  </si>
  <si>
    <t>0210000</t>
  </si>
  <si>
    <t>Капітальні видатки</t>
  </si>
  <si>
    <t>0731</t>
  </si>
  <si>
    <t>Багатопрофільна стаціонарна медична допомога населенню</t>
  </si>
  <si>
    <t>6030</t>
  </si>
  <si>
    <t>0620</t>
  </si>
  <si>
    <t>Організація благоустрою населених пунктів</t>
  </si>
  <si>
    <t>0490</t>
  </si>
  <si>
    <t>0611021</t>
  </si>
  <si>
    <t>1021</t>
  </si>
  <si>
    <t>0921</t>
  </si>
  <si>
    <t>Капітальні видатки разом, в т.ч.:</t>
  </si>
  <si>
    <t>0610</t>
  </si>
  <si>
    <t>1200000</t>
  </si>
  <si>
    <t>1210000</t>
  </si>
  <si>
    <t>Експлуатація та технічне обслуговування житлового фонду</t>
  </si>
  <si>
    <t>Забезпечення діяльності водопровідно-каналізаційного господарства</t>
  </si>
  <si>
    <t>1216015</t>
  </si>
  <si>
    <t>6015</t>
  </si>
  <si>
    <t>Забезпечення надійної та безперебійної експлуатації ліфтів</t>
  </si>
  <si>
    <t>1216030</t>
  </si>
  <si>
    <t>0470</t>
  </si>
  <si>
    <t>Заходи з енергозбереження</t>
  </si>
  <si>
    <t>1500000</t>
  </si>
  <si>
    <t>1510000</t>
  </si>
  <si>
    <t>Реалізація інших заходів щодо соціально-економічного розвитку територій</t>
  </si>
  <si>
    <t>Виконавчий комітет Чорноморської  міської ради  Одеського району Одеської області</t>
  </si>
  <si>
    <t>1518110</t>
  </si>
  <si>
    <t>8110</t>
  </si>
  <si>
    <t>Заходи із запобігання та ліквідації надзвичайних ситуацій та наслідків стихійного лиха</t>
  </si>
  <si>
    <t>Субвенція з місцевого бюджету державному бюджету на виконання програм соціально-економічного розвитку регіонів</t>
  </si>
  <si>
    <t>0320</t>
  </si>
  <si>
    <t>0212010</t>
  </si>
  <si>
    <t>2010</t>
  </si>
  <si>
    <t/>
  </si>
  <si>
    <t>Надання загальної середньої освіти закладами загальної середньої освіти за рахунок коштів місцевого бюджету</t>
  </si>
  <si>
    <t>6011</t>
  </si>
  <si>
    <t>1516013</t>
  </si>
  <si>
    <t>6013</t>
  </si>
  <si>
    <t>1516015</t>
  </si>
  <si>
    <t>7370</t>
  </si>
  <si>
    <t>1517640</t>
  </si>
  <si>
    <t>7640</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</si>
  <si>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</si>
  <si>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м.Чорноморськ,вул.1-го Травня буд.3</t>
  </si>
  <si>
    <t>Фiнансове управлiння Чорноморської мiської ради Одеського району Одеської областi</t>
  </si>
  <si>
    <t>3719800</t>
  </si>
  <si>
    <t>9800</t>
  </si>
  <si>
    <t>до рішення Чорноморської міської ради</t>
  </si>
  <si>
    <t>0380</t>
  </si>
  <si>
    <t>Капітальний ремонт каналізаційного колектору Ду 800 мм за адресою: Одеська область, Одеський район, м.Чорноморськ, вул.1 Травня (частково) - парк Молодіжний</t>
  </si>
  <si>
    <t>0611010</t>
  </si>
  <si>
    <t>1010</t>
  </si>
  <si>
    <t>0910</t>
  </si>
  <si>
    <t>Надання дошкільної освіти</t>
  </si>
  <si>
    <t>0618110</t>
  </si>
  <si>
    <t>Найменування робіт</t>
  </si>
  <si>
    <t>0218240</t>
  </si>
  <si>
    <t>8240</t>
  </si>
  <si>
    <t>Заходи та роботи з територіальної оборони</t>
  </si>
  <si>
    <t>Придбання затворів (засувок) з демонтажними вставками для заміни на водогонах</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</si>
  <si>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м.Чорноморськ, вул.Віталія Шума, 4, літ.А</t>
  </si>
  <si>
    <t>Додаток 5</t>
  </si>
  <si>
    <t>Придбання обладнання для облаштування реабілітаційного відділення КНП "Чорноморська лікарня" Чорноморської міської ради Одеського району Одеської області за адресою: м.Чорноморськ, вул.В.Шума, 4</t>
  </si>
  <si>
    <t>Управління освіти Чорноморської  міської ради  Одеського району Одеської області</t>
  </si>
  <si>
    <t xml:space="preserve">Капітальний ремонт вимощення, водовідведення, вхідних груп закладу дошкільної освіти (ясла - садок) № 1 за адресою: Одеська область, Одеський район, місто Чорноморськ, вулиця 1 Травня, 4-Б </t>
  </si>
  <si>
    <t>Капітальний ремонт покрівлі з встановленням геліосистеми в закладі дошкільної освіти (ясла - садок) № 1 за адресою: Одеська область, Одеський район, місто Чорноморськ, вулиця 1 Травня, 4-Б</t>
  </si>
  <si>
    <t>Проектно-кошторисна документація з встановлення сонячних колекторів на даху закладу дошкільної освіти (ясла - садок) № 1 за адресою: Одеська область, Одеський район, місто Чорноморськ, вулиця 1 Травня, 4-Б</t>
  </si>
  <si>
    <t xml:space="preserve">Капітальний ремонт системи опалення та покрівлі Чорноморського ліцею № 2 за адресою: місто Чорноморськ, проспект Миру, 17А </t>
  </si>
  <si>
    <t xml:space="preserve">Капітальний ремонт системи опалення та покрівлі Чорноморського ліцею № 3 за адресою: місто Чорноморськ, вулиця Паркова, 10-А </t>
  </si>
  <si>
    <t>Капітальний ремонт покрівлі та харчоблоку Малодолинської ЗЗСО за адресою: Одеська область, місто Чорноморськ, селище  Малодолинське, вулиця Зелена, 2</t>
  </si>
  <si>
    <t>Відділ комунального господарства та благоустрою Чорноморської  міської ради  Одеського району Одеської області</t>
  </si>
  <si>
    <t>1216011</t>
  </si>
  <si>
    <t>Міська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(проєкт), всього - в т ч:</t>
  </si>
  <si>
    <t>Капітальний ремонт покрівлі житлового будинку за адресою: Одеська область, Одеський район, м.Чорноморськ, вул.1 Травня, 10-Б (ОСББ "Будинки АББО")</t>
  </si>
  <si>
    <t>Капітальний ремонт покрівлі над 3 та 4 під'їздами житлового будинку за адресою: Одеська область, Одеський район, м.Чорноморськ, вул.Шевченка, 9-А (ОСББ "Номер шість")</t>
  </si>
  <si>
    <t>Капітальний ремонт (заміна) ліфту у 3му під'їзді житлового будинку за адресою: Одеська область, Одеський район, м. Чорноморськ, пр. Миру, 30 (ОСББ "Мирний 30")</t>
  </si>
  <si>
    <t>Реконструкція скверу за адресою: Одеська область, м.Чорноморськ, проспект Миру, 14. Коригування</t>
  </si>
  <si>
    <t>Управління капітального будівництва Чорноморської  міської ради  Одеського району Одеської області</t>
  </si>
  <si>
    <t>1512010</t>
  </si>
  <si>
    <t>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вул.В.Шума, 4. Коригування</t>
  </si>
  <si>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</si>
  <si>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</si>
  <si>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Будівництво автобусної зупинки біля Малодолинської ЗОШ по вул.Зелена, 2 в с.Малодолинське, м.Чорноморськ, Одеського району Одеської області. Коригування</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</si>
  <si>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</si>
  <si>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t xml:space="preserve">Капітальний ремонт системи протипожежного захисту будівлі поліклініки № 1 з вбудованою захисною спорудою цивільного захисту (цивільної оборони) сховище обліковий № 57620. розташованої за адресою: вул.1 Травня, буд.1 м.Чорноморськ, Одеської області (інв.номер № 101310011) </t>
  </si>
  <si>
    <t>Капітальні видатки, разом -</t>
  </si>
  <si>
    <t>в т.ч. за програмами</t>
  </si>
  <si>
    <t xml:space="preserve">Міська цільова програма підтримки Сил територіальної оборони Збройних Сил України,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</si>
  <si>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2023-2024 роки</t>
  </si>
  <si>
    <t>Міська цільова програма протидії злочинності на території Чорноморської міської територіальної громади на 2024 рік</t>
  </si>
  <si>
    <r>
      <t xml:space="preserve">Міська цільова програма підтримки Сил територіальної оборони Збройних Сил України,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 / </t>
    </r>
    <r>
      <rPr>
        <i/>
        <sz val="12"/>
        <rFont val="Times New Roman"/>
        <family val="1"/>
        <charset val="204"/>
      </rPr>
      <t>Капітальні видатки</t>
    </r>
  </si>
  <si>
    <r>
      <t xml:space="preserve">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ліфтів, гідроізоляція душових </t>
    </r>
    <r>
      <rPr>
        <sz val="12"/>
        <color indexed="8"/>
        <rFont val="Times New Roman"/>
        <family val="1"/>
        <charset val="204"/>
      </rPr>
      <t>в гуртожитку за адресою: Одеська область, Одеський район, м.Чорноморськ, вул.Олександрійська, 16 (розробка проектно-кошторисної документації стадії "РП" (Робочий проект))</t>
    </r>
  </si>
  <si>
    <r>
      <t xml:space="preserve">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фасаду, гідроізоляція душових </t>
    </r>
    <r>
      <rPr>
        <sz val="12"/>
        <color indexed="8"/>
        <rFont val="Times New Roman"/>
        <family val="1"/>
        <charset val="204"/>
      </rPr>
      <t>в гуртожитку за адресою: Одеська область, Одеський район, м.Чорноморськ, провул.Шкільний, 4-А (розробка проектно-кошторисної документації стадії "РП" (Робочий проект))</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</si>
  <si>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2"/>
        <color indexed="8"/>
        <rFont val="Times New Roman"/>
        <family val="1"/>
        <charset val="204"/>
      </rPr>
      <t>вул.Данченка, 3-Б (розробка пректно-кошторисної документації, експертиза)</t>
    </r>
  </si>
  <si>
    <r>
      <t xml:space="preserve">Реконструкція системи центрального опалення в багатоквартирному будинку за адресою: м. Чорноморськ, </t>
    </r>
    <r>
      <rPr>
        <sz val="12"/>
        <color indexed="8"/>
        <rFont val="Times New Roman"/>
        <family val="1"/>
        <charset val="204"/>
      </rPr>
      <t>вул. Данченка, 3-Б (проведення експертизи проектно-кошторисної документації)</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</si>
  <si>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2"/>
        <color indexed="8"/>
        <rFont val="Times New Roman"/>
        <family val="1"/>
        <charset val="204"/>
      </rPr>
      <t>проспект Миру, 35-Б (розробка пректно-кошторисної документації, експертиза)</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</si>
  <si>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2"/>
        <color indexed="8"/>
        <rFont val="Times New Roman"/>
        <family val="1"/>
        <charset val="204"/>
      </rPr>
      <t>проспект Миру, 35-Г (розробка пректно-кошторисної документації, експертиза)</t>
    </r>
  </si>
  <si>
    <r>
      <t xml:space="preserve">Реконструкція системи центрального опалення в багатоквартирному будинку за адресою: м. Чорноморськ, </t>
    </r>
    <r>
      <rPr>
        <sz val="12"/>
        <color indexed="8"/>
        <rFont val="Times New Roman"/>
        <family val="1"/>
        <charset val="204"/>
      </rPr>
      <t>вул. 1 Травня, 2 (проведення експертизи проектно-кошторисної документації)</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</si>
  <si>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2"/>
        <color indexed="8"/>
        <rFont val="Times New Roman"/>
        <family val="1"/>
        <charset val="204"/>
      </rPr>
      <t>вул.1 Травня, 2 (розробка пректно-кошторисної документації, експертиза)</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</si>
  <si>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вул.Данченка, 3-Б (2П)</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</si>
  <si>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вул.Лазурна, 7 (1)</t>
    </r>
  </si>
  <si>
    <r>
      <t>Капітальний ремонт (заміна) ліфтів за адресою: м. Чорноморськ,</t>
    </r>
    <r>
      <rPr>
        <sz val="12"/>
        <color indexed="8"/>
        <rFont val="Times New Roman"/>
        <family val="1"/>
        <charset val="204"/>
      </rPr>
      <t xml:space="preserve"> пр.Миру, 28 (5п.)</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</si>
  <si>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проспект Миру, 28 (4)</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</si>
  <si>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проспект Миру, 35-Г</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</si>
  <si>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вул.Олександрійська, 4-А (1)</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</si>
  <si>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вул.Олександрійська, 10 (4)</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</si>
  <si>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вул.Паркова, 36 (4)</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</si>
  <si>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вул.Парусна, 10 (2)</t>
    </r>
  </si>
  <si>
    <r>
      <t>Капітальний ремонт (заміна) ліфтів за адресою: м. Чорноморськ,</t>
    </r>
    <r>
      <rPr>
        <sz val="12"/>
        <color indexed="8"/>
        <rFont val="Times New Roman"/>
        <family val="1"/>
        <charset val="204"/>
      </rPr>
      <t xml:space="preserve"> вул.Парусна, 16 (6п.)</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</si>
  <si>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вул.1 Травня, 5 (1)</t>
    </r>
  </si>
  <si>
    <r>
      <t xml:space="preserve">Капітальний ремонт (заміна вікон) в багатоквартирному будинку за адресою: м.Чорноморськ, </t>
    </r>
    <r>
      <rPr>
        <sz val="12"/>
        <color indexed="8"/>
        <rFont val="Times New Roman"/>
        <family val="1"/>
        <charset val="204"/>
      </rPr>
      <t>проспект Миру, 3</t>
    </r>
  </si>
  <si>
    <r>
      <t xml:space="preserve">Капітальний ремонт (заміна вікон) в багатоквартирному будинку за адресою: м.Чорноморськ, </t>
    </r>
    <r>
      <rPr>
        <sz val="12"/>
        <color indexed="8"/>
        <rFont val="Times New Roman"/>
        <family val="1"/>
        <charset val="204"/>
      </rPr>
      <t>проспект Миру, 3а</t>
    </r>
  </si>
  <si>
    <r>
      <t xml:space="preserve">Капітальний ремонт (заміна вікон) в багатоквартирному будинку за адресою: м.Чорноморськ, </t>
    </r>
    <r>
      <rPr>
        <sz val="12"/>
        <color indexed="8"/>
        <rFont val="Times New Roman"/>
        <family val="1"/>
        <charset val="204"/>
      </rPr>
      <t>проспект Миру, 5а</t>
    </r>
  </si>
  <si>
    <r>
      <t xml:space="preserve">Капітальний ремонт (заміна вікон) в багатоквартирному будинку за адресою: м.Чорноморськ, </t>
    </r>
    <r>
      <rPr>
        <sz val="12"/>
        <color indexed="8"/>
        <rFont val="Times New Roman"/>
        <family val="1"/>
        <charset val="204"/>
      </rPr>
      <t>проспект Миру, 7</t>
    </r>
  </si>
  <si>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</si>
  <si>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0212111</t>
  </si>
  <si>
    <t>2111</t>
  </si>
  <si>
    <t>0726</t>
  </si>
  <si>
    <t xml:space="preserve"> Первинна медична допомога населенню, що надається центрами первинної медичної (медико-санітарної) допомоги</t>
  </si>
  <si>
    <t>0217350</t>
  </si>
  <si>
    <t>7350</t>
  </si>
  <si>
    <t>0443</t>
  </si>
  <si>
    <t>Розроблення схем планування та забудови територій (містобудівної документації)</t>
  </si>
  <si>
    <t>Розроблення детального плану частини території 13-го мікрорайону м. Чорноморська Одеського району Одеської області загальною площею 1,5 га для будівництва багатоповерхового житлового будинку</t>
  </si>
  <si>
    <t>0218210</t>
  </si>
  <si>
    <t>8210</t>
  </si>
  <si>
    <t>Муніципальні формування з охорони громадського порядку</t>
  </si>
  <si>
    <t>Капітальний ремонт будівельних та огороджувальних конструкцій закладу дошкільної освіти (ясла-садок) № 12 "Мальва", розташованого за адресою: Одеська область, Одеський район, місто Чорноморськ, вулиця 1 Травня, 11-А</t>
  </si>
  <si>
    <t>0611291</t>
  </si>
  <si>
    <t>1291</t>
  </si>
  <si>
    <t>0990</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</si>
  <si>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</si>
  <si>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0160</t>
  </si>
  <si>
    <t>0111</t>
  </si>
  <si>
    <t>1216013</t>
  </si>
  <si>
    <t>Придбання насосних станцій підвищеного тиску</t>
  </si>
  <si>
    <t>1218110</t>
  </si>
  <si>
    <t>Капітальний ремонт покрівлі будівлі  Пункту Незламності (ЦТП № 57) за адресою: вул.Паркова, буд.14-В, м.Чорноморськ Одеського району Одеської області</t>
  </si>
  <si>
    <t>3719770</t>
  </si>
  <si>
    <t>9770</t>
  </si>
  <si>
    <t>Інші субвенції з місцевого бюджету</t>
  </si>
  <si>
    <t>Міська цільова соціальна програма розвитку цивільного захисту Чорноморської міської територіальної громади на 2021-2025 роки</t>
  </si>
  <si>
    <t>1218761</t>
  </si>
  <si>
    <t>8761</t>
  </si>
  <si>
    <t>0540</t>
  </si>
  <si>
    <t>Заходи із запобігання та ліквідації наслідків надзвичайної ситуації внаслідок стихійного лиха за рахунок коштів резервного фонду місцевого бюджету</t>
  </si>
  <si>
    <t>Обсяг видатків бюджету розвитку на 2024 рік, грн</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</si>
  <si>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</si>
  <si>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Виготовлення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</si>
  <si>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0217520</t>
  </si>
  <si>
    <t>7520</t>
  </si>
  <si>
    <t>0460</t>
  </si>
  <si>
    <t>Реалізація Національної програми інформатизації</t>
  </si>
  <si>
    <t>0218230</t>
  </si>
  <si>
    <t>8230</t>
  </si>
  <si>
    <t>Інші заходи громадського порядку та безпеки</t>
  </si>
  <si>
    <t>Реконструкція системи пожежної сигналізації (СПС), системи оповіщення про пожежу та управління евакуацією людей (Технічне переоснащення системи протипожежного захисту) Малодолинського закладу загальної середньої освіти Чорноморської міської ради Одеського району Одеської області за адресою: Україна, Одеська область, с.Малодолинське, вул.Зелена, 2</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</si>
  <si>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</si>
  <si>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</si>
  <si>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стилобатної частини підвального поверху з улаштуванням заходів  гідроізоляції в найпростішому укритті Чорноморського ліцею № 6, розташованого за адресою: місто Чорноморськ, вулиця Спортивна, 3А</t>
  </si>
  <si>
    <t>Капітальний ремонт підвального приміщення  з пристосуванням під СПП з властивостями ПРУ в будівлі закладу дошкільної освіти № 4 Чорноморської міської ради Одеського району Одеської області за адресою Одеська область, Одеський район, м.Чорноморськ, вулиця Олександрійська, 19-А</t>
  </si>
  <si>
    <t>0800000</t>
  </si>
  <si>
    <t>Управління соціальної політики Чорноморської  міської ради  Одеського району Одеської області</t>
  </si>
  <si>
    <t>0810000</t>
  </si>
  <si>
    <t>0813221</t>
  </si>
  <si>
    <t>3221</t>
  </si>
  <si>
    <t>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</si>
  <si>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0813223</t>
  </si>
  <si>
    <t>3223</t>
  </si>
  <si>
    <t>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</si>
  <si>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Капітальний ремонт фасаду житлового будинку за адресою: Одеська область, Одеський район, м.Чорноморськ, вул.Паркова, 22-А (ОСББ "Паркова - 22-А")</t>
  </si>
  <si>
    <t>Міська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 всього - в т ч:</t>
  </si>
  <si>
    <t>1216017</t>
  </si>
  <si>
    <t>6017</t>
  </si>
  <si>
    <t>Інша діяльність, пов`язана з експлуатацією об`єктів житлово-комунального господарства</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</si>
  <si>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</si>
  <si>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Придбання пристроїв резервного живлення для світлофорних об'єктів</t>
  </si>
  <si>
    <t>Капітальний ремонт покрівлі житлового багатоквартирного будинку № 20 по вул.Парусна, м.Чорноморськ</t>
  </si>
  <si>
    <t>1517310</t>
  </si>
  <si>
    <t>7310</t>
  </si>
  <si>
    <t>Будівництво об'єктів житлово-комунального господарства</t>
  </si>
  <si>
    <t>Збільшення електропотужностей для 13-го мікрорайону міста Чорноморськ, Одеської області</t>
  </si>
  <si>
    <r>
      <t>Виготовлення проектно-кошторисної документації по об'єкту "К</t>
    </r>
    <r>
      <rPr>
        <sz val="12"/>
        <color indexed="8"/>
        <rFont val="Times New Roman"/>
        <family val="1"/>
        <charset val="204"/>
      </rPr>
      <t>апітальний ремонт (заміна) ліфту пасажирського для лікувально-профілактичних установ, реєстраційний №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r>
  </si>
  <si>
    <r>
      <t>Міська цільова програма часткової компенсації вартості закупівлі генераторів для забезпечення потреб мешканців багатоквартирних житлових будинків на території Чорноморської міської територіальної громади на 2024-2025 роки /</t>
    </r>
    <r>
      <rPr>
        <i/>
        <sz val="12"/>
        <rFont val="Times New Roman"/>
        <family val="1"/>
        <charset val="204"/>
      </rPr>
      <t xml:space="preserve"> Компенсація на відшкодування вартості закупівлі генераторів для забезпечення життєдіяльності багатоквартирних житлових будинків</t>
    </r>
  </si>
  <si>
    <r>
      <t xml:space="preserve">Реконструкція водопровідної мережі по </t>
    </r>
    <r>
      <rPr>
        <sz val="12"/>
        <color indexed="8"/>
        <rFont val="Times New Roman"/>
        <family val="1"/>
        <charset val="204"/>
      </rPr>
      <t>вул.Затишна в смт.Олександрівка, м.Чорноморськ, Одеського району, Одеської області</t>
    </r>
  </si>
  <si>
    <r>
      <t xml:space="preserve">Реконструкція мереж водопроводу за адресою: Одеська область, Одеський район, </t>
    </r>
    <r>
      <rPr>
        <sz val="12"/>
        <color indexed="8"/>
        <rFont val="Times New Roman"/>
        <family val="1"/>
        <charset val="204"/>
      </rPr>
      <t>м.Чорноморськ, вул.Паркова, 46-50</t>
    </r>
  </si>
  <si>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</si>
  <si>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</si>
  <si>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</si>
  <si>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</si>
  <si>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</si>
  <si>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</si>
  <si>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Олександрівська селищна адміністрація Чорноморської міської ради Одеського району Одеської області - придбання автомобіля</t>
  </si>
  <si>
    <t>Реконструкція частини приміщення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м.Чорноморськ, вул. В.Шума, 4</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</si>
  <si>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</si>
  <si>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0212100</t>
  </si>
  <si>
    <t>2100</t>
  </si>
  <si>
    <t>0722</t>
  </si>
  <si>
    <t>Стоматологічна допомога населенню</t>
  </si>
  <si>
    <t>Капітальні видатки - придбання основного капіталу</t>
  </si>
  <si>
    <t>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 вул.Перемоги, буд.64, селище Олександрівка, м.Чорноморськ, Одеський район, Одеська область</t>
  </si>
  <si>
    <t>Розроблення детального плану частини території 13-го мікрорайону м. Чорноморська Одеського району Одеської області загальною площею 1,0 га для будівництва багатоповерхового житлового будинку</t>
  </si>
  <si>
    <t>0218110</t>
  </si>
  <si>
    <t>Олександрівська селищна адміністрація Чорноморської міської ради Одеського району Одеської області - придбання зарядної станції</t>
  </si>
  <si>
    <t>Придбання ігрового та спортивного обладнання для ігрових майданчиків по Олександрівському закладу загальної середньої освіти Чорноморської міської ради Одеського району Одеської області за адресою: Україна, Одеська область, сел.Олександрівка, вул.Центральна, 85</t>
  </si>
  <si>
    <t>0611141</t>
  </si>
  <si>
    <t>1141</t>
  </si>
  <si>
    <t>Забезпечення діяльності інших закладів у сфері освіти</t>
  </si>
  <si>
    <t>Придбання автомобіля</t>
  </si>
  <si>
    <t>Придбання шкільного автобуса</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</si>
  <si>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</si>
  <si>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</si>
  <si>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</si>
  <si>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0617520</t>
  </si>
  <si>
    <t>0813121</t>
  </si>
  <si>
    <t>3121</t>
  </si>
  <si>
    <t>1040</t>
  </si>
  <si>
    <t>Утримання та забезпечення діяльності центрів соціальних служб</t>
  </si>
  <si>
    <t>Капітальні видатки - Придбання автомобіля для мобільної бригади соціально-психологічної допомоги особам, які постраждали від домашнього насильства та/або насильства за ознакою статі КУ "Центр соціальних служб Чорноморської міської ради Одеського району Одеської області"</t>
  </si>
  <si>
    <t>0813222</t>
  </si>
  <si>
    <t>3222</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</si>
  <si>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</si>
  <si>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0900000</t>
  </si>
  <si>
    <t>Служба у справах дітей Чорноморської  міської ради  Одеського району Одеської області</t>
  </si>
  <si>
    <t>0910000</t>
  </si>
  <si>
    <t>0916083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</si>
  <si>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</si>
  <si>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</si>
  <si>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Капітальні видатки - Придбання житла для дитячого будинку сімейного типу, що тимчасово переміщений (евакуйований) в межах України (за рахунок субвенції з державного бюджету)</t>
  </si>
  <si>
    <t>1000000</t>
  </si>
  <si>
    <t>Відділ культури Чорноморської  міської ради  Одеського району Одеської області</t>
  </si>
  <si>
    <t>1010000</t>
  </si>
  <si>
    <t>1014040</t>
  </si>
  <si>
    <t>4040</t>
  </si>
  <si>
    <t>0824</t>
  </si>
  <si>
    <t>Забезпечення діяльності музеїв і виставок</t>
  </si>
  <si>
    <t>Капітальний ремонт ганку 1-го під'їзду в житловому багатоквартирному будинку ОСББ "НОМЕР СІМ" за адресою: м.Чорноморськ, вул.Лазурна, 2</t>
  </si>
  <si>
    <t>Капітальний ремонт мереж водопостачання та водовідведення в житловому багатоквартирному будинку ЖБК "Лазурна 1" за адресою: м.Чорноморськ, вул.Лазурна, 1</t>
  </si>
  <si>
    <t>Капітальний ремонт багатоквартирного житлового будинку, оздоблення пандусів ОСББ "Паркова 22-А", за адресою: м.Чорноморськ, вул.Паркова 22-А</t>
  </si>
  <si>
    <t>Капітальний ремонт, заміна каналізаційних відпусків багатоквартирного будинку за адресою: м.Чорноморськ, вул.Олександрійська, 20</t>
  </si>
  <si>
    <t>Капітальний ремонт, заміна каналізаційних відпусків багатоквартирного будинку за адресою: м.Чорноморськ, вул.Олександрійська, 22</t>
  </si>
  <si>
    <t>Капітальний ремонт, заміна каналізаційних випусків багатоквартирного будинку за адресою: м.Чорноморськ, вул.Олександрійська, 24</t>
  </si>
  <si>
    <t>Капітальний ремонт внутрішньобудинкових мереж багатоквартирного будинку за адресою: м.Чорноморськ, вул.Паркова, 36</t>
  </si>
  <si>
    <t>Придбання насосних станцій підвищення тиску на ВНС м.Чорноморська Одеського району Одеської області</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</si>
  <si>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</si>
  <si>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</si>
  <si>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</si>
  <si>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Встановлення системи блискавкозахисту на будівлі станції знезараження води діоксидом хлору КП "Чорноморськводоканал", розташованої за адресою: вул.Перемоги, 35-А, м.Чорноморськ, Одеського району, Одеської області</t>
  </si>
  <si>
    <t>Встановлення системи блискавкозахисту будівель і споруд резервуару чистої води об'ємом 10000 м3, розташованих за адресою: Санжійська дорога, 3-Б, с.Молодіжне, Одеського району, Одеської області</t>
  </si>
  <si>
    <t>Придбання тенту для КП "МУЖКГ"</t>
  </si>
  <si>
    <t>1217520</t>
  </si>
  <si>
    <t>1217670</t>
  </si>
  <si>
    <t>7670</t>
  </si>
  <si>
    <t>Внески до статутного капіталу суб'єктів господарювання</t>
  </si>
  <si>
    <t>Придбання вантажопасажирського  бортового автомобіля для  КП "МУЖКГ"</t>
  </si>
  <si>
    <t>Придбання вакуумного прибиральника (пилососа) для КП "МУЖКГ"</t>
  </si>
  <si>
    <t>Придбання вантажного електричного трициклу для КП "МУЖКГ"</t>
  </si>
  <si>
    <t>Придбання трактора для КП "МУЖКГ"</t>
  </si>
  <si>
    <t>Придбання дровоколу гідравлічного для  КП "Зеленгосп"</t>
  </si>
  <si>
    <t>Придбання газонокосарки для відновлення технічних потужностей на виконання робіт з покосу трави для КП "Зеленгосп"</t>
  </si>
  <si>
    <t>Придбання моторолеру трьохколісного для вивозу сміття та скошеної трави з території парків міста для КП "Зеленгосп"</t>
  </si>
  <si>
    <t>Придбання вакуумного садового пилососу для КП "Зеленгосп"</t>
  </si>
  <si>
    <t>Придбання зварювального терморезисторного апарату для КП "Чорноморськводоканал"</t>
  </si>
  <si>
    <t>Придбання екскаватора для КП "Чорноморськводоканал"</t>
  </si>
  <si>
    <t>Придбання двохтактної трамбувальної машини для ущільнення грунту для КП "Чорноморськводоканал"</t>
  </si>
  <si>
    <t>Придбання автоцистерни для транспортування та роздачі питної води для КП "Чорноморськводоканал"</t>
  </si>
  <si>
    <t>Придбання мережевих насосів для КП "Чорноморськтеплоенерго"</t>
  </si>
  <si>
    <t>Придбання системи безперебійного живлення на станцію дознезараження питної води діоксидом хлору, що розташована за адресою: Одеська область, Одеський район, м.Чорноморськ, вул.Перемоги, 35-а</t>
  </si>
  <si>
    <t>Придбання обладнання і предметів довгострокового користування / генератора</t>
  </si>
  <si>
    <t>1218733</t>
  </si>
  <si>
    <t>8733</t>
  </si>
  <si>
    <t>Заходи із запобігання та ліквідації наслідків надзвичайної ситуації на об'єктах транспортної та дорожньої інфраструктури за рахунок коштів резервного фонду місцевого бюджету</t>
  </si>
  <si>
    <t>Капітальний ремонт світлофорного об'єкту на перехресті вул.Перемоги - пост ДАІ за адресою: автомобільні дороги М27 Одеса - Чорноморськ, Н-33 Одеса - Білгород-Дністровський - Монаші - /М-15/ Під'їзд до порту Чорноморськ, та Т-16-47 /Н-33/ - Кароліно-Бугаз-Грибівка-Санжійка - /М-27/</t>
  </si>
  <si>
    <t>Встановлення ліфтового обладнання / Монтажні та пусконалагоджувальні роботи по ліфту в/п 320-500 кг на 19 зупинок в будівлі за адресою: Одеська обл, м.Чорноморськ, вул.Парусна, 18</t>
  </si>
  <si>
    <t>1516017</t>
  </si>
  <si>
    <t>Інша діяльність, пов'язана з експлуатацією об'єктів житлово-комунального господарства</t>
  </si>
  <si>
    <t>Модернізація та енергоефективність бювета, що розташований за адресою: Одеська область, Одеський район, м.Чорноморськ, вул.Парусна, 4-б (проектні роботи)</t>
  </si>
  <si>
    <t>Модернізація та енергоефективність бювета, що розташований за адресою: Одеська область, Одеський район, м.Чорноморськ, просп.Миру, 15-Ж (проектні роботи)</t>
  </si>
  <si>
    <t>Будівництво станції знезараження питної води діоксиду хлору за адресою: Одеська область, Одеський район, с.Великий Дальник, вул.Маяцька, 21 (проектні роботи)</t>
  </si>
  <si>
    <t>Реконструкція водопровідної мережі по вул.Єдності в смт.Олександрівка, м.Чорноморськ, Одеського району, Одеської області</t>
  </si>
  <si>
    <t>Реконструкція водопровідної мережі по вул.Набережній в смт.Олександрівка, м.Чорноморськ, Одеського району, Одеської області</t>
  </si>
  <si>
    <t>1517373</t>
  </si>
  <si>
    <t>7373</t>
  </si>
  <si>
    <t>Реалізація проектів (заходів) з відновлення медичних установ та закладів, пошкоджених / знищених внаслідок збройної агресії, за рахунок коштів місцевих бюджетів</t>
  </si>
  <si>
    <t>Капітальний ремонт вікон, дверей та покрівель будівель головного корпусу (літ. "А"), моргу (літ."В"), кухні (літ. "Г") КНП "Чорноморська лікарня" Чорноморської міської ради Одеського району Одеської областіза адресою: вул. Віталія Шума, буд. 4, м. Чорноморськ, Одеського району, Одеської області, пошкоджених внаслідок збройної агресії російської федерації" (розробка проєктно-кошторисної документації)</t>
  </si>
  <si>
    <t>3100000</t>
  </si>
  <si>
    <t>Управління комунальної власності та земельних відносин Чорноморської мiської ради Одеського району Одеської областi</t>
  </si>
  <si>
    <t>3110000</t>
  </si>
  <si>
    <t>3117693</t>
  </si>
  <si>
    <t>7693</t>
  </si>
  <si>
    <t>Інші заходи, пов`язані з економічною діяльністю</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</si>
  <si>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2024 рік</t>
  </si>
  <si>
    <t>Міська цільова програма фінансової підтримки Іллічівського міського суду Одеської області на 2024 рік</t>
  </si>
  <si>
    <t>Міська цільова програма підтримки Департаменту кіберполіції  Національної  поліції  України на 2024 рік</t>
  </si>
  <si>
    <t>Міська цільова програма підтримки Регіонального сервісного центру ГСЦ МВС в Одеській, Миколаївській та Херсонській  областях у сфері надання адміністративних послуг на 2024-2025 роки</t>
  </si>
  <si>
    <t>Начальник фінансового управління                                                                                          Ольга ЯКОВЕНКО</t>
  </si>
  <si>
    <r>
      <t>Реконструкція напірного каналізаційного колектору за адресою: Одеська область, Одеський район, м.Чорноморськ,</t>
    </r>
    <r>
      <rPr>
        <sz val="12"/>
        <color indexed="8"/>
        <rFont val="Times New Roman"/>
        <family val="1"/>
        <charset val="204"/>
      </rPr>
      <t xml:space="preserve"> від вул.Космонавтів, 59Г в с.Малодолинське до вул.Світла, 51 в смт.Олександрівка</t>
    </r>
  </si>
  <si>
    <t xml:space="preserve">Звіт про використання коштів бюджету розвитку у складі бюджету Чорноморської міської територіальної громади  за 2024 рік </t>
  </si>
  <si>
    <t>від                          2025 №      - VІII</t>
  </si>
  <si>
    <t>Виконано за звітний період (рік), грн</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</si>
</sst>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р_._-;\-* #,##0.00_р_._-;_-* &quot;-&quot;??_р_._-;_-@_-"/>
    <numFmt numFmtId="165" formatCode="0.0%"/>
  </numFmts>
  <fonts count="26">
    <font>
      <sz val="11"/>
      <color theme="1"/>
      <name val="Calibri"/>
      <family val="2"/>
      <charset val="204"/>
      <scheme val="minor"/>
    </font>
    <font>
      <sz val="10"/>
      <name val="Arial Cyr"/>
      <charset val="204"/>
    </font>
    <font>
      <b/>
      <sz val="12"/>
      <name val="Times New Roman"/>
      <family val="1"/>
      <charset val="204"/>
    </font>
    <font>
      <sz val="12"/>
      <name val="Times New Roman"/>
      <family val="1"/>
      <charset val="204"/>
    </font>
    <font>
      <sz val="10"/>
      <color theme="1"/>
      <name val="Calibri"/>
      <family val="2"/>
      <charset val="204"/>
      <scheme val="minor"/>
    </font>
    <font>
      <sz val="11"/>
      <color indexed="8"/>
      <name val="Calibri"/>
      <family val="2"/>
      <charset val="204"/>
    </font>
    <font>
      <sz val="13"/>
      <color indexed="12"/>
      <name val="Times New Roman"/>
      <family val="1"/>
    </font>
    <font>
      <sz val="14"/>
      <name val="Times New Roman"/>
      <family val="1"/>
      <charset val="204"/>
    </font>
    <font>
      <b/>
      <sz val="16"/>
      <name val="Times New Roman"/>
      <family val="1"/>
      <charset val="204"/>
    </font>
    <font>
      <sz val="16"/>
      <name val="Times New Roman"/>
      <family val="1"/>
      <charset val="204"/>
    </font>
    <font>
      <u/>
      <sz val="10"/>
      <color indexed="12"/>
      <name val="Arial Cyr"/>
      <charset val="204"/>
    </font>
    <font>
      <b/>
      <sz val="10"/>
      <name val="Times New Roman"/>
      <family val="1"/>
    </font>
    <font>
      <sz val="10"/>
      <name val="Times New Roman"/>
      <family val="1"/>
    </font>
    <font>
      <sz val="10"/>
      <color theme="1"/>
      <name val="Times New Roman"/>
      <family val="1"/>
      <charset val="204"/>
    </font>
    <font>
      <sz val="10"/>
      <color rgb="FF000000"/>
      <name val="Arimo"/>
    </font>
    <font>
      <sz val="11"/>
      <color theme="1"/>
      <name val="Calibri"/>
      <family val="2"/>
      <scheme val="minor"/>
    </font>
    <font>
      <sz val="11"/>
      <color theme="1"/>
      <name val="Calibri"/>
      <family val="2"/>
      <charset val="204"/>
      <scheme val="minor"/>
    </font>
    <font>
      <sz val="12"/>
      <color theme="1"/>
      <name val="Times New Roman"/>
      <family val="1"/>
      <charset val="204"/>
    </font>
    <font>
      <i/>
      <sz val="12"/>
      <name val="Times New Roman"/>
      <family val="1"/>
      <charset val="204"/>
    </font>
    <font>
      <i/>
      <sz val="12"/>
      <color theme="1"/>
      <name val="Times New Roman"/>
      <family val="1"/>
      <charset val="204"/>
    </font>
    <font>
      <sz val="12"/>
      <color indexed="8"/>
      <name val="Times New Roman"/>
      <family val="1"/>
      <charset val="204"/>
    </font>
    <font>
      <sz val="10"/>
      <color indexed="8"/>
      <name val="Arial"/>
      <family val="2"/>
      <charset val="204"/>
    </font>
    <font>
      <sz val="10"/>
      <name val="Times New Roman"/>
      <family val="1"/>
      <charset val="204"/>
    </font>
    <font>
      <b/>
      <sz val="12"/>
      <color theme="1"/>
      <name val="Times New Roman"/>
      <family val="1"/>
      <charset val="204"/>
    </font>
    <font>
      <b/>
      <vertAlign val="superscript"/>
      <sz val="12"/>
      <name val="Times New Roman"/>
      <family val="1"/>
      <charset val="204"/>
    </font>
    <font>
      <b/>
      <sz val="10"/>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1" fillId="0" borderId="0"/>
    <xf numFmtId="164" fontId="1" fillId="0" borderId="0" applyFont="0" applyFill="0" applyBorder="0" applyAlignment="0" applyProtection="0"/>
    <xf numFmtId="0" fontId="4" fillId="0" borderId="0"/>
    <xf numFmtId="0" fontId="5" fillId="0" borderId="0"/>
    <xf numFmtId="0" fontId="10" fillId="0" borderId="0" applyNumberFormat="0" applyFill="0" applyBorder="0" applyAlignment="0" applyProtection="0">
      <alignment vertical="top"/>
      <protection locked="0"/>
    </xf>
    <xf numFmtId="0" fontId="1" fillId="0" borderId="0"/>
    <xf numFmtId="0" fontId="14" fillId="0" borderId="0"/>
    <xf numFmtId="0" fontId="15" fillId="0" borderId="0"/>
    <xf numFmtId="9" fontId="16" fillId="0" borderId="0" applyFont="0" applyFill="0" applyBorder="0" applyAlignment="0" applyProtection="0"/>
    <xf numFmtId="0" fontId="21" fillId="0" borderId="0"/>
  </cellStyleXfs>
  <cellXfs count="97">
    <xf numFmtId="0" fontId="0" fillId="0" borderId="0" xfId="0"/>
    <xf numFmtId="0" fontId="7" fillId="2" borderId="0" xfId="0" applyFont="1" applyFill="1"/>
    <xf numFmtId="0" fontId="7" fillId="2" borderId="0" xfId="0" applyFont="1" applyFill="1" applyAlignment="1">
      <alignment horizontal="center"/>
    </xf>
    <xf numFmtId="0" fontId="7" fillId="2" borderId="0" xfId="0" applyFont="1" applyFill="1" applyAlignment="1">
      <alignment horizontal="left" vertical="center"/>
    </xf>
    <xf numFmtId="0" fontId="9" fillId="2" borderId="0" xfId="0" applyFont="1" applyFill="1"/>
    <xf numFmtId="0" fontId="8" fillId="2" borderId="0" xfId="0" applyFont="1" applyFill="1" applyAlignment="1">
      <alignment horizontal="center" vertical="center" wrapText="1"/>
    </xf>
    <xf numFmtId="0" fontId="12" fillId="0" borderId="5" xfId="5" applyFont="1" applyBorder="1" applyAlignment="1" applyProtection="1">
      <alignment horizontal="left"/>
    </xf>
    <xf numFmtId="0" fontId="11" fillId="0" borderId="0" xfId="5" applyFont="1" applyAlignment="1" applyProtection="1">
      <alignment horizontal="center"/>
    </xf>
    <xf numFmtId="9" fontId="6" fillId="2" borderId="0" xfId="9" applyFont="1" applyFill="1" applyAlignment="1">
      <alignment horizontal="left"/>
    </xf>
    <xf numFmtId="9" fontId="7" fillId="2" borderId="0" xfId="9" applyFont="1" applyFill="1"/>
    <xf numFmtId="9" fontId="7" fillId="2" borderId="0" xfId="9" applyFont="1" applyFill="1" applyAlignment="1">
      <alignment horizontal="center"/>
    </xf>
    <xf numFmtId="9" fontId="7" fillId="2" borderId="0" xfId="9" applyFont="1" applyFill="1" applyAlignment="1">
      <alignment horizontal="left" vertical="center"/>
    </xf>
    <xf numFmtId="49" fontId="2" fillId="2" borderId="1" xfId="0" applyNumberFormat="1" applyFont="1" applyFill="1" applyBorder="1" applyAlignment="1">
      <alignment horizontal="center"/>
    </xf>
    <xf numFmtId="0" fontId="3" fillId="2" borderId="0" xfId="0" applyFont="1" applyFill="1"/>
    <xf numFmtId="49" fontId="3" fillId="2" borderId="1" xfId="0" applyNumberFormat="1" applyFont="1" applyFill="1" applyBorder="1" applyAlignment="1">
      <alignment horizontal="center"/>
    </xf>
    <xf numFmtId="49" fontId="3" fillId="2" borderId="1" xfId="0" applyNumberFormat="1"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1" xfId="0" quotePrefix="1" applyFont="1" applyFill="1" applyBorder="1" applyAlignment="1">
      <alignment vertical="center" wrapText="1"/>
    </xf>
    <xf numFmtId="0" fontId="3" fillId="2" borderId="1" xfId="0" applyFont="1" applyFill="1" applyBorder="1" applyAlignment="1">
      <alignment horizontal="left" vertical="center" wrapText="1"/>
    </xf>
    <xf numFmtId="49" fontId="18" fillId="2" borderId="1" xfId="0" applyNumberFormat="1" applyFont="1" applyFill="1" applyBorder="1" applyAlignment="1">
      <alignment horizontal="center" vertical="center"/>
    </xf>
    <xf numFmtId="0" fontId="19" fillId="2" borderId="1" xfId="0" applyFont="1" applyFill="1" applyBorder="1" applyAlignment="1">
      <alignment horizontal="center" vertical="center" wrapText="1"/>
    </xf>
    <xf numFmtId="0" fontId="19" fillId="2" borderId="1" xfId="0" quotePrefix="1" applyFont="1" applyFill="1" applyBorder="1" applyAlignment="1">
      <alignment vertical="center" wrapText="1"/>
    </xf>
    <xf numFmtId="49" fontId="17" fillId="2" borderId="1" xfId="0" applyNumberFormat="1" applyFont="1" applyFill="1" applyBorder="1" applyAlignment="1">
      <alignment horizontal="center" vertical="center" wrapText="1"/>
    </xf>
    <xf numFmtId="0" fontId="3" fillId="2" borderId="1" xfId="0" quotePrefix="1" applyFont="1" applyFill="1" applyBorder="1" applyAlignment="1">
      <alignment horizontal="left" vertical="center" wrapText="1"/>
    </xf>
    <xf numFmtId="49" fontId="2" fillId="2" borderId="1" xfId="0" applyNumberFormat="1" applyFont="1" applyFill="1" applyBorder="1" applyAlignment="1">
      <alignment horizontal="center" vertical="center"/>
    </xf>
    <xf numFmtId="0" fontId="3" fillId="2" borderId="1" xfId="4" applyFont="1" applyFill="1" applyBorder="1" applyAlignment="1">
      <alignment horizontal="left" vertical="center" wrapText="1"/>
    </xf>
    <xf numFmtId="49" fontId="19" fillId="2" borderId="1" xfId="0" applyNumberFormat="1" applyFont="1" applyFill="1" applyBorder="1" applyAlignment="1">
      <alignment horizontal="center" vertical="center" wrapText="1"/>
    </xf>
    <xf numFmtId="0" fontId="3" fillId="2" borderId="4" xfId="0" quotePrefix="1" applyFont="1" applyFill="1" applyBorder="1" applyAlignment="1">
      <alignment horizontal="left" vertical="center" wrapText="1"/>
    </xf>
    <xf numFmtId="4" fontId="3" fillId="2" borderId="0" xfId="0" applyNumberFormat="1" applyFont="1" applyFill="1"/>
    <xf numFmtId="0" fontId="17" fillId="2" borderId="1" xfId="0" applyFont="1" applyFill="1" applyBorder="1" applyAlignment="1">
      <alignment vertical="center" wrapText="1"/>
    </xf>
    <xf numFmtId="0" fontId="17" fillId="0" borderId="1" xfId="0" applyFont="1" applyBorder="1" applyAlignment="1">
      <alignment vertical="center" wrapText="1"/>
    </xf>
    <xf numFmtId="0" fontId="3" fillId="2" borderId="1" xfId="0" quotePrefix="1" applyFont="1" applyFill="1" applyBorder="1" applyAlignment="1">
      <alignment vertical="center" wrapText="1"/>
    </xf>
    <xf numFmtId="0" fontId="17" fillId="2" borderId="1" xfId="0" quotePrefix="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 fillId="2" borderId="1" xfId="0" applyFont="1" applyFill="1" applyBorder="1"/>
    <xf numFmtId="0" fontId="2" fillId="2" borderId="1" xfId="0" applyFont="1" applyFill="1" applyBorder="1" applyAlignment="1">
      <alignment horizontal="left" wrapText="1"/>
    </xf>
    <xf numFmtId="0" fontId="9" fillId="2" borderId="0" xfId="0" applyFont="1" applyFill="1" applyAlignment="1">
      <alignment horizontal="center" vertical="center" wrapText="1"/>
    </xf>
    <xf numFmtId="165" fontId="2" fillId="2" borderId="1"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165" fontId="18" fillId="2" borderId="1" xfId="0" applyNumberFormat="1" applyFont="1" applyFill="1" applyBorder="1" applyAlignment="1">
      <alignment horizontal="center" vertical="center" wrapText="1"/>
    </xf>
    <xf numFmtId="0" fontId="3" fillId="2" borderId="3" xfId="4" applyFont="1" applyFill="1" applyBorder="1" applyAlignment="1">
      <alignment horizontal="left" vertical="center" wrapText="1"/>
    </xf>
    <xf numFmtId="0" fontId="3" fillId="2" borderId="1" xfId="4" applyFont="1" applyFill="1" applyBorder="1" applyAlignment="1">
      <alignment horizontal="center" vertical="center" wrapText="1"/>
    </xf>
    <xf numFmtId="0" fontId="17" fillId="2" borderId="3" xfId="0" quotePrefix="1" applyFont="1" applyFill="1" applyBorder="1" applyAlignment="1">
      <alignment vertical="center" wrapText="1"/>
    </xf>
    <xf numFmtId="0" fontId="19" fillId="2" borderId="3" xfId="0" quotePrefix="1" applyFont="1" applyFill="1" applyBorder="1" applyAlignment="1">
      <alignment vertical="center" wrapText="1"/>
    </xf>
    <xf numFmtId="0" fontId="18" fillId="2" borderId="4" xfId="0" quotePrefix="1" applyFont="1" applyFill="1" applyBorder="1" applyAlignment="1">
      <alignment horizontal="left" vertical="center" wrapText="1"/>
    </xf>
    <xf numFmtId="0" fontId="3" fillId="2" borderId="4" xfId="4" applyFont="1" applyFill="1" applyBorder="1" applyAlignment="1">
      <alignment horizontal="left" vertical="center" wrapText="1"/>
    </xf>
    <xf numFmtId="0" fontId="17" fillId="2" borderId="1" xfId="8" quotePrefix="1" applyFont="1" applyFill="1" applyBorder="1" applyAlignment="1">
      <alignment vertical="center" wrapText="1"/>
    </xf>
    <xf numFmtId="49" fontId="17" fillId="2" borderId="1" xfId="0" quotePrefix="1" applyNumberFormat="1" applyFont="1" applyFill="1" applyBorder="1" applyAlignment="1">
      <alignment horizontal="center" vertical="center" wrapText="1"/>
    </xf>
    <xf numFmtId="3" fontId="3" fillId="2" borderId="0" xfId="0" applyNumberFormat="1" applyFont="1" applyFill="1"/>
    <xf numFmtId="0" fontId="20" fillId="2" borderId="1" xfId="8" quotePrefix="1" applyFont="1" applyFill="1" applyBorder="1" applyAlignment="1">
      <alignment vertical="center" wrapText="1"/>
    </xf>
    <xf numFmtId="0" fontId="17" fillId="2" borderId="4" xfId="8" quotePrefix="1" applyFont="1" applyFill="1" applyBorder="1" applyAlignment="1">
      <alignment vertical="center" wrapText="1"/>
    </xf>
    <xf numFmtId="0" fontId="17" fillId="2" borderId="1" xfId="10" quotePrefix="1" applyFont="1" applyFill="1" applyBorder="1" applyAlignment="1">
      <alignment vertical="center" wrapText="1"/>
    </xf>
    <xf numFmtId="49" fontId="19" fillId="2" borderId="1" xfId="0" quotePrefix="1" applyNumberFormat="1" applyFont="1" applyFill="1" applyBorder="1" applyAlignment="1">
      <alignment horizontal="center" vertical="center" wrapText="1"/>
    </xf>
    <xf numFmtId="0" fontId="18" fillId="2" borderId="1" xfId="0" quotePrefix="1" applyFont="1" applyFill="1" applyBorder="1" applyAlignment="1">
      <alignment horizontal="left" vertical="center" wrapText="1"/>
    </xf>
    <xf numFmtId="0" fontId="22" fillId="2" borderId="0" xfId="0" applyFont="1" applyFill="1"/>
    <xf numFmtId="0" fontId="17" fillId="0" borderId="4" xfId="8" applyFont="1" applyBorder="1" applyAlignment="1">
      <alignment horizontal="left" vertical="center" wrapText="1"/>
    </xf>
    <xf numFmtId="4" fontId="2"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xf>
    <xf numFmtId="0" fontId="3" fillId="0" borderId="1" xfId="0" quotePrefix="1" applyFont="1" applyBorder="1" applyAlignment="1">
      <alignment vertical="center" wrapText="1"/>
    </xf>
    <xf numFmtId="4" fontId="18" fillId="2" borderId="1" xfId="0" applyNumberFormat="1" applyFont="1" applyFill="1" applyBorder="1" applyAlignment="1">
      <alignment horizontal="center" vertical="center"/>
    </xf>
    <xf numFmtId="0" fontId="23"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xf>
    <xf numFmtId="0" fontId="17" fillId="0" borderId="1" xfId="8" applyFont="1" applyBorder="1" applyAlignment="1">
      <alignment horizontal="left" vertical="center" wrapText="1"/>
    </xf>
    <xf numFmtId="4" fontId="18" fillId="2" borderId="1" xfId="0" applyNumberFormat="1" applyFont="1" applyFill="1" applyBorder="1" applyAlignment="1">
      <alignment horizontal="center" vertical="center" wrapText="1"/>
    </xf>
    <xf numFmtId="0" fontId="18" fillId="2" borderId="1" xfId="8" applyFont="1" applyFill="1" applyBorder="1" applyAlignment="1">
      <alignment horizontal="left" vertical="center" wrapText="1"/>
    </xf>
    <xf numFmtId="4" fontId="18"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0" fontId="3" fillId="2" borderId="1" xfId="8" applyFont="1" applyFill="1" applyBorder="1" applyAlignment="1">
      <alignment horizontal="left" vertical="center" wrapText="1"/>
    </xf>
    <xf numFmtId="0" fontId="3" fillId="2" borderId="1" xfId="8" quotePrefix="1" applyFont="1" applyFill="1" applyBorder="1" applyAlignment="1">
      <alignment horizontal="left" vertical="center" wrapText="1"/>
    </xf>
    <xf numFmtId="0" fontId="3" fillId="2" borderId="0" xfId="0" applyFont="1" applyFill="1" applyAlignment="1">
      <alignment horizontal="center"/>
    </xf>
    <xf numFmtId="0" fontId="17" fillId="2" borderId="4" xfId="0" quotePrefix="1" applyFont="1" applyFill="1" applyBorder="1" applyAlignment="1">
      <alignment vertical="center" wrapText="1"/>
    </xf>
    <xf numFmtId="49" fontId="3" fillId="2" borderId="0" xfId="0" applyNumberFormat="1" applyFont="1" applyFill="1" applyAlignment="1">
      <alignment horizontal="center"/>
    </xf>
    <xf numFmtId="0" fontId="3" fillId="2" borderId="0" xfId="0" applyFont="1" applyFill="1" applyAlignment="1">
      <alignment horizontal="right" vertical="center" wrapText="1"/>
    </xf>
    <xf numFmtId="4" fontId="3" fillId="2" borderId="0" xfId="0" applyNumberFormat="1" applyFont="1" applyFill="1" applyAlignment="1">
      <alignment horizontal="center"/>
    </xf>
    <xf numFmtId="0" fontId="24" fillId="0" borderId="0" xfId="0" applyFont="1"/>
    <xf numFmtId="0" fontId="3" fillId="2" borderId="0" xfId="0" applyFont="1" applyFill="1" applyAlignment="1">
      <alignment horizontal="left" vertical="center"/>
    </xf>
    <xf numFmtId="0" fontId="25" fillId="2" borderId="6"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0" xfId="0" applyFont="1" applyFill="1"/>
    <xf numFmtId="4" fontId="7" fillId="2" borderId="0" xfId="0" applyNumberFormat="1" applyFont="1" applyFill="1"/>
    <xf numFmtId="0" fontId="2" fillId="2" borderId="3" xfId="4" applyFont="1" applyFill="1" applyBorder="1" applyAlignment="1">
      <alignment horizontal="center" vertical="center" wrapText="1"/>
    </xf>
    <xf numFmtId="0" fontId="2" fillId="2" borderId="4" xfId="4" applyFont="1" applyFill="1" applyBorder="1" applyAlignment="1">
      <alignment horizontal="center" vertical="center" wrapText="1"/>
    </xf>
    <xf numFmtId="0" fontId="2" fillId="2" borderId="3" xfId="4" applyFont="1" applyFill="1" applyBorder="1" applyAlignment="1">
      <alignment horizontal="center" wrapText="1"/>
    </xf>
    <xf numFmtId="0" fontId="2" fillId="2" borderId="4" xfId="4" applyFont="1" applyFill="1" applyBorder="1" applyAlignment="1">
      <alignment horizontal="center" wrapText="1"/>
    </xf>
    <xf numFmtId="0" fontId="22" fillId="2" borderId="2"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17" fillId="0" borderId="3" xfId="8" applyFont="1" applyBorder="1" applyAlignment="1">
      <alignment horizontal="left" vertical="center" wrapText="1"/>
    </xf>
    <xf numFmtId="0" fontId="17" fillId="0" borderId="4" xfId="8" applyFont="1" applyBorder="1" applyAlignment="1">
      <alignment horizontal="left" vertical="center" wrapText="1"/>
    </xf>
    <xf numFmtId="0" fontId="23" fillId="0" borderId="3" xfId="8" applyFont="1" applyBorder="1" applyAlignment="1">
      <alignment horizontal="center" vertical="center" wrapText="1"/>
    </xf>
    <xf numFmtId="0" fontId="23" fillId="0" borderId="4" xfId="8" applyFont="1" applyBorder="1" applyAlignment="1">
      <alignment horizontal="center" vertical="center" wrapText="1"/>
    </xf>
    <xf numFmtId="9" fontId="13" fillId="0" borderId="0" xfId="9" applyFont="1" applyAlignment="1">
      <alignment horizontal="left"/>
    </xf>
    <xf numFmtId="0" fontId="1" fillId="0" borderId="6" xfId="0" applyFont="1" applyBorder="1"/>
    <xf numFmtId="9" fontId="3" fillId="2" borderId="0" xfId="9" applyFont="1" applyFill="1" applyAlignment="1">
      <alignment horizontal="left"/>
    </xf>
    <xf numFmtId="9" fontId="17" fillId="0" borderId="0" xfId="9" applyFont="1" applyAlignment="1">
      <alignment horizontal="left"/>
    </xf>
    <xf numFmtId="0" fontId="2" fillId="2" borderId="0" xfId="0" applyFont="1" applyFill="1" applyAlignment="1">
      <alignment horizontal="center" vertical="center" wrapText="1"/>
    </xf>
    <xf numFmtId="0" fontId="11" fillId="0" borderId="0" xfId="5" applyFont="1" applyAlignment="1" applyProtection="1">
      <alignment horizontal="left"/>
    </xf>
  </cellXfs>
  <cellStyles count="11">
    <cellStyle name="Відсотковий" xfId="9" builtinId="5"/>
    <cellStyle name="Гіперпосилання" xfId="5" builtinId="8"/>
    <cellStyle name="Звичайний" xfId="0" builtinId="0"/>
    <cellStyle name="Звичайний 2" xfId="10"/>
    <cellStyle name="Обычный 10" xfId="7"/>
    <cellStyle name="Обычный 2" xfId="1"/>
    <cellStyle name="Обычный 2 2" xfId="6"/>
    <cellStyle name="Обычный 3" xfId="3"/>
    <cellStyle name="Обычный 9" xfId="8"/>
    <cellStyle name="Обычный_дод 3" xfId="4"/>
    <cellStyle name="Финансовый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6"/>
  <sheetViews>
    <sheetView tabSelected="1" view="pageBreakPreview" zoomScale="80" zoomScaleNormal="90" zoomScaleSheetLayoutView="80" workbookViewId="0">
      <selection activeCell="G9" sqref="G9"/>
    </sheetView>
  </sheetViews>
  <sheetFormatPr defaultColWidth="9.109375" defaultRowHeight="18"/>
  <cols>
    <col min="1" max="1" width="15.88671875" style="2" customWidth="1"/>
    <col min="2" max="2" width="14.88671875" style="1" customWidth="1"/>
    <col min="3" max="3" width="16" style="1" customWidth="1"/>
    <col min="4" max="4" width="50" style="1" customWidth="1"/>
    <col min="5" max="5" width="55.5546875" style="3" customWidth="1"/>
    <col min="6" max="6" width="18.33203125" style="1" customWidth="1"/>
    <col min="7" max="7" width="18" style="1" customWidth="1"/>
    <col min="8" max="8" width="12.6640625" style="2" customWidth="1"/>
    <col min="9" max="9" width="24" style="1" customWidth="1"/>
    <col min="10" max="10" width="18.44140625" style="1" bestFit="1" customWidth="1"/>
    <col min="11" max="11" width="16.88671875" style="1" bestFit="1" customWidth="1"/>
    <col min="12" max="12" width="15.5546875" style="1" bestFit="1" customWidth="1"/>
    <col min="13" max="16384" width="9.109375" style="1"/>
  </cols>
  <sheetData>
    <row r="1" spans="1:9" s="9" customFormat="1">
      <c r="A1" s="8"/>
      <c r="D1" s="10"/>
      <c r="E1" s="11"/>
      <c r="F1" s="91" t="s">
        <v>75</v>
      </c>
      <c r="G1" s="91"/>
      <c r="H1" s="91"/>
    </row>
    <row r="2" spans="1:9" s="9" customFormat="1">
      <c r="A2" s="8"/>
      <c r="D2" s="10"/>
      <c r="E2" s="11"/>
      <c r="F2" s="93" t="s">
        <v>61</v>
      </c>
      <c r="G2" s="93"/>
      <c r="H2" s="93"/>
    </row>
    <row r="3" spans="1:9" s="9" customFormat="1">
      <c r="A3" s="8"/>
      <c r="D3" s="10"/>
      <c r="E3" s="11"/>
      <c r="F3" s="94" t="s">
        <v>312</v>
      </c>
      <c r="G3" s="94"/>
      <c r="H3" s="94"/>
    </row>
    <row r="4" spans="1:9" s="4" customFormat="1" ht="21">
      <c r="A4" s="95" t="s">
        <v>311</v>
      </c>
      <c r="B4" s="95"/>
      <c r="C4" s="95"/>
      <c r="D4" s="95"/>
      <c r="E4" s="95"/>
      <c r="F4" s="95"/>
      <c r="G4" s="95"/>
      <c r="H4" s="95"/>
    </row>
    <row r="5" spans="1:9" s="4" customFormat="1" ht="21">
      <c r="A5" s="96">
        <v>1558900000</v>
      </c>
      <c r="B5" s="96"/>
      <c r="C5" s="5"/>
      <c r="D5" s="5"/>
      <c r="E5" s="5"/>
      <c r="F5" s="5"/>
      <c r="G5" s="5"/>
      <c r="H5" s="36"/>
    </row>
    <row r="6" spans="1:9" s="4" customFormat="1" ht="21">
      <c r="A6" s="6" t="s">
        <v>11</v>
      </c>
      <c r="B6" s="7"/>
      <c r="C6" s="5"/>
      <c r="D6" s="5"/>
      <c r="E6" s="5"/>
      <c r="F6" s="5"/>
      <c r="G6" s="5"/>
      <c r="H6" s="36"/>
    </row>
    <row r="7" spans="1:9" s="54" customFormat="1" ht="18" customHeight="1">
      <c r="A7" s="85" t="s">
        <v>1</v>
      </c>
      <c r="B7" s="85" t="s">
        <v>2</v>
      </c>
      <c r="C7" s="85" t="s">
        <v>3</v>
      </c>
      <c r="D7" s="85" t="s">
        <v>4</v>
      </c>
      <c r="E7" s="85" t="s">
        <v>69</v>
      </c>
      <c r="F7" s="85" t="s">
        <v>160</v>
      </c>
      <c r="G7" s="85" t="s">
        <v>313</v>
      </c>
      <c r="H7" s="85" t="s">
        <v>0</v>
      </c>
    </row>
    <row r="8" spans="1:9" s="54" customFormat="1" ht="50.4" customHeight="1">
      <c r="A8" s="92"/>
      <c r="B8" s="92"/>
      <c r="C8" s="92"/>
      <c r="D8" s="86"/>
      <c r="E8" s="86"/>
      <c r="F8" s="86"/>
      <c r="G8" s="86"/>
      <c r="H8" s="86"/>
    </row>
    <row r="9" spans="1:9" s="79" customFormat="1" ht="13.2">
      <c r="A9" s="77">
        <v>1</v>
      </c>
      <c r="B9" s="77">
        <v>2</v>
      </c>
      <c r="C9" s="77">
        <v>3</v>
      </c>
      <c r="D9" s="78">
        <v>4</v>
      </c>
      <c r="E9" s="78">
        <v>5</v>
      </c>
      <c r="F9" s="78">
        <v>6</v>
      </c>
      <c r="G9" s="78">
        <v>7</v>
      </c>
      <c r="H9" s="78">
        <v>8</v>
      </c>
    </row>
    <row r="10" spans="1:9" s="13" customFormat="1" ht="15.6">
      <c r="A10" s="12" t="s">
        <v>12</v>
      </c>
      <c r="B10" s="12"/>
      <c r="C10" s="12"/>
      <c r="D10" s="83" t="s">
        <v>39</v>
      </c>
      <c r="E10" s="84"/>
      <c r="F10" s="56">
        <f t="shared" ref="F10:G10" si="0">F11</f>
        <v>12321296</v>
      </c>
      <c r="G10" s="56">
        <f t="shared" si="0"/>
        <v>7672908.7699999996</v>
      </c>
      <c r="H10" s="37">
        <f>G10/F10</f>
        <v>0.62273552798341991</v>
      </c>
      <c r="I10" s="48"/>
    </row>
    <row r="11" spans="1:9" s="13" customFormat="1" ht="15.6">
      <c r="A11" s="12" t="s">
        <v>13</v>
      </c>
      <c r="B11" s="14"/>
      <c r="C11" s="14"/>
      <c r="D11" s="83" t="s">
        <v>39</v>
      </c>
      <c r="E11" s="84"/>
      <c r="F11" s="56">
        <f>F12+F13+F21+F22+F25+F28+F29+F30+F31+F32</f>
        <v>12321296</v>
      </c>
      <c r="G11" s="56">
        <f>G12+G13+G21+G22+G25+G28+G29+G30+G31+G32</f>
        <v>7672908.7699999996</v>
      </c>
      <c r="H11" s="37">
        <f t="shared" ref="H11:H76" si="1">G11/F11</f>
        <v>0.62273552798341991</v>
      </c>
    </row>
    <row r="12" spans="1:9" s="13" customFormat="1" ht="78">
      <c r="A12" s="15" t="s">
        <v>203</v>
      </c>
      <c r="B12" s="15" t="s">
        <v>204</v>
      </c>
      <c r="C12" s="15" t="s">
        <v>147</v>
      </c>
      <c r="D12" s="40" t="s">
        <v>205</v>
      </c>
      <c r="E12" s="18" t="s">
        <v>206</v>
      </c>
      <c r="F12" s="57">
        <v>1100000</v>
      </c>
      <c r="G12" s="57">
        <v>1100000</v>
      </c>
      <c r="H12" s="38">
        <f t="shared" si="1"/>
        <v>1</v>
      </c>
    </row>
    <row r="13" spans="1:9" s="13" customFormat="1" ht="31.2">
      <c r="A13" s="15" t="s">
        <v>45</v>
      </c>
      <c r="B13" s="15" t="s">
        <v>46</v>
      </c>
      <c r="C13" s="15" t="s">
        <v>15</v>
      </c>
      <c r="D13" s="40" t="s">
        <v>16</v>
      </c>
      <c r="E13" s="18" t="s">
        <v>24</v>
      </c>
      <c r="F13" s="57">
        <f>SUM(F14:F20)</f>
        <v>4863749</v>
      </c>
      <c r="G13" s="57">
        <f>SUM(G14:G20)</f>
        <v>2670522.25</v>
      </c>
      <c r="H13" s="38">
        <f t="shared" si="1"/>
        <v>0.54906662535422779</v>
      </c>
    </row>
    <row r="14" spans="1:9" s="13" customFormat="1" ht="93.6">
      <c r="A14" s="15"/>
      <c r="B14" s="15"/>
      <c r="C14" s="15"/>
      <c r="D14" s="41"/>
      <c r="E14" s="25" t="s">
        <v>207</v>
      </c>
      <c r="F14" s="57">
        <v>334805</v>
      </c>
      <c r="G14" s="57">
        <v>334804.25</v>
      </c>
      <c r="H14" s="38">
        <f t="shared" si="1"/>
        <v>0.99999775989008532</v>
      </c>
    </row>
    <row r="15" spans="1:9" s="13" customFormat="1" ht="78">
      <c r="A15" s="15"/>
      <c r="B15" s="15"/>
      <c r="C15" s="15"/>
      <c r="D15" s="41"/>
      <c r="E15" s="25" t="s">
        <v>76</v>
      </c>
      <c r="F15" s="57">
        <f>1400000+700000</f>
        <v>2100000</v>
      </c>
      <c r="G15" s="57">
        <v>2099833</v>
      </c>
      <c r="H15" s="38">
        <f t="shared" si="1"/>
        <v>0.99992047619047619</v>
      </c>
    </row>
    <row r="16" spans="1:9" s="13" customFormat="1" ht="124.8">
      <c r="A16" s="15"/>
      <c r="B16" s="15"/>
      <c r="C16" s="15"/>
      <c r="D16" s="41"/>
      <c r="E16" s="45" t="s">
        <v>128</v>
      </c>
      <c r="F16" s="57">
        <f>66000-9440.93</f>
        <v>56559.07</v>
      </c>
      <c r="G16" s="57">
        <v>56559.07</v>
      </c>
      <c r="H16" s="38">
        <f t="shared" si="1"/>
        <v>1</v>
      </c>
    </row>
    <row r="17" spans="1:8" s="13" customFormat="1" ht="156">
      <c r="A17" s="15"/>
      <c r="B17" s="15"/>
      <c r="C17" s="15"/>
      <c r="D17" s="41"/>
      <c r="E17" s="49" t="s">
        <v>161</v>
      </c>
      <c r="F17" s="57">
        <v>47706</v>
      </c>
      <c r="G17" s="57">
        <v>47706</v>
      </c>
      <c r="H17" s="38">
        <f t="shared" si="1"/>
        <v>1</v>
      </c>
    </row>
    <row r="18" spans="1:8" s="13" customFormat="1" ht="124.8">
      <c r="A18" s="15"/>
      <c r="B18" s="15"/>
      <c r="C18" s="15"/>
      <c r="D18" s="41"/>
      <c r="E18" s="49" t="s">
        <v>208</v>
      </c>
      <c r="F18" s="57">
        <v>2193059</v>
      </c>
      <c r="G18" s="57"/>
      <c r="H18" s="38">
        <f t="shared" si="1"/>
        <v>0</v>
      </c>
    </row>
    <row r="19" spans="1:8" s="13" customFormat="1" ht="156">
      <c r="A19" s="15"/>
      <c r="B19" s="15"/>
      <c r="C19" s="15"/>
      <c r="D19" s="41"/>
      <c r="E19" s="46" t="s">
        <v>196</v>
      </c>
      <c r="F19" s="57">
        <v>47706</v>
      </c>
      <c r="G19" s="57">
        <v>47706</v>
      </c>
      <c r="H19" s="38">
        <f t="shared" si="1"/>
        <v>1</v>
      </c>
    </row>
    <row r="20" spans="1:8" s="13" customFormat="1" ht="62.4">
      <c r="A20" s="15"/>
      <c r="B20" s="15"/>
      <c r="C20" s="15"/>
      <c r="D20" s="41"/>
      <c r="E20" s="50" t="s">
        <v>162</v>
      </c>
      <c r="F20" s="57">
        <f>74473+9440.93</f>
        <v>83913.93</v>
      </c>
      <c r="G20" s="57">
        <v>83913.93</v>
      </c>
      <c r="H20" s="38">
        <f t="shared" si="1"/>
        <v>1</v>
      </c>
    </row>
    <row r="21" spans="1:8" s="13" customFormat="1" ht="15.6">
      <c r="A21" s="15" t="s">
        <v>209</v>
      </c>
      <c r="B21" s="15" t="s">
        <v>210</v>
      </c>
      <c r="C21" s="16" t="s">
        <v>211</v>
      </c>
      <c r="D21" s="17" t="s">
        <v>212</v>
      </c>
      <c r="E21" s="50" t="s">
        <v>213</v>
      </c>
      <c r="F21" s="57">
        <v>870000</v>
      </c>
      <c r="G21" s="57">
        <v>868180</v>
      </c>
      <c r="H21" s="38">
        <f t="shared" si="1"/>
        <v>0.99790804597701155</v>
      </c>
    </row>
    <row r="22" spans="1:8" s="13" customFormat="1" ht="46.8">
      <c r="A22" s="15" t="s">
        <v>129</v>
      </c>
      <c r="B22" s="15" t="s">
        <v>130</v>
      </c>
      <c r="C22" s="15" t="s">
        <v>131</v>
      </c>
      <c r="D22" s="25" t="s">
        <v>132</v>
      </c>
      <c r="E22" s="45" t="s">
        <v>24</v>
      </c>
      <c r="F22" s="57">
        <f>F23+F24</f>
        <v>2320500</v>
      </c>
      <c r="G22" s="57">
        <f>G23+G24</f>
        <v>881684.52</v>
      </c>
      <c r="H22" s="38">
        <f t="shared" si="1"/>
        <v>0.37995454427925018</v>
      </c>
    </row>
    <row r="23" spans="1:8" s="13" customFormat="1" ht="15.6">
      <c r="A23" s="15"/>
      <c r="B23" s="15"/>
      <c r="C23" s="15"/>
      <c r="D23" s="25"/>
      <c r="E23" s="45" t="s">
        <v>213</v>
      </c>
      <c r="F23" s="57">
        <f>1000000-36000-56200+130000-246600+4700</f>
        <v>795900</v>
      </c>
      <c r="G23" s="57">
        <v>783177.2</v>
      </c>
      <c r="H23" s="38">
        <f t="shared" si="1"/>
        <v>0.98401457469531339</v>
      </c>
    </row>
    <row r="24" spans="1:8" s="13" customFormat="1" ht="109.2">
      <c r="A24" s="15"/>
      <c r="B24" s="15"/>
      <c r="C24" s="15"/>
      <c r="D24" s="25"/>
      <c r="E24" s="45" t="s">
        <v>214</v>
      </c>
      <c r="F24" s="57">
        <v>1524600</v>
      </c>
      <c r="G24" s="57">
        <v>98507.32</v>
      </c>
      <c r="H24" s="38">
        <f t="shared" si="1"/>
        <v>6.4611911321002233E-2</v>
      </c>
    </row>
    <row r="25" spans="1:8" s="13" customFormat="1" ht="31.2">
      <c r="A25" s="15" t="s">
        <v>133</v>
      </c>
      <c r="B25" s="15" t="s">
        <v>134</v>
      </c>
      <c r="C25" s="22" t="s">
        <v>135</v>
      </c>
      <c r="D25" s="17" t="s">
        <v>136</v>
      </c>
      <c r="E25" s="45" t="s">
        <v>24</v>
      </c>
      <c r="F25" s="57">
        <f>F26+F27</f>
        <v>660000</v>
      </c>
      <c r="G25" s="57">
        <f>G26+G27</f>
        <v>259999</v>
      </c>
      <c r="H25" s="38">
        <f t="shared" si="1"/>
        <v>0.39393787878787878</v>
      </c>
    </row>
    <row r="26" spans="1:8" s="13" customFormat="1" ht="62.4">
      <c r="A26" s="15"/>
      <c r="B26" s="15"/>
      <c r="C26" s="22"/>
      <c r="D26" s="17"/>
      <c r="E26" s="45" t="s">
        <v>137</v>
      </c>
      <c r="F26" s="57">
        <f>260000</f>
        <v>260000</v>
      </c>
      <c r="G26" s="57">
        <v>259999</v>
      </c>
      <c r="H26" s="38">
        <f t="shared" si="1"/>
        <v>0.99999615384615381</v>
      </c>
    </row>
    <row r="27" spans="1:8" s="13" customFormat="1" ht="62.4">
      <c r="A27" s="15"/>
      <c r="B27" s="15"/>
      <c r="C27" s="22"/>
      <c r="D27" s="17"/>
      <c r="E27" s="45" t="s">
        <v>215</v>
      </c>
      <c r="F27" s="57">
        <f>400000</f>
        <v>400000</v>
      </c>
      <c r="G27" s="57"/>
      <c r="H27" s="38">
        <f t="shared" si="1"/>
        <v>0</v>
      </c>
    </row>
    <row r="28" spans="1:8" s="13" customFormat="1" ht="31.2">
      <c r="A28" s="15" t="s">
        <v>163</v>
      </c>
      <c r="B28" s="15" t="s">
        <v>164</v>
      </c>
      <c r="C28" s="22" t="s">
        <v>165</v>
      </c>
      <c r="D28" s="17" t="s">
        <v>166</v>
      </c>
      <c r="E28" s="23" t="s">
        <v>14</v>
      </c>
      <c r="F28" s="58">
        <f>58200+60000+75597+690000</f>
        <v>883797</v>
      </c>
      <c r="G28" s="58">
        <v>297277</v>
      </c>
      <c r="H28" s="38">
        <f t="shared" si="1"/>
        <v>0.33636344092591397</v>
      </c>
    </row>
    <row r="29" spans="1:8" s="13" customFormat="1" ht="46.8">
      <c r="A29" s="15" t="s">
        <v>216</v>
      </c>
      <c r="B29" s="15" t="s">
        <v>41</v>
      </c>
      <c r="C29" s="22" t="s">
        <v>44</v>
      </c>
      <c r="D29" s="42" t="s">
        <v>42</v>
      </c>
      <c r="E29" s="18" t="s">
        <v>217</v>
      </c>
      <c r="F29" s="58">
        <v>120000</v>
      </c>
      <c r="G29" s="58">
        <v>92000</v>
      </c>
      <c r="H29" s="38">
        <f t="shared" si="1"/>
        <v>0.76666666666666672</v>
      </c>
    </row>
    <row r="30" spans="1:8" s="13" customFormat="1" ht="31.2">
      <c r="A30" s="15" t="s">
        <v>138</v>
      </c>
      <c r="B30" s="15" t="s">
        <v>139</v>
      </c>
      <c r="C30" s="16" t="s">
        <v>62</v>
      </c>
      <c r="D30" s="17" t="s">
        <v>140</v>
      </c>
      <c r="E30" s="45" t="s">
        <v>14</v>
      </c>
      <c r="F30" s="57">
        <f>37299-1349</f>
        <v>35950</v>
      </c>
      <c r="G30" s="57">
        <v>35950</v>
      </c>
      <c r="H30" s="38">
        <f t="shared" si="1"/>
        <v>1</v>
      </c>
    </row>
    <row r="31" spans="1:8" s="13" customFormat="1" ht="15.6">
      <c r="A31" s="15" t="s">
        <v>167</v>
      </c>
      <c r="B31" s="15" t="s">
        <v>168</v>
      </c>
      <c r="C31" s="22" t="s">
        <v>62</v>
      </c>
      <c r="D31" s="17" t="s">
        <v>169</v>
      </c>
      <c r="E31" s="45" t="s">
        <v>14</v>
      </c>
      <c r="F31" s="57">
        <v>190800</v>
      </c>
      <c r="G31" s="57">
        <v>190796</v>
      </c>
      <c r="H31" s="38">
        <f t="shared" si="1"/>
        <v>0.99997903563941304</v>
      </c>
    </row>
    <row r="32" spans="1:8" s="13" customFormat="1" ht="109.2">
      <c r="A32" s="15" t="s">
        <v>70</v>
      </c>
      <c r="B32" s="15" t="s">
        <v>71</v>
      </c>
      <c r="C32" s="22" t="s">
        <v>62</v>
      </c>
      <c r="D32" s="17" t="s">
        <v>72</v>
      </c>
      <c r="E32" s="27" t="s">
        <v>104</v>
      </c>
      <c r="F32" s="57">
        <v>1276500</v>
      </c>
      <c r="G32" s="57">
        <v>1276500</v>
      </c>
      <c r="H32" s="38">
        <f t="shared" si="1"/>
        <v>1</v>
      </c>
    </row>
    <row r="33" spans="1:8" s="13" customFormat="1" ht="15.6">
      <c r="A33" s="12" t="s">
        <v>5</v>
      </c>
      <c r="B33" s="12"/>
      <c r="C33" s="12"/>
      <c r="D33" s="83" t="s">
        <v>77</v>
      </c>
      <c r="E33" s="84"/>
      <c r="F33" s="56">
        <f t="shared" ref="F33:G33" si="2">F34</f>
        <v>26555829.359999999</v>
      </c>
      <c r="G33" s="56">
        <f t="shared" si="2"/>
        <v>18365293.210000001</v>
      </c>
      <c r="H33" s="37">
        <f t="shared" si="1"/>
        <v>0.6915729484865164</v>
      </c>
    </row>
    <row r="34" spans="1:8" s="13" customFormat="1" ht="15.6">
      <c r="A34" s="12" t="s">
        <v>6</v>
      </c>
      <c r="B34" s="14"/>
      <c r="C34" s="14"/>
      <c r="D34" s="83" t="s">
        <v>77</v>
      </c>
      <c r="E34" s="84"/>
      <c r="F34" s="56">
        <f>F35+F40+F46+F49+F50+F51+F52+F53</f>
        <v>26555829.359999999</v>
      </c>
      <c r="G34" s="56">
        <f>G35+G40+G46+G49+G50+G51+G52+G53</f>
        <v>18365293.210000001</v>
      </c>
      <c r="H34" s="37">
        <f t="shared" si="1"/>
        <v>0.6915729484865164</v>
      </c>
    </row>
    <row r="35" spans="1:8" s="13" customFormat="1" ht="15.6">
      <c r="A35" s="15" t="s">
        <v>64</v>
      </c>
      <c r="B35" s="15" t="s">
        <v>65</v>
      </c>
      <c r="C35" s="15" t="s">
        <v>66</v>
      </c>
      <c r="D35" s="40" t="s">
        <v>67</v>
      </c>
      <c r="E35" s="18" t="s">
        <v>24</v>
      </c>
      <c r="F35" s="57">
        <f>SUM(F36:F39)</f>
        <v>5545713</v>
      </c>
      <c r="G35" s="57">
        <f>SUM(G36:G39)</f>
        <v>4471183.46</v>
      </c>
      <c r="H35" s="38">
        <f t="shared" si="1"/>
        <v>0.80624140845370107</v>
      </c>
    </row>
    <row r="36" spans="1:8" s="13" customFormat="1" ht="62.4">
      <c r="A36" s="15"/>
      <c r="B36" s="15"/>
      <c r="C36" s="22"/>
      <c r="D36" s="42"/>
      <c r="E36" s="59" t="s">
        <v>78</v>
      </c>
      <c r="F36" s="58">
        <f>1071430-166000</f>
        <v>905430</v>
      </c>
      <c r="G36" s="58">
        <v>904000</v>
      </c>
      <c r="H36" s="38">
        <f t="shared" si="1"/>
        <v>0.99842063991694552</v>
      </c>
    </row>
    <row r="37" spans="1:8" s="13" customFormat="1" ht="62.4">
      <c r="A37" s="15"/>
      <c r="B37" s="15"/>
      <c r="C37" s="22"/>
      <c r="D37" s="42"/>
      <c r="E37" s="59" t="s">
        <v>79</v>
      </c>
      <c r="F37" s="58">
        <f>1100000-30000</f>
        <v>1070000</v>
      </c>
      <c r="G37" s="58">
        <v>196963.46</v>
      </c>
      <c r="H37" s="38">
        <f t="shared" si="1"/>
        <v>0.18407799999999999</v>
      </c>
    </row>
    <row r="38" spans="1:8" s="13" customFormat="1" ht="78">
      <c r="A38" s="15"/>
      <c r="B38" s="15"/>
      <c r="C38" s="22"/>
      <c r="D38" s="42"/>
      <c r="E38" s="31" t="s">
        <v>80</v>
      </c>
      <c r="F38" s="58">
        <v>200000</v>
      </c>
      <c r="G38" s="58"/>
      <c r="H38" s="38">
        <f t="shared" si="1"/>
        <v>0</v>
      </c>
    </row>
    <row r="39" spans="1:8" s="13" customFormat="1" ht="78">
      <c r="A39" s="15"/>
      <c r="B39" s="15"/>
      <c r="C39" s="22"/>
      <c r="D39" s="42"/>
      <c r="E39" s="59" t="s">
        <v>141</v>
      </c>
      <c r="F39" s="58">
        <f>287283+2100000+953000+30000</f>
        <v>3370283</v>
      </c>
      <c r="G39" s="58">
        <v>3370220</v>
      </c>
      <c r="H39" s="38">
        <f t="shared" si="1"/>
        <v>0.99998130720773304</v>
      </c>
    </row>
    <row r="40" spans="1:8" s="13" customFormat="1" ht="46.8">
      <c r="A40" s="15" t="s">
        <v>21</v>
      </c>
      <c r="B40" s="15" t="s">
        <v>22</v>
      </c>
      <c r="C40" s="15" t="s">
        <v>23</v>
      </c>
      <c r="D40" s="40" t="s">
        <v>48</v>
      </c>
      <c r="E40" s="18" t="s">
        <v>24</v>
      </c>
      <c r="F40" s="57">
        <f>SUM(F41:F45)</f>
        <v>3606770</v>
      </c>
      <c r="G40" s="57">
        <f>SUM(G41:G45)</f>
        <v>3417980</v>
      </c>
      <c r="H40" s="38">
        <f t="shared" si="1"/>
        <v>0.94765676768965035</v>
      </c>
    </row>
    <row r="41" spans="1:8" s="13" customFormat="1" ht="46.8">
      <c r="A41" s="15"/>
      <c r="B41" s="15"/>
      <c r="C41" s="22"/>
      <c r="D41" s="42"/>
      <c r="E41" s="23" t="s">
        <v>81</v>
      </c>
      <c r="F41" s="58">
        <f>1173330-153000</f>
        <v>1020330</v>
      </c>
      <c r="G41" s="58">
        <v>1020000</v>
      </c>
      <c r="H41" s="38">
        <f t="shared" si="1"/>
        <v>0.99967657522566233</v>
      </c>
    </row>
    <row r="42" spans="1:8" s="13" customFormat="1" ht="46.8">
      <c r="A42" s="15"/>
      <c r="B42" s="15"/>
      <c r="C42" s="22"/>
      <c r="D42" s="42"/>
      <c r="E42" s="23" t="s">
        <v>82</v>
      </c>
      <c r="F42" s="58">
        <f>888180-108000</f>
        <v>780180</v>
      </c>
      <c r="G42" s="58">
        <v>780000</v>
      </c>
      <c r="H42" s="38">
        <f t="shared" si="1"/>
        <v>0.99976928401138199</v>
      </c>
    </row>
    <row r="43" spans="1:8" s="13" customFormat="1" ht="62.4">
      <c r="A43" s="15"/>
      <c r="B43" s="15"/>
      <c r="C43" s="22"/>
      <c r="D43" s="42"/>
      <c r="E43" s="23" t="s">
        <v>83</v>
      </c>
      <c r="F43" s="58">
        <f>193260-37000</f>
        <v>156260</v>
      </c>
      <c r="G43" s="58">
        <v>154000</v>
      </c>
      <c r="H43" s="38">
        <f t="shared" si="1"/>
        <v>0.98553692563675921</v>
      </c>
    </row>
    <row r="44" spans="1:8" s="13" customFormat="1" ht="124.8">
      <c r="A44" s="15"/>
      <c r="B44" s="15"/>
      <c r="C44" s="22"/>
      <c r="D44" s="42"/>
      <c r="E44" s="23" t="s">
        <v>170</v>
      </c>
      <c r="F44" s="58">
        <f>1720000-270000</f>
        <v>1450000</v>
      </c>
      <c r="G44" s="58">
        <v>1274996</v>
      </c>
      <c r="H44" s="38">
        <f t="shared" si="1"/>
        <v>0.87930758620689653</v>
      </c>
    </row>
    <row r="45" spans="1:8" s="13" customFormat="1" ht="93.6">
      <c r="A45" s="15"/>
      <c r="B45" s="15"/>
      <c r="C45" s="22"/>
      <c r="D45" s="42"/>
      <c r="E45" s="23" t="s">
        <v>218</v>
      </c>
      <c r="F45" s="58">
        <v>200000</v>
      </c>
      <c r="G45" s="58">
        <v>188984</v>
      </c>
      <c r="H45" s="38">
        <f t="shared" si="1"/>
        <v>0.94491999999999998</v>
      </c>
    </row>
    <row r="46" spans="1:8" s="13" customFormat="1" ht="31.2">
      <c r="A46" s="15" t="s">
        <v>219</v>
      </c>
      <c r="B46" s="15" t="s">
        <v>220</v>
      </c>
      <c r="C46" s="22" t="s">
        <v>144</v>
      </c>
      <c r="D46" s="42" t="s">
        <v>221</v>
      </c>
      <c r="E46" s="23" t="s">
        <v>24</v>
      </c>
      <c r="F46" s="58">
        <f>F47+F48</f>
        <v>4630000</v>
      </c>
      <c r="G46" s="58">
        <f>G47+G48</f>
        <v>4600000</v>
      </c>
      <c r="H46" s="38">
        <f t="shared" si="1"/>
        <v>0.99352051835853128</v>
      </c>
    </row>
    <row r="47" spans="1:8" s="13" customFormat="1" ht="15.6">
      <c r="A47" s="19"/>
      <c r="B47" s="19"/>
      <c r="C47" s="26"/>
      <c r="D47" s="43"/>
      <c r="E47" s="53" t="s">
        <v>222</v>
      </c>
      <c r="F47" s="60">
        <f>1130000+70000</f>
        <v>1200000</v>
      </c>
      <c r="G47" s="60">
        <v>1200000</v>
      </c>
      <c r="H47" s="39">
        <f t="shared" si="1"/>
        <v>1</v>
      </c>
    </row>
    <row r="48" spans="1:8" s="13" customFormat="1" ht="15.6">
      <c r="A48" s="19"/>
      <c r="B48" s="19"/>
      <c r="C48" s="26"/>
      <c r="D48" s="43"/>
      <c r="E48" s="53" t="s">
        <v>223</v>
      </c>
      <c r="F48" s="60">
        <f>3500000-70000</f>
        <v>3430000</v>
      </c>
      <c r="G48" s="60">
        <v>3400000</v>
      </c>
      <c r="H48" s="39">
        <f t="shared" si="1"/>
        <v>0.99125364431486884</v>
      </c>
    </row>
    <row r="49" spans="1:10" s="13" customFormat="1" ht="78">
      <c r="A49" s="15" t="s">
        <v>224</v>
      </c>
      <c r="B49" s="15" t="s">
        <v>225</v>
      </c>
      <c r="C49" s="22" t="s">
        <v>144</v>
      </c>
      <c r="D49" s="42" t="s">
        <v>226</v>
      </c>
      <c r="E49" s="23" t="s">
        <v>14</v>
      </c>
      <c r="F49" s="58">
        <v>1012084</v>
      </c>
      <c r="G49" s="58">
        <v>1011672</v>
      </c>
      <c r="H49" s="38">
        <f t="shared" si="1"/>
        <v>0.99959291916481241</v>
      </c>
    </row>
    <row r="50" spans="1:10" s="13" customFormat="1" ht="78">
      <c r="A50" s="15" t="s">
        <v>200</v>
      </c>
      <c r="B50" s="15" t="s">
        <v>201</v>
      </c>
      <c r="C50" s="22" t="s">
        <v>144</v>
      </c>
      <c r="D50" s="42" t="s">
        <v>202</v>
      </c>
      <c r="E50" s="23" t="s">
        <v>14</v>
      </c>
      <c r="F50" s="58">
        <v>2361528</v>
      </c>
      <c r="G50" s="58">
        <v>2361528</v>
      </c>
      <c r="H50" s="38">
        <f t="shared" si="1"/>
        <v>1</v>
      </c>
      <c r="J50" s="28"/>
    </row>
    <row r="51" spans="1:10" s="13" customFormat="1" ht="109.2">
      <c r="A51" s="15" t="s">
        <v>142</v>
      </c>
      <c r="B51" s="15" t="s">
        <v>143</v>
      </c>
      <c r="C51" s="15" t="s">
        <v>144</v>
      </c>
      <c r="D51" s="17" t="s">
        <v>145</v>
      </c>
      <c r="E51" s="23" t="s">
        <v>14</v>
      </c>
      <c r="F51" s="58">
        <f>656964+784845</f>
        <v>1441809</v>
      </c>
      <c r="G51" s="58">
        <v>1439753</v>
      </c>
      <c r="H51" s="38">
        <f t="shared" si="1"/>
        <v>0.99857401361761511</v>
      </c>
    </row>
    <row r="52" spans="1:10" s="13" customFormat="1" ht="31.2">
      <c r="A52" s="15" t="s">
        <v>227</v>
      </c>
      <c r="B52" s="15" t="s">
        <v>164</v>
      </c>
      <c r="C52" s="22" t="s">
        <v>165</v>
      </c>
      <c r="D52" s="17" t="s">
        <v>166</v>
      </c>
      <c r="E52" s="23" t="s">
        <v>14</v>
      </c>
      <c r="F52" s="58">
        <v>205000</v>
      </c>
      <c r="G52" s="58">
        <v>204900</v>
      </c>
      <c r="H52" s="38">
        <f t="shared" si="1"/>
        <v>0.99951219512195122</v>
      </c>
    </row>
    <row r="53" spans="1:10" s="13" customFormat="1" ht="31.2">
      <c r="A53" s="15" t="s">
        <v>68</v>
      </c>
      <c r="B53" s="15" t="s">
        <v>41</v>
      </c>
      <c r="C53" s="22" t="s">
        <v>44</v>
      </c>
      <c r="D53" s="42" t="s">
        <v>42</v>
      </c>
      <c r="E53" s="18" t="s">
        <v>24</v>
      </c>
      <c r="F53" s="57">
        <f>SUM(F54:F57)</f>
        <v>7752925.3600000003</v>
      </c>
      <c r="G53" s="57">
        <f>SUM(G54:G57)</f>
        <v>858276.75</v>
      </c>
      <c r="H53" s="38">
        <f t="shared" si="1"/>
        <v>0.11070360027302004</v>
      </c>
      <c r="J53" s="28"/>
    </row>
    <row r="54" spans="1:10" s="13" customFormat="1" ht="93.6">
      <c r="A54" s="15"/>
      <c r="B54" s="15"/>
      <c r="C54" s="22"/>
      <c r="D54" s="42"/>
      <c r="E54" s="23" t="s">
        <v>171</v>
      </c>
      <c r="F54" s="58">
        <f>1400000+383680+1822017-421900</f>
        <v>3183797</v>
      </c>
      <c r="G54" s="58">
        <v>383678.33</v>
      </c>
      <c r="H54" s="38">
        <f t="shared" si="1"/>
        <v>0.12050967131384319</v>
      </c>
    </row>
    <row r="55" spans="1:10" s="13" customFormat="1" ht="78">
      <c r="A55" s="15"/>
      <c r="B55" s="15"/>
      <c r="C55" s="22"/>
      <c r="D55" s="42"/>
      <c r="E55" s="23" t="s">
        <v>172</v>
      </c>
      <c r="F55" s="58">
        <f>900000+306196+667364-373200</f>
        <v>1500360</v>
      </c>
      <c r="G55" s="58">
        <v>306144.15000000002</v>
      </c>
      <c r="H55" s="38">
        <f t="shared" si="1"/>
        <v>0.20404712868911462</v>
      </c>
    </row>
    <row r="56" spans="1:10" s="13" customFormat="1" ht="78">
      <c r="A56" s="15"/>
      <c r="B56" s="15"/>
      <c r="C56" s="22"/>
      <c r="D56" s="42"/>
      <c r="E56" s="23" t="s">
        <v>173</v>
      </c>
      <c r="F56" s="58">
        <f>168768.36+5000000-3500000-100000</f>
        <v>1568768.3600000003</v>
      </c>
      <c r="G56" s="58">
        <v>168454.27</v>
      </c>
      <c r="H56" s="38">
        <f t="shared" si="1"/>
        <v>0.10737995123767026</v>
      </c>
    </row>
    <row r="57" spans="1:10" s="13" customFormat="1" ht="93.6">
      <c r="A57" s="15"/>
      <c r="B57" s="15"/>
      <c r="C57" s="22"/>
      <c r="D57" s="17"/>
      <c r="E57" s="23" t="s">
        <v>174</v>
      </c>
      <c r="F57" s="58">
        <f>2000000-500000</f>
        <v>1500000</v>
      </c>
      <c r="G57" s="58"/>
      <c r="H57" s="38">
        <f t="shared" si="1"/>
        <v>0</v>
      </c>
    </row>
    <row r="58" spans="1:10" s="13" customFormat="1" ht="15.6">
      <c r="A58" s="12" t="s">
        <v>175</v>
      </c>
      <c r="B58" s="12"/>
      <c r="C58" s="12"/>
      <c r="D58" s="83" t="s">
        <v>176</v>
      </c>
      <c r="E58" s="84"/>
      <c r="F58" s="56">
        <f t="shared" ref="F58:G58" si="3">F59</f>
        <v>19175497</v>
      </c>
      <c r="G58" s="56">
        <f t="shared" si="3"/>
        <v>19008989.640000001</v>
      </c>
      <c r="H58" s="37">
        <f t="shared" si="1"/>
        <v>0.99131666000625696</v>
      </c>
    </row>
    <row r="59" spans="1:10" s="13" customFormat="1" ht="15.6">
      <c r="A59" s="12" t="s">
        <v>177</v>
      </c>
      <c r="B59" s="14"/>
      <c r="C59" s="14"/>
      <c r="D59" s="83" t="s">
        <v>176</v>
      </c>
      <c r="E59" s="84"/>
      <c r="F59" s="56">
        <f>F60+F61+F62+F63</f>
        <v>19175497</v>
      </c>
      <c r="G59" s="56">
        <f>G60+G61+G62+G63</f>
        <v>19008989.640000001</v>
      </c>
      <c r="H59" s="37">
        <f t="shared" si="1"/>
        <v>0.99131666000625696</v>
      </c>
    </row>
    <row r="60" spans="1:10" s="13" customFormat="1" ht="93.6">
      <c r="A60" s="15" t="s">
        <v>228</v>
      </c>
      <c r="B60" s="15" t="s">
        <v>229</v>
      </c>
      <c r="C60" s="16" t="s">
        <v>230</v>
      </c>
      <c r="D60" s="17" t="s">
        <v>231</v>
      </c>
      <c r="E60" s="45" t="s">
        <v>232</v>
      </c>
      <c r="F60" s="57">
        <v>2000000</v>
      </c>
      <c r="G60" s="57">
        <v>1852020</v>
      </c>
      <c r="H60" s="38">
        <f t="shared" si="1"/>
        <v>0.92601</v>
      </c>
    </row>
    <row r="61" spans="1:10" s="13" customFormat="1" ht="145.80000000000001" customHeight="1">
      <c r="A61" s="15" t="s">
        <v>178</v>
      </c>
      <c r="B61" s="15" t="s">
        <v>179</v>
      </c>
      <c r="C61" s="16">
        <v>1060</v>
      </c>
      <c r="D61" s="87" t="s">
        <v>180</v>
      </c>
      <c r="E61" s="88"/>
      <c r="F61" s="58">
        <f>1859158+4332560</f>
        <v>6191718</v>
      </c>
      <c r="G61" s="58">
        <v>6185263.5099999998</v>
      </c>
      <c r="H61" s="38">
        <f t="shared" si="1"/>
        <v>0.99895756072870245</v>
      </c>
    </row>
    <row r="62" spans="1:10" s="13" customFormat="1" ht="148.80000000000001" customHeight="1">
      <c r="A62" s="15" t="s">
        <v>233</v>
      </c>
      <c r="B62" s="15" t="s">
        <v>234</v>
      </c>
      <c r="C62" s="16">
        <v>1060</v>
      </c>
      <c r="D62" s="87" t="s">
        <v>235</v>
      </c>
      <c r="E62" s="88"/>
      <c r="F62" s="58">
        <v>6239090</v>
      </c>
      <c r="G62" s="58">
        <v>6239089.0300000003</v>
      </c>
      <c r="H62" s="38">
        <f t="shared" si="1"/>
        <v>0.99999984452860913</v>
      </c>
    </row>
    <row r="63" spans="1:10" s="13" customFormat="1" ht="98.4" customHeight="1">
      <c r="A63" s="15" t="s">
        <v>181</v>
      </c>
      <c r="B63" s="15" t="s">
        <v>182</v>
      </c>
      <c r="C63" s="16">
        <v>1060</v>
      </c>
      <c r="D63" s="87" t="s">
        <v>183</v>
      </c>
      <c r="E63" s="88"/>
      <c r="F63" s="58">
        <v>4744689</v>
      </c>
      <c r="G63" s="58">
        <v>4732617.0999999996</v>
      </c>
      <c r="H63" s="38">
        <f t="shared" si="1"/>
        <v>0.99745570257608029</v>
      </c>
    </row>
    <row r="64" spans="1:10" s="13" customFormat="1" ht="15.6">
      <c r="A64" s="24" t="s">
        <v>236</v>
      </c>
      <c r="B64" s="24"/>
      <c r="C64" s="61"/>
      <c r="D64" s="89" t="s">
        <v>237</v>
      </c>
      <c r="E64" s="90"/>
      <c r="F64" s="62">
        <f>F65</f>
        <v>4231735</v>
      </c>
      <c r="G64" s="62">
        <f>G65</f>
        <v>0</v>
      </c>
      <c r="H64" s="37">
        <f t="shared" si="1"/>
        <v>0</v>
      </c>
      <c r="I64" s="48"/>
    </row>
    <row r="65" spans="1:10" s="13" customFormat="1" ht="15.6">
      <c r="A65" s="24" t="s">
        <v>238</v>
      </c>
      <c r="B65" s="24"/>
      <c r="C65" s="61"/>
      <c r="D65" s="89" t="s">
        <v>237</v>
      </c>
      <c r="E65" s="90"/>
      <c r="F65" s="62">
        <f>F66</f>
        <v>4231735</v>
      </c>
      <c r="G65" s="62">
        <f>G66</f>
        <v>0</v>
      </c>
      <c r="H65" s="37">
        <f t="shared" si="1"/>
        <v>0</v>
      </c>
    </row>
    <row r="66" spans="1:10" s="13" customFormat="1" ht="93.6">
      <c r="A66" s="15" t="s">
        <v>239</v>
      </c>
      <c r="B66" s="15" t="s">
        <v>240</v>
      </c>
      <c r="C66" s="22" t="s">
        <v>25</v>
      </c>
      <c r="D66" s="17" t="s">
        <v>241</v>
      </c>
      <c r="E66" s="55" t="s">
        <v>242</v>
      </c>
      <c r="F66" s="58">
        <v>4231735</v>
      </c>
      <c r="G66" s="58"/>
      <c r="H66" s="38">
        <f t="shared" si="1"/>
        <v>0</v>
      </c>
    </row>
    <row r="67" spans="1:10" s="13" customFormat="1" ht="15.6">
      <c r="A67" s="12" t="s">
        <v>243</v>
      </c>
      <c r="B67" s="12"/>
      <c r="C67" s="12"/>
      <c r="D67" s="83" t="s">
        <v>244</v>
      </c>
      <c r="E67" s="84"/>
      <c r="F67" s="56">
        <f>F68</f>
        <v>190000</v>
      </c>
      <c r="G67" s="56">
        <f>G68</f>
        <v>190000</v>
      </c>
      <c r="H67" s="37">
        <f t="shared" si="1"/>
        <v>1</v>
      </c>
    </row>
    <row r="68" spans="1:10" s="13" customFormat="1" ht="15.6">
      <c r="A68" s="12" t="s">
        <v>245</v>
      </c>
      <c r="B68" s="14"/>
      <c r="C68" s="14"/>
      <c r="D68" s="83" t="s">
        <v>244</v>
      </c>
      <c r="E68" s="84"/>
      <c r="F68" s="56">
        <f>F69</f>
        <v>190000</v>
      </c>
      <c r="G68" s="56">
        <f>G69</f>
        <v>190000</v>
      </c>
      <c r="H68" s="37">
        <f t="shared" si="1"/>
        <v>1</v>
      </c>
    </row>
    <row r="69" spans="1:10" s="13" customFormat="1" ht="15.6">
      <c r="A69" s="15" t="s">
        <v>246</v>
      </c>
      <c r="B69" s="15" t="s">
        <v>247</v>
      </c>
      <c r="C69" s="22" t="s">
        <v>248</v>
      </c>
      <c r="D69" s="63" t="s">
        <v>249</v>
      </c>
      <c r="E69" s="63" t="s">
        <v>14</v>
      </c>
      <c r="F69" s="58">
        <v>190000</v>
      </c>
      <c r="G69" s="58">
        <v>190000</v>
      </c>
      <c r="H69" s="38">
        <f t="shared" si="1"/>
        <v>1</v>
      </c>
    </row>
    <row r="70" spans="1:10" s="13" customFormat="1" ht="15.6">
      <c r="A70" s="12" t="s">
        <v>26</v>
      </c>
      <c r="B70" s="12"/>
      <c r="C70" s="12"/>
      <c r="D70" s="83" t="s">
        <v>84</v>
      </c>
      <c r="E70" s="84"/>
      <c r="F70" s="56">
        <f t="shared" ref="F70:G70" si="4">F71</f>
        <v>32130880.16</v>
      </c>
      <c r="G70" s="56">
        <f t="shared" si="4"/>
        <v>23669381.730000004</v>
      </c>
      <c r="H70" s="37">
        <f t="shared" si="1"/>
        <v>0.73665525538470045</v>
      </c>
    </row>
    <row r="71" spans="1:10" s="13" customFormat="1" ht="15.6">
      <c r="A71" s="12" t="s">
        <v>27</v>
      </c>
      <c r="B71" s="14"/>
      <c r="C71" s="14"/>
      <c r="D71" s="83" t="s">
        <v>84</v>
      </c>
      <c r="E71" s="84"/>
      <c r="F71" s="56">
        <f>F72+F92+F95+F98+F99+F102+F105+F106+F120+F126+F127</f>
        <v>32130880.16</v>
      </c>
      <c r="G71" s="56">
        <f>G72+G92+G95+G98+G99+G102+G105+G106+G120+G126+G127</f>
        <v>23669381.730000004</v>
      </c>
      <c r="H71" s="37">
        <f t="shared" si="1"/>
        <v>0.73665525538470045</v>
      </c>
    </row>
    <row r="72" spans="1:10" s="13" customFormat="1" ht="31.2">
      <c r="A72" s="15" t="s">
        <v>85</v>
      </c>
      <c r="B72" s="15" t="s">
        <v>49</v>
      </c>
      <c r="C72" s="22" t="s">
        <v>25</v>
      </c>
      <c r="D72" s="42" t="s">
        <v>28</v>
      </c>
      <c r="E72" s="18" t="s">
        <v>24</v>
      </c>
      <c r="F72" s="58">
        <f>F73+F80+F81+F82+F83+F84+F85+F86+F87+F88+F89+F90+F91</f>
        <v>5393826</v>
      </c>
      <c r="G72" s="58">
        <f>G73+G80+G81+G82+G83+G84+G85+G86+G87+G88+G89+G90+G91</f>
        <v>3375920.46</v>
      </c>
      <c r="H72" s="38">
        <f t="shared" si="1"/>
        <v>0.62588605194160873</v>
      </c>
    </row>
    <row r="73" spans="1:10" s="13" customFormat="1" ht="78">
      <c r="A73" s="15"/>
      <c r="B73" s="15"/>
      <c r="C73" s="22"/>
      <c r="D73" s="42"/>
      <c r="E73" s="17" t="s">
        <v>86</v>
      </c>
      <c r="F73" s="57">
        <f>F74+F75+F76+F77+F78+F79</f>
        <v>3741524</v>
      </c>
      <c r="G73" s="57">
        <f>G74+G75+G76+G77+G78+G79</f>
        <v>1966368.65</v>
      </c>
      <c r="H73" s="38">
        <f t="shared" si="1"/>
        <v>0.52555286295103276</v>
      </c>
    </row>
    <row r="74" spans="1:10" s="13" customFormat="1" ht="46.8">
      <c r="A74" s="15"/>
      <c r="B74" s="15"/>
      <c r="C74" s="22"/>
      <c r="D74" s="42"/>
      <c r="E74" s="21" t="s">
        <v>250</v>
      </c>
      <c r="F74" s="64">
        <v>45000</v>
      </c>
      <c r="G74" s="64"/>
      <c r="H74" s="39">
        <f t="shared" si="1"/>
        <v>0</v>
      </c>
    </row>
    <row r="75" spans="1:10" s="13" customFormat="1" ht="62.4">
      <c r="A75" s="15"/>
      <c r="B75" s="15"/>
      <c r="C75" s="22"/>
      <c r="D75" s="42"/>
      <c r="E75" s="21" t="s">
        <v>251</v>
      </c>
      <c r="F75" s="64">
        <v>360000</v>
      </c>
      <c r="G75" s="64">
        <v>340800.28</v>
      </c>
      <c r="H75" s="39">
        <f t="shared" si="1"/>
        <v>0.94666744444444451</v>
      </c>
    </row>
    <row r="76" spans="1:10" s="13" customFormat="1" ht="46.8">
      <c r="A76" s="15"/>
      <c r="B76" s="15"/>
      <c r="C76" s="22"/>
      <c r="D76" s="42"/>
      <c r="E76" s="65" t="s">
        <v>252</v>
      </c>
      <c r="F76" s="64">
        <v>90000</v>
      </c>
      <c r="G76" s="64">
        <v>53016.06</v>
      </c>
      <c r="H76" s="39">
        <f t="shared" si="1"/>
        <v>0.58906733333333328</v>
      </c>
    </row>
    <row r="77" spans="1:10" s="13" customFormat="1" ht="62.4">
      <c r="A77" s="15"/>
      <c r="B77" s="15"/>
      <c r="C77" s="22"/>
      <c r="D77" s="42"/>
      <c r="E77" s="21" t="s">
        <v>184</v>
      </c>
      <c r="F77" s="66">
        <f>973214-32514.68</f>
        <v>940699.32</v>
      </c>
      <c r="G77" s="66">
        <v>940547.46</v>
      </c>
      <c r="H77" s="39">
        <f t="shared" ref="H77:H140" si="5">G77/F77</f>
        <v>0.99983856690786166</v>
      </c>
      <c r="J77" s="28"/>
    </row>
    <row r="78" spans="1:10" s="13" customFormat="1" ht="62.4">
      <c r="A78" s="15"/>
      <c r="B78" s="15"/>
      <c r="C78" s="22"/>
      <c r="D78" s="42"/>
      <c r="E78" s="21" t="s">
        <v>87</v>
      </c>
      <c r="F78" s="66">
        <f>1878462+277921.81</f>
        <v>2156383.81</v>
      </c>
      <c r="G78" s="66">
        <v>482563.98</v>
      </c>
      <c r="H78" s="39">
        <f t="shared" si="5"/>
        <v>0.22378390051073513</v>
      </c>
    </row>
    <row r="79" spans="1:10" s="13" customFormat="1" ht="62.4">
      <c r="A79" s="15"/>
      <c r="B79" s="15"/>
      <c r="C79" s="22"/>
      <c r="D79" s="42"/>
      <c r="E79" s="21" t="s">
        <v>88</v>
      </c>
      <c r="F79" s="66">
        <f>192509-43068.13</f>
        <v>149440.87</v>
      </c>
      <c r="G79" s="66">
        <v>149440.87</v>
      </c>
      <c r="H79" s="39">
        <f t="shared" si="5"/>
        <v>1</v>
      </c>
    </row>
    <row r="80" spans="1:10" s="13" customFormat="1" ht="171.6">
      <c r="A80" s="15"/>
      <c r="B80" s="15"/>
      <c r="C80" s="22"/>
      <c r="D80" s="42"/>
      <c r="E80" s="17" t="s">
        <v>105</v>
      </c>
      <c r="F80" s="67">
        <f>158368.14+0.86</f>
        <v>158369</v>
      </c>
      <c r="G80" s="67">
        <v>158368.14000000001</v>
      </c>
      <c r="H80" s="38">
        <f t="shared" si="5"/>
        <v>0.99999456964431177</v>
      </c>
    </row>
    <row r="81" spans="1:9" s="13" customFormat="1" ht="171.6">
      <c r="A81" s="15"/>
      <c r="B81" s="15"/>
      <c r="C81" s="22"/>
      <c r="D81" s="42"/>
      <c r="E81" s="17" t="s">
        <v>106</v>
      </c>
      <c r="F81" s="67">
        <f>166805.43+0.57</f>
        <v>166806</v>
      </c>
      <c r="G81" s="67">
        <v>166805.43</v>
      </c>
      <c r="H81" s="38">
        <f t="shared" si="5"/>
        <v>0.99999658285673176</v>
      </c>
    </row>
    <row r="82" spans="1:9" s="13" customFormat="1" ht="78">
      <c r="A82" s="15"/>
      <c r="B82" s="15"/>
      <c r="C82" s="22"/>
      <c r="D82" s="42"/>
      <c r="E82" s="30" t="s">
        <v>107</v>
      </c>
      <c r="F82" s="67">
        <v>182708</v>
      </c>
      <c r="G82" s="67">
        <v>182707.09</v>
      </c>
      <c r="H82" s="38">
        <f t="shared" si="5"/>
        <v>0.99999501937517787</v>
      </c>
    </row>
    <row r="83" spans="1:9" s="13" customFormat="1" ht="62.4">
      <c r="A83" s="15"/>
      <c r="B83" s="15"/>
      <c r="C83" s="22"/>
      <c r="D83" s="42"/>
      <c r="E83" s="17" t="s">
        <v>108</v>
      </c>
      <c r="F83" s="67">
        <v>13964</v>
      </c>
      <c r="G83" s="67">
        <v>7600.27</v>
      </c>
      <c r="H83" s="38">
        <f t="shared" si="5"/>
        <v>0.54427599541678606</v>
      </c>
      <c r="I83" s="28"/>
    </row>
    <row r="84" spans="1:9" s="13" customFormat="1" ht="78">
      <c r="A84" s="15"/>
      <c r="B84" s="15"/>
      <c r="C84" s="22"/>
      <c r="D84" s="42"/>
      <c r="E84" s="30" t="s">
        <v>109</v>
      </c>
      <c r="F84" s="67">
        <v>151219</v>
      </c>
      <c r="G84" s="67">
        <v>151218.07</v>
      </c>
      <c r="H84" s="38">
        <f t="shared" si="5"/>
        <v>0.99999384997916929</v>
      </c>
    </row>
    <row r="85" spans="1:9" s="13" customFormat="1" ht="78">
      <c r="A85" s="15"/>
      <c r="B85" s="15"/>
      <c r="C85" s="22"/>
      <c r="D85" s="42"/>
      <c r="E85" s="30" t="s">
        <v>110</v>
      </c>
      <c r="F85" s="67">
        <v>151219</v>
      </c>
      <c r="G85" s="67">
        <v>151218.07</v>
      </c>
      <c r="H85" s="38">
        <f t="shared" si="5"/>
        <v>0.99999384997916929</v>
      </c>
    </row>
    <row r="86" spans="1:9" s="13" customFormat="1" ht="62.4">
      <c r="A86" s="15"/>
      <c r="B86" s="15"/>
      <c r="C86" s="22"/>
      <c r="D86" s="42"/>
      <c r="E86" s="17" t="s">
        <v>111</v>
      </c>
      <c r="F86" s="67">
        <v>13964</v>
      </c>
      <c r="G86" s="67">
        <v>7672.2</v>
      </c>
      <c r="H86" s="38">
        <f t="shared" si="5"/>
        <v>0.54942709825264968</v>
      </c>
    </row>
    <row r="87" spans="1:9" s="13" customFormat="1" ht="62.4">
      <c r="A87" s="15"/>
      <c r="B87" s="15"/>
      <c r="C87" s="22"/>
      <c r="D87" s="42"/>
      <c r="E87" s="30" t="s">
        <v>112</v>
      </c>
      <c r="F87" s="67">
        <v>147053</v>
      </c>
      <c r="G87" s="67">
        <v>147052.94</v>
      </c>
      <c r="H87" s="38">
        <f t="shared" si="5"/>
        <v>0.99999959198384258</v>
      </c>
    </row>
    <row r="88" spans="1:9" s="13" customFormat="1" ht="46.8">
      <c r="A88" s="15"/>
      <c r="B88" s="15"/>
      <c r="C88" s="22"/>
      <c r="D88" s="42"/>
      <c r="E88" s="30" t="s">
        <v>253</v>
      </c>
      <c r="F88" s="67">
        <v>94000</v>
      </c>
      <c r="G88" s="67">
        <v>49818.12</v>
      </c>
      <c r="H88" s="38">
        <f t="shared" si="5"/>
        <v>0.52998000000000001</v>
      </c>
    </row>
    <row r="89" spans="1:9" s="13" customFormat="1" ht="46.8">
      <c r="A89" s="15"/>
      <c r="B89" s="15"/>
      <c r="C89" s="22"/>
      <c r="D89" s="42"/>
      <c r="E89" s="30" t="s">
        <v>254</v>
      </c>
      <c r="F89" s="67">
        <v>61000</v>
      </c>
      <c r="G89" s="67">
        <v>43288.1</v>
      </c>
      <c r="H89" s="38">
        <f t="shared" si="5"/>
        <v>0.70964098360655736</v>
      </c>
    </row>
    <row r="90" spans="1:9" s="13" customFormat="1" ht="46.8">
      <c r="A90" s="15"/>
      <c r="B90" s="15"/>
      <c r="C90" s="22"/>
      <c r="D90" s="42"/>
      <c r="E90" s="17" t="s">
        <v>255</v>
      </c>
      <c r="F90" s="67">
        <f>300000-155000</f>
        <v>145000</v>
      </c>
      <c r="G90" s="67">
        <v>49266.61</v>
      </c>
      <c r="H90" s="38">
        <f t="shared" si="5"/>
        <v>0.33976972413793105</v>
      </c>
    </row>
    <row r="91" spans="1:9" s="13" customFormat="1" ht="46.8">
      <c r="A91" s="15"/>
      <c r="B91" s="15"/>
      <c r="C91" s="22"/>
      <c r="D91" s="42"/>
      <c r="E91" s="17" t="s">
        <v>256</v>
      </c>
      <c r="F91" s="67">
        <v>367000</v>
      </c>
      <c r="G91" s="67">
        <v>294536.77</v>
      </c>
      <c r="H91" s="38">
        <f t="shared" si="5"/>
        <v>0.8025525068119892</v>
      </c>
    </row>
    <row r="92" spans="1:9" s="13" customFormat="1" ht="31.2">
      <c r="A92" s="15" t="s">
        <v>148</v>
      </c>
      <c r="B92" s="15" t="s">
        <v>51</v>
      </c>
      <c r="C92" s="22" t="s">
        <v>18</v>
      </c>
      <c r="D92" s="42" t="s">
        <v>29</v>
      </c>
      <c r="E92" s="30" t="s">
        <v>24</v>
      </c>
      <c r="F92" s="67">
        <f>F93+F94</f>
        <v>2074563</v>
      </c>
      <c r="G92" s="67">
        <f>G93+G94</f>
        <v>2074562.5</v>
      </c>
      <c r="H92" s="38">
        <f t="shared" si="5"/>
        <v>0.99999975898538629</v>
      </c>
    </row>
    <row r="93" spans="1:9" s="13" customFormat="1" ht="15.6">
      <c r="A93" s="15"/>
      <c r="B93" s="15"/>
      <c r="C93" s="22"/>
      <c r="D93" s="42"/>
      <c r="E93" s="30" t="s">
        <v>149</v>
      </c>
      <c r="F93" s="67">
        <v>1244281</v>
      </c>
      <c r="G93" s="67">
        <v>1244281</v>
      </c>
      <c r="H93" s="38">
        <f t="shared" si="5"/>
        <v>1</v>
      </c>
    </row>
    <row r="94" spans="1:9" s="13" customFormat="1" ht="46.8">
      <c r="A94" s="15"/>
      <c r="B94" s="15"/>
      <c r="C94" s="22"/>
      <c r="D94" s="42"/>
      <c r="E94" s="68" t="s">
        <v>257</v>
      </c>
      <c r="F94" s="67">
        <v>830282</v>
      </c>
      <c r="G94" s="67">
        <v>830281.5</v>
      </c>
      <c r="H94" s="38">
        <f t="shared" si="5"/>
        <v>0.99999939779496605</v>
      </c>
    </row>
    <row r="95" spans="1:9" s="13" customFormat="1" ht="31.2">
      <c r="A95" s="15" t="s">
        <v>30</v>
      </c>
      <c r="B95" s="15" t="s">
        <v>31</v>
      </c>
      <c r="C95" s="22" t="s">
        <v>18</v>
      </c>
      <c r="D95" s="42" t="s">
        <v>32</v>
      </c>
      <c r="E95" s="18" t="s">
        <v>24</v>
      </c>
      <c r="F95" s="58">
        <f>F96</f>
        <v>1834392.76</v>
      </c>
      <c r="G95" s="58">
        <f>G96</f>
        <v>35060.639999999999</v>
      </c>
      <c r="H95" s="38">
        <f t="shared" si="5"/>
        <v>1.9112940676891899E-2</v>
      </c>
    </row>
    <row r="96" spans="1:9" s="13" customFormat="1" ht="78">
      <c r="A96" s="15"/>
      <c r="B96" s="15"/>
      <c r="C96" s="22"/>
      <c r="D96" s="42"/>
      <c r="E96" s="17" t="s">
        <v>185</v>
      </c>
      <c r="F96" s="58">
        <f>F97</f>
        <v>1834392.76</v>
      </c>
      <c r="G96" s="58">
        <f>G97</f>
        <v>35060.639999999999</v>
      </c>
      <c r="H96" s="38">
        <f t="shared" si="5"/>
        <v>1.9112940676891899E-2</v>
      </c>
    </row>
    <row r="97" spans="1:8" s="13" customFormat="1" ht="62.4">
      <c r="A97" s="19"/>
      <c r="B97" s="19"/>
      <c r="C97" s="26"/>
      <c r="D97" s="43"/>
      <c r="E97" s="21" t="s">
        <v>89</v>
      </c>
      <c r="F97" s="60">
        <f>495000+1485702-146309.24</f>
        <v>1834392.76</v>
      </c>
      <c r="G97" s="60">
        <v>35060.639999999999</v>
      </c>
      <c r="H97" s="39">
        <f t="shared" si="5"/>
        <v>1.9112940676891899E-2</v>
      </c>
    </row>
    <row r="98" spans="1:8" s="13" customFormat="1" ht="124.8">
      <c r="A98" s="15" t="s">
        <v>186</v>
      </c>
      <c r="B98" s="15" t="s">
        <v>187</v>
      </c>
      <c r="C98" s="16" t="s">
        <v>18</v>
      </c>
      <c r="D98" s="17" t="s">
        <v>188</v>
      </c>
      <c r="E98" s="23" t="s">
        <v>197</v>
      </c>
      <c r="F98" s="58">
        <v>1200000</v>
      </c>
      <c r="G98" s="58">
        <v>104038.2</v>
      </c>
      <c r="H98" s="38">
        <f t="shared" si="5"/>
        <v>8.6698499999999998E-2</v>
      </c>
    </row>
    <row r="99" spans="1:8" s="13" customFormat="1" ht="62.4">
      <c r="A99" s="15" t="s">
        <v>258</v>
      </c>
      <c r="B99" s="15" t="s">
        <v>259</v>
      </c>
      <c r="C99" s="22" t="s">
        <v>18</v>
      </c>
      <c r="D99" s="42" t="s">
        <v>260</v>
      </c>
      <c r="E99" s="23" t="s">
        <v>24</v>
      </c>
      <c r="F99" s="58">
        <f>F100+F101</f>
        <v>932973.4</v>
      </c>
      <c r="G99" s="58">
        <f>G100+G101</f>
        <v>932952</v>
      </c>
      <c r="H99" s="38">
        <f t="shared" si="5"/>
        <v>0.9999770625829203</v>
      </c>
    </row>
    <row r="100" spans="1:8" s="13" customFormat="1" ht="78">
      <c r="A100" s="15"/>
      <c r="B100" s="15"/>
      <c r="C100" s="22"/>
      <c r="D100" s="42"/>
      <c r="E100" s="23" t="s">
        <v>261</v>
      </c>
      <c r="F100" s="58">
        <f>126980-24008.6</f>
        <v>102971.4</v>
      </c>
      <c r="G100" s="58">
        <v>102971.4</v>
      </c>
      <c r="H100" s="38">
        <f t="shared" si="5"/>
        <v>1</v>
      </c>
    </row>
    <row r="101" spans="1:8" s="13" customFormat="1" ht="62.4">
      <c r="A101" s="15"/>
      <c r="B101" s="15"/>
      <c r="C101" s="22"/>
      <c r="D101" s="42"/>
      <c r="E101" s="23" t="s">
        <v>262</v>
      </c>
      <c r="F101" s="58">
        <f>866100-36098</f>
        <v>830002</v>
      </c>
      <c r="G101" s="58">
        <v>829980.6</v>
      </c>
      <c r="H101" s="38">
        <f t="shared" si="5"/>
        <v>0.99997421692959776</v>
      </c>
    </row>
    <row r="102" spans="1:8" s="13" customFormat="1" ht="15.6">
      <c r="A102" s="15" t="s">
        <v>33</v>
      </c>
      <c r="B102" s="15" t="s">
        <v>17</v>
      </c>
      <c r="C102" s="22" t="s">
        <v>18</v>
      </c>
      <c r="D102" s="42" t="s">
        <v>19</v>
      </c>
      <c r="E102" s="18" t="s">
        <v>24</v>
      </c>
      <c r="F102" s="58">
        <f>F103+F104</f>
        <v>879500</v>
      </c>
      <c r="G102" s="58">
        <f>G103+G104</f>
        <v>34400</v>
      </c>
      <c r="H102" s="38">
        <f t="shared" si="5"/>
        <v>3.9113132461625927E-2</v>
      </c>
    </row>
    <row r="103" spans="1:8" s="13" customFormat="1" ht="31.2">
      <c r="A103" s="15"/>
      <c r="B103" s="15"/>
      <c r="C103" s="22"/>
      <c r="D103" s="17"/>
      <c r="E103" s="23" t="s">
        <v>90</v>
      </c>
      <c r="F103" s="58">
        <v>839500</v>
      </c>
      <c r="G103" s="58"/>
      <c r="H103" s="38">
        <f t="shared" si="5"/>
        <v>0</v>
      </c>
    </row>
    <row r="104" spans="1:8" s="13" customFormat="1" ht="15.6">
      <c r="A104" s="15"/>
      <c r="B104" s="15"/>
      <c r="C104" s="22"/>
      <c r="D104" s="17"/>
      <c r="E104" s="23" t="s">
        <v>263</v>
      </c>
      <c r="F104" s="58">
        <v>40000</v>
      </c>
      <c r="G104" s="58">
        <v>34400</v>
      </c>
      <c r="H104" s="38">
        <f t="shared" si="5"/>
        <v>0.86</v>
      </c>
    </row>
    <row r="105" spans="1:8" s="13" customFormat="1" ht="31.2">
      <c r="A105" s="15" t="s">
        <v>264</v>
      </c>
      <c r="B105" s="15" t="s">
        <v>164</v>
      </c>
      <c r="C105" s="22" t="s">
        <v>165</v>
      </c>
      <c r="D105" s="17" t="s">
        <v>166</v>
      </c>
      <c r="E105" s="23" t="s">
        <v>14</v>
      </c>
      <c r="F105" s="58">
        <v>36000</v>
      </c>
      <c r="G105" s="58"/>
      <c r="H105" s="38">
        <f t="shared" si="5"/>
        <v>0</v>
      </c>
    </row>
    <row r="106" spans="1:8" s="13" customFormat="1" ht="31.2">
      <c r="A106" s="15" t="s">
        <v>265</v>
      </c>
      <c r="B106" s="15" t="s">
        <v>266</v>
      </c>
      <c r="C106" s="22" t="s">
        <v>20</v>
      </c>
      <c r="D106" s="17" t="s">
        <v>267</v>
      </c>
      <c r="E106" s="18" t="s">
        <v>24</v>
      </c>
      <c r="F106" s="58">
        <f>SUM(F107:F119)</f>
        <v>16769497</v>
      </c>
      <c r="G106" s="58">
        <f>SUM(G107:G119)</f>
        <v>14519595</v>
      </c>
      <c r="H106" s="38">
        <f t="shared" si="5"/>
        <v>0.86583366215456548</v>
      </c>
    </row>
    <row r="107" spans="1:8" s="13" customFormat="1" ht="31.2">
      <c r="A107" s="15"/>
      <c r="B107" s="15"/>
      <c r="C107" s="22"/>
      <c r="D107" s="17"/>
      <c r="E107" s="30" t="s">
        <v>268</v>
      </c>
      <c r="F107" s="58">
        <f>1950000-331200</f>
        <v>1618800</v>
      </c>
      <c r="G107" s="58">
        <v>1618800</v>
      </c>
      <c r="H107" s="38">
        <f t="shared" si="5"/>
        <v>1</v>
      </c>
    </row>
    <row r="108" spans="1:8" s="13" customFormat="1" ht="31.2">
      <c r="A108" s="15"/>
      <c r="B108" s="15"/>
      <c r="C108" s="22"/>
      <c r="D108" s="17"/>
      <c r="E108" s="30" t="s">
        <v>269</v>
      </c>
      <c r="F108" s="58">
        <v>150000</v>
      </c>
      <c r="G108" s="58">
        <v>74700</v>
      </c>
      <c r="H108" s="38">
        <f t="shared" si="5"/>
        <v>0.498</v>
      </c>
    </row>
    <row r="109" spans="1:8" s="13" customFormat="1" ht="31.2">
      <c r="A109" s="15"/>
      <c r="B109" s="15"/>
      <c r="C109" s="22"/>
      <c r="D109" s="17"/>
      <c r="E109" s="30" t="s">
        <v>270</v>
      </c>
      <c r="F109" s="58">
        <v>141200</v>
      </c>
      <c r="G109" s="58">
        <v>99000</v>
      </c>
      <c r="H109" s="38">
        <f t="shared" si="5"/>
        <v>0.70113314447592068</v>
      </c>
    </row>
    <row r="110" spans="1:8" s="13" customFormat="1" ht="15.6">
      <c r="A110" s="15"/>
      <c r="B110" s="15"/>
      <c r="C110" s="22"/>
      <c r="D110" s="17"/>
      <c r="E110" s="30" t="s">
        <v>271</v>
      </c>
      <c r="F110" s="58">
        <v>1500000</v>
      </c>
      <c r="G110" s="58"/>
      <c r="H110" s="38">
        <f t="shared" si="5"/>
        <v>0</v>
      </c>
    </row>
    <row r="111" spans="1:8" s="13" customFormat="1" ht="31.2">
      <c r="A111" s="15"/>
      <c r="B111" s="15"/>
      <c r="C111" s="22"/>
      <c r="D111" s="17"/>
      <c r="E111" s="30" t="s">
        <v>272</v>
      </c>
      <c r="F111" s="58">
        <v>220700</v>
      </c>
      <c r="G111" s="58">
        <v>220698</v>
      </c>
      <c r="H111" s="38">
        <f t="shared" si="5"/>
        <v>0.99999093792478477</v>
      </c>
    </row>
    <row r="112" spans="1:8" s="13" customFormat="1" ht="46.8">
      <c r="A112" s="15"/>
      <c r="B112" s="15"/>
      <c r="C112" s="22"/>
      <c r="D112" s="17"/>
      <c r="E112" s="68" t="s">
        <v>273</v>
      </c>
      <c r="F112" s="58">
        <v>35997</v>
      </c>
      <c r="G112" s="58">
        <v>35997</v>
      </c>
      <c r="H112" s="38">
        <f t="shared" si="5"/>
        <v>1</v>
      </c>
    </row>
    <row r="113" spans="1:8" s="13" customFormat="1" ht="46.8">
      <c r="A113" s="15"/>
      <c r="B113" s="15"/>
      <c r="C113" s="22"/>
      <c r="D113" s="17"/>
      <c r="E113" s="68" t="s">
        <v>274</v>
      </c>
      <c r="F113" s="58">
        <v>99000</v>
      </c>
      <c r="G113" s="58">
        <v>99000</v>
      </c>
      <c r="H113" s="38">
        <f t="shared" si="5"/>
        <v>1</v>
      </c>
    </row>
    <row r="114" spans="1:8" s="13" customFormat="1" ht="31.2">
      <c r="A114" s="15"/>
      <c r="B114" s="15"/>
      <c r="C114" s="22"/>
      <c r="D114" s="17"/>
      <c r="E114" s="68" t="s">
        <v>275</v>
      </c>
      <c r="F114" s="58">
        <v>195500</v>
      </c>
      <c r="G114" s="58">
        <v>195500</v>
      </c>
      <c r="H114" s="38">
        <f t="shared" si="5"/>
        <v>1</v>
      </c>
    </row>
    <row r="115" spans="1:8" s="13" customFormat="1" ht="31.2">
      <c r="A115" s="15"/>
      <c r="B115" s="15"/>
      <c r="C115" s="22"/>
      <c r="D115" s="17"/>
      <c r="E115" s="69" t="s">
        <v>276</v>
      </c>
      <c r="F115" s="58">
        <v>428800</v>
      </c>
      <c r="G115" s="58">
        <v>398400</v>
      </c>
      <c r="H115" s="38">
        <f t="shared" si="5"/>
        <v>0.92910447761194026</v>
      </c>
    </row>
    <row r="116" spans="1:8" s="13" customFormat="1" ht="31.2">
      <c r="A116" s="15"/>
      <c r="B116" s="15"/>
      <c r="C116" s="22"/>
      <c r="D116" s="17"/>
      <c r="E116" s="69" t="s">
        <v>277</v>
      </c>
      <c r="F116" s="58">
        <v>4191500</v>
      </c>
      <c r="G116" s="58">
        <v>4191500</v>
      </c>
      <c r="H116" s="38">
        <f t="shared" si="5"/>
        <v>1</v>
      </c>
    </row>
    <row r="117" spans="1:8" s="13" customFormat="1" ht="31.2">
      <c r="A117" s="15"/>
      <c r="B117" s="15"/>
      <c r="C117" s="22"/>
      <c r="D117" s="17"/>
      <c r="E117" s="69" t="s">
        <v>278</v>
      </c>
      <c r="F117" s="58">
        <v>188000</v>
      </c>
      <c r="G117" s="58">
        <v>188000</v>
      </c>
      <c r="H117" s="38">
        <f t="shared" si="5"/>
        <v>1</v>
      </c>
    </row>
    <row r="118" spans="1:8" s="13" customFormat="1" ht="31.2">
      <c r="A118" s="15"/>
      <c r="B118" s="15"/>
      <c r="C118" s="22"/>
      <c r="D118" s="17"/>
      <c r="E118" s="69" t="s">
        <v>279</v>
      </c>
      <c r="F118" s="58">
        <v>7400000</v>
      </c>
      <c r="G118" s="58">
        <v>7398000</v>
      </c>
      <c r="H118" s="38">
        <f t="shared" si="5"/>
        <v>0.99972972972972973</v>
      </c>
    </row>
    <row r="119" spans="1:8" s="13" customFormat="1" ht="31.2">
      <c r="A119" s="15"/>
      <c r="B119" s="15"/>
      <c r="C119" s="22"/>
      <c r="D119" s="17"/>
      <c r="E119" s="69" t="s">
        <v>280</v>
      </c>
      <c r="F119" s="58">
        <v>600000</v>
      </c>
      <c r="G119" s="58"/>
      <c r="H119" s="38">
        <f t="shared" si="5"/>
        <v>0</v>
      </c>
    </row>
    <row r="120" spans="1:8" s="13" customFormat="1" ht="31.2">
      <c r="A120" s="15" t="s">
        <v>150</v>
      </c>
      <c r="B120" s="15" t="s">
        <v>41</v>
      </c>
      <c r="C120" s="22" t="s">
        <v>44</v>
      </c>
      <c r="D120" s="17" t="s">
        <v>42</v>
      </c>
      <c r="E120" s="18" t="s">
        <v>24</v>
      </c>
      <c r="F120" s="58">
        <f>SUM(F121:F125)</f>
        <v>1835500</v>
      </c>
      <c r="G120" s="58">
        <f>SUM(G121:G125)</f>
        <v>1424326.83</v>
      </c>
      <c r="H120" s="38">
        <f t="shared" si="5"/>
        <v>0.77598846635794061</v>
      </c>
    </row>
    <row r="121" spans="1:8" s="13" customFormat="1" ht="62.4">
      <c r="A121" s="15"/>
      <c r="B121" s="15"/>
      <c r="C121" s="22"/>
      <c r="D121" s="17"/>
      <c r="E121" s="23" t="s">
        <v>151</v>
      </c>
      <c r="F121" s="58">
        <v>150000</v>
      </c>
      <c r="G121" s="58">
        <v>122205.83</v>
      </c>
      <c r="H121" s="38">
        <f t="shared" si="5"/>
        <v>0.8147055333333334</v>
      </c>
    </row>
    <row r="122" spans="1:8" s="13" customFormat="1" ht="93.6">
      <c r="A122" s="15"/>
      <c r="B122" s="15"/>
      <c r="C122" s="22"/>
      <c r="D122" s="17"/>
      <c r="E122" s="23" t="s">
        <v>189</v>
      </c>
      <c r="F122" s="58">
        <v>419000</v>
      </c>
      <c r="G122" s="58">
        <v>39761</v>
      </c>
      <c r="H122" s="38">
        <f t="shared" si="5"/>
        <v>9.4894988066825781E-2</v>
      </c>
    </row>
    <row r="123" spans="1:8" s="13" customFormat="1" ht="31.2">
      <c r="A123" s="15"/>
      <c r="B123" s="15"/>
      <c r="C123" s="22"/>
      <c r="D123" s="17"/>
      <c r="E123" s="23" t="s">
        <v>190</v>
      </c>
      <c r="F123" s="58">
        <v>594000</v>
      </c>
      <c r="G123" s="58">
        <v>589860</v>
      </c>
      <c r="H123" s="38">
        <f t="shared" si="5"/>
        <v>0.99303030303030304</v>
      </c>
    </row>
    <row r="124" spans="1:8" s="13" customFormat="1" ht="62.4">
      <c r="A124" s="15"/>
      <c r="B124" s="15"/>
      <c r="C124" s="22"/>
      <c r="D124" s="17"/>
      <c r="E124" s="23" t="s">
        <v>281</v>
      </c>
      <c r="F124" s="58">
        <f>270000-17500</f>
        <v>252500</v>
      </c>
      <c r="G124" s="58">
        <v>252500</v>
      </c>
      <c r="H124" s="38">
        <f t="shared" si="5"/>
        <v>1</v>
      </c>
    </row>
    <row r="125" spans="1:8" s="13" customFormat="1" ht="31.2">
      <c r="A125" s="15"/>
      <c r="B125" s="15"/>
      <c r="C125" s="22"/>
      <c r="D125" s="17"/>
      <c r="E125" s="23" t="s">
        <v>282</v>
      </c>
      <c r="F125" s="58">
        <v>420000</v>
      </c>
      <c r="G125" s="58">
        <v>420000</v>
      </c>
      <c r="H125" s="38">
        <f t="shared" si="5"/>
        <v>1</v>
      </c>
    </row>
    <row r="126" spans="1:8" s="13" customFormat="1" ht="62.4">
      <c r="A126" s="15" t="s">
        <v>156</v>
      </c>
      <c r="B126" s="15" t="s">
        <v>157</v>
      </c>
      <c r="C126" s="22" t="s">
        <v>158</v>
      </c>
      <c r="D126" s="17" t="s">
        <v>159</v>
      </c>
      <c r="E126" s="17" t="s">
        <v>191</v>
      </c>
      <c r="F126" s="58">
        <v>674628</v>
      </c>
      <c r="G126" s="58">
        <v>674628</v>
      </c>
      <c r="H126" s="38">
        <f t="shared" si="5"/>
        <v>1</v>
      </c>
    </row>
    <row r="127" spans="1:8" s="13" customFormat="1" ht="93.6">
      <c r="A127" s="15" t="s">
        <v>283</v>
      </c>
      <c r="B127" s="15" t="s">
        <v>284</v>
      </c>
      <c r="C127" s="22" t="s">
        <v>146</v>
      </c>
      <c r="D127" s="17" t="s">
        <v>285</v>
      </c>
      <c r="E127" s="17" t="s">
        <v>286</v>
      </c>
      <c r="F127" s="58">
        <v>500000</v>
      </c>
      <c r="G127" s="58">
        <v>493898.1</v>
      </c>
      <c r="H127" s="38">
        <f t="shared" si="5"/>
        <v>0.9877961999999999</v>
      </c>
    </row>
    <row r="128" spans="1:8" s="13" customFormat="1" ht="15.6">
      <c r="A128" s="12" t="s">
        <v>36</v>
      </c>
      <c r="B128" s="12"/>
      <c r="C128" s="12"/>
      <c r="D128" s="83" t="s">
        <v>91</v>
      </c>
      <c r="E128" s="84"/>
      <c r="F128" s="56">
        <f t="shared" ref="F128:G128" si="6">F129</f>
        <v>78893930.620000005</v>
      </c>
      <c r="G128" s="56">
        <f t="shared" si="6"/>
        <v>44438778.549999997</v>
      </c>
      <c r="H128" s="37">
        <f t="shared" si="5"/>
        <v>0.56327246216243843</v>
      </c>
    </row>
    <row r="129" spans="1:8" s="13" customFormat="1" ht="15.6">
      <c r="A129" s="12" t="s">
        <v>37</v>
      </c>
      <c r="B129" s="14"/>
      <c r="C129" s="14"/>
      <c r="D129" s="83" t="s">
        <v>91</v>
      </c>
      <c r="E129" s="84"/>
      <c r="F129" s="56">
        <f>F130+F131+F132+F145+F148+F150+F157+F160+F162+F169</f>
        <v>78893930.620000005</v>
      </c>
      <c r="G129" s="56">
        <f>G130+G131+G132+G145+G148+G150+G157+G160+G162+G169</f>
        <v>44438778.549999997</v>
      </c>
      <c r="H129" s="37">
        <f t="shared" si="5"/>
        <v>0.56327246216243843</v>
      </c>
    </row>
    <row r="130" spans="1:8" s="13" customFormat="1" ht="109.2">
      <c r="A130" s="15" t="s">
        <v>92</v>
      </c>
      <c r="B130" s="15" t="s">
        <v>46</v>
      </c>
      <c r="C130" s="22" t="s">
        <v>15</v>
      </c>
      <c r="D130" s="17" t="s">
        <v>16</v>
      </c>
      <c r="E130" s="23" t="s">
        <v>93</v>
      </c>
      <c r="F130" s="57">
        <f>1205627-30000-25000-19900</f>
        <v>1130727</v>
      </c>
      <c r="G130" s="57">
        <v>1110730.92</v>
      </c>
      <c r="H130" s="38">
        <f t="shared" si="5"/>
        <v>0.98231573138343731</v>
      </c>
    </row>
    <row r="131" spans="1:8" s="13" customFormat="1" ht="31.2">
      <c r="A131" s="15" t="s">
        <v>50</v>
      </c>
      <c r="B131" s="15" t="s">
        <v>51</v>
      </c>
      <c r="C131" s="22" t="s">
        <v>18</v>
      </c>
      <c r="D131" s="17" t="s">
        <v>29</v>
      </c>
      <c r="E131" s="27" t="s">
        <v>73</v>
      </c>
      <c r="F131" s="57">
        <v>382750</v>
      </c>
      <c r="G131" s="57">
        <v>382749.55</v>
      </c>
      <c r="H131" s="38">
        <f t="shared" si="5"/>
        <v>0.99999882429784448</v>
      </c>
    </row>
    <row r="132" spans="1:8" s="13" customFormat="1" ht="31.2">
      <c r="A132" s="15" t="s">
        <v>52</v>
      </c>
      <c r="B132" s="15" t="s">
        <v>31</v>
      </c>
      <c r="C132" s="22" t="s">
        <v>18</v>
      </c>
      <c r="D132" s="17" t="s">
        <v>32</v>
      </c>
      <c r="E132" s="18" t="s">
        <v>24</v>
      </c>
      <c r="F132" s="57">
        <f>SUM(F133:F144)</f>
        <v>15718117</v>
      </c>
      <c r="G132" s="57">
        <f>SUM(G133:G144)</f>
        <v>9291160.2300000004</v>
      </c>
      <c r="H132" s="38">
        <f t="shared" si="5"/>
        <v>0.59111153263460248</v>
      </c>
    </row>
    <row r="133" spans="1:8" s="13" customFormat="1" ht="46.8">
      <c r="A133" s="15"/>
      <c r="B133" s="15"/>
      <c r="C133" s="22"/>
      <c r="D133" s="42"/>
      <c r="E133" s="29" t="s">
        <v>113</v>
      </c>
      <c r="F133" s="57">
        <f>2056596.21+7494.74+0.05</f>
        <v>2064091</v>
      </c>
      <c r="G133" s="57">
        <v>1906338.38</v>
      </c>
      <c r="H133" s="38">
        <f t="shared" si="5"/>
        <v>0.92357283666272461</v>
      </c>
    </row>
    <row r="134" spans="1:8" s="13" customFormat="1" ht="46.8">
      <c r="A134" s="15"/>
      <c r="B134" s="15"/>
      <c r="C134" s="22"/>
      <c r="D134" s="42"/>
      <c r="E134" s="29" t="s">
        <v>114</v>
      </c>
      <c r="F134" s="57">
        <f>1499167.78+4111.79+0.43</f>
        <v>1503280</v>
      </c>
      <c r="G134" s="57"/>
      <c r="H134" s="38">
        <f t="shared" si="5"/>
        <v>0</v>
      </c>
    </row>
    <row r="135" spans="1:8" s="13" customFormat="1" ht="31.2">
      <c r="A135" s="15"/>
      <c r="B135" s="15"/>
      <c r="C135" s="22"/>
      <c r="D135" s="42"/>
      <c r="E135" s="29" t="s">
        <v>115</v>
      </c>
      <c r="F135" s="67">
        <f>1100020-1000000</f>
        <v>100020</v>
      </c>
      <c r="G135" s="67">
        <v>62398</v>
      </c>
      <c r="H135" s="38">
        <f t="shared" si="5"/>
        <v>0.6238552289542092</v>
      </c>
    </row>
    <row r="136" spans="1:8" s="13" customFormat="1" ht="46.8">
      <c r="A136" s="15"/>
      <c r="B136" s="15"/>
      <c r="C136" s="22"/>
      <c r="D136" s="42"/>
      <c r="E136" s="29" t="s">
        <v>116</v>
      </c>
      <c r="F136" s="67">
        <f>38956.27+2126763.13+0.6</f>
        <v>2165720</v>
      </c>
      <c r="G136" s="67">
        <v>38956.269999999997</v>
      </c>
      <c r="H136" s="38">
        <f t="shared" si="5"/>
        <v>1.7987676153888774E-2</v>
      </c>
    </row>
    <row r="137" spans="1:8" s="13" customFormat="1" ht="46.8">
      <c r="A137" s="15"/>
      <c r="B137" s="15"/>
      <c r="C137" s="22"/>
      <c r="D137" s="42"/>
      <c r="E137" s="29" t="s">
        <v>117</v>
      </c>
      <c r="F137" s="67">
        <f>1971768.08+7494.74+0.18</f>
        <v>1979263</v>
      </c>
      <c r="G137" s="67">
        <v>1883473.99</v>
      </c>
      <c r="H137" s="38">
        <f t="shared" si="5"/>
        <v>0.95160369794211275</v>
      </c>
    </row>
    <row r="138" spans="1:8" s="13" customFormat="1" ht="46.8">
      <c r="A138" s="15"/>
      <c r="B138" s="15"/>
      <c r="C138" s="22"/>
      <c r="D138" s="42"/>
      <c r="E138" s="29" t="s">
        <v>118</v>
      </c>
      <c r="F138" s="67">
        <f>1496810.5+4111.98+0.52</f>
        <v>1500923</v>
      </c>
      <c r="G138" s="67">
        <v>1214453.3</v>
      </c>
      <c r="H138" s="38">
        <f t="shared" si="5"/>
        <v>0.80913764396974397</v>
      </c>
    </row>
    <row r="139" spans="1:8" s="13" customFormat="1" ht="46.8">
      <c r="A139" s="15"/>
      <c r="B139" s="15"/>
      <c r="C139" s="22"/>
      <c r="D139" s="42"/>
      <c r="E139" s="29" t="s">
        <v>119</v>
      </c>
      <c r="F139" s="67">
        <f>1496069.17+4111.98+0.85</f>
        <v>1500182</v>
      </c>
      <c r="G139" s="67">
        <v>1377811.66</v>
      </c>
      <c r="H139" s="38">
        <f t="shared" si="5"/>
        <v>0.9184296705333086</v>
      </c>
    </row>
    <row r="140" spans="1:8" s="13" customFormat="1" ht="46.8">
      <c r="A140" s="15"/>
      <c r="B140" s="15"/>
      <c r="C140" s="22"/>
      <c r="D140" s="42"/>
      <c r="E140" s="29" t="s">
        <v>120</v>
      </c>
      <c r="F140" s="67">
        <f>1499053.98+4111.79+0.23</f>
        <v>1503166</v>
      </c>
      <c r="G140" s="67">
        <v>1188649.3600000001</v>
      </c>
      <c r="H140" s="38">
        <f t="shared" si="5"/>
        <v>0.79076386772984497</v>
      </c>
    </row>
    <row r="141" spans="1:8" s="13" customFormat="1" ht="46.8">
      <c r="A141" s="15"/>
      <c r="B141" s="15"/>
      <c r="C141" s="22"/>
      <c r="D141" s="42"/>
      <c r="E141" s="29" t="s">
        <v>121</v>
      </c>
      <c r="F141" s="67">
        <f>1444898.12+3747.36+0.52</f>
        <v>1448646.0000000002</v>
      </c>
      <c r="G141" s="67"/>
      <c r="H141" s="38">
        <f t="shared" ref="H141:H190" si="7">G141/F141</f>
        <v>0</v>
      </c>
    </row>
    <row r="142" spans="1:8" s="13" customFormat="1" ht="31.2">
      <c r="A142" s="15"/>
      <c r="B142" s="15"/>
      <c r="C142" s="22"/>
      <c r="D142" s="42"/>
      <c r="E142" s="29" t="s">
        <v>122</v>
      </c>
      <c r="F142" s="67">
        <f>1100020-1000000</f>
        <v>100020</v>
      </c>
      <c r="G142" s="67">
        <v>62398</v>
      </c>
      <c r="H142" s="38">
        <f t="shared" si="7"/>
        <v>0.6238552289542092</v>
      </c>
    </row>
    <row r="143" spans="1:8" s="13" customFormat="1" ht="46.8">
      <c r="A143" s="15"/>
      <c r="B143" s="15"/>
      <c r="C143" s="22"/>
      <c r="D143" s="42"/>
      <c r="E143" s="29" t="s">
        <v>123</v>
      </c>
      <c r="F143" s="67">
        <f>1449158.58+3747.36+0.06</f>
        <v>1452906.0000000002</v>
      </c>
      <c r="G143" s="67">
        <v>1156781.27</v>
      </c>
      <c r="H143" s="38">
        <f t="shared" si="7"/>
        <v>0.79618452260504113</v>
      </c>
    </row>
    <row r="144" spans="1:8" s="13" customFormat="1" ht="62.4">
      <c r="A144" s="15"/>
      <c r="B144" s="15"/>
      <c r="C144" s="22"/>
      <c r="D144" s="42"/>
      <c r="E144" s="29" t="s">
        <v>287</v>
      </c>
      <c r="F144" s="67">
        <v>399900</v>
      </c>
      <c r="G144" s="67">
        <v>399900</v>
      </c>
      <c r="H144" s="38">
        <f t="shared" si="7"/>
        <v>1</v>
      </c>
    </row>
    <row r="145" spans="1:8" s="13" customFormat="1" ht="31.2">
      <c r="A145" s="15" t="s">
        <v>288</v>
      </c>
      <c r="B145" s="15" t="s">
        <v>187</v>
      </c>
      <c r="C145" s="22" t="s">
        <v>18</v>
      </c>
      <c r="D145" s="42" t="s">
        <v>289</v>
      </c>
      <c r="E145" s="18" t="s">
        <v>24</v>
      </c>
      <c r="F145" s="67">
        <f>SUM(F146:F147)</f>
        <v>330000</v>
      </c>
      <c r="G145" s="67">
        <f>SUM(G146:G147)</f>
        <v>325134.45999999996</v>
      </c>
      <c r="H145" s="38">
        <f t="shared" si="7"/>
        <v>0.9852559393939393</v>
      </c>
    </row>
    <row r="146" spans="1:8" s="13" customFormat="1" ht="62.4">
      <c r="A146" s="15"/>
      <c r="B146" s="15"/>
      <c r="C146" s="22"/>
      <c r="D146" s="42"/>
      <c r="E146" s="17" t="s">
        <v>290</v>
      </c>
      <c r="F146" s="67">
        <v>155000</v>
      </c>
      <c r="G146" s="67">
        <v>152260</v>
      </c>
      <c r="H146" s="38">
        <f t="shared" si="7"/>
        <v>0.98232258064516131</v>
      </c>
    </row>
    <row r="147" spans="1:8" s="13" customFormat="1" ht="62.4">
      <c r="A147" s="15"/>
      <c r="B147" s="15"/>
      <c r="C147" s="22"/>
      <c r="D147" s="42"/>
      <c r="E147" s="17" t="s">
        <v>291</v>
      </c>
      <c r="F147" s="67">
        <v>175000</v>
      </c>
      <c r="G147" s="67">
        <v>172874.46</v>
      </c>
      <c r="H147" s="38">
        <f t="shared" si="7"/>
        <v>0.98785405714285712</v>
      </c>
    </row>
    <row r="148" spans="1:8" s="13" customFormat="1" ht="62.4">
      <c r="A148" s="16">
        <v>1516050</v>
      </c>
      <c r="B148" s="22" t="s">
        <v>94</v>
      </c>
      <c r="C148" s="22" t="s">
        <v>18</v>
      </c>
      <c r="D148" s="17" t="s">
        <v>95</v>
      </c>
      <c r="E148" s="18" t="s">
        <v>24</v>
      </c>
      <c r="F148" s="67">
        <f>F149</f>
        <v>1194873</v>
      </c>
      <c r="G148" s="67">
        <f>G149</f>
        <v>1194872.49</v>
      </c>
      <c r="H148" s="38">
        <f t="shared" si="7"/>
        <v>0.99999957317639609</v>
      </c>
    </row>
    <row r="149" spans="1:8" s="13" customFormat="1" ht="62.4">
      <c r="A149" s="15"/>
      <c r="B149" s="15"/>
      <c r="C149" s="22"/>
      <c r="D149" s="42"/>
      <c r="E149" s="30" t="s">
        <v>63</v>
      </c>
      <c r="F149" s="67">
        <v>1194873</v>
      </c>
      <c r="G149" s="67">
        <v>1194872.49</v>
      </c>
      <c r="H149" s="38">
        <f t="shared" si="7"/>
        <v>0.99999957317639609</v>
      </c>
    </row>
    <row r="150" spans="1:8" s="13" customFormat="1" ht="31.2">
      <c r="A150" s="15" t="s">
        <v>192</v>
      </c>
      <c r="B150" s="15" t="s">
        <v>193</v>
      </c>
      <c r="C150" s="22" t="s">
        <v>135</v>
      </c>
      <c r="D150" s="23" t="s">
        <v>194</v>
      </c>
      <c r="E150" s="18" t="s">
        <v>24</v>
      </c>
      <c r="F150" s="67">
        <f>SUM(F151:F156)</f>
        <v>13512003.620000001</v>
      </c>
      <c r="G150" s="67">
        <f>SUM(G151:G156)</f>
        <v>8433377.8099999987</v>
      </c>
      <c r="H150" s="38">
        <f t="shared" si="7"/>
        <v>0.62413969439123029</v>
      </c>
    </row>
    <row r="151" spans="1:8" s="13" customFormat="1" ht="78">
      <c r="A151" s="15"/>
      <c r="B151" s="15"/>
      <c r="C151" s="22"/>
      <c r="D151" s="42"/>
      <c r="E151" s="17" t="s">
        <v>310</v>
      </c>
      <c r="F151" s="57">
        <v>4634170</v>
      </c>
      <c r="G151" s="57">
        <f>29114.3+456954</f>
        <v>486068.3</v>
      </c>
      <c r="H151" s="38">
        <f t="shared" si="7"/>
        <v>0.10488788715131296</v>
      </c>
    </row>
    <row r="152" spans="1:8" s="13" customFormat="1" ht="46.8">
      <c r="A152" s="15"/>
      <c r="B152" s="15"/>
      <c r="C152" s="22"/>
      <c r="D152" s="42"/>
      <c r="E152" s="51" t="s">
        <v>198</v>
      </c>
      <c r="F152" s="57">
        <f>1392820-13929</f>
        <v>1378891</v>
      </c>
      <c r="G152" s="57">
        <v>1378891</v>
      </c>
      <c r="H152" s="38">
        <f t="shared" si="7"/>
        <v>1</v>
      </c>
    </row>
    <row r="153" spans="1:8" s="13" customFormat="1" ht="46.8">
      <c r="A153" s="15"/>
      <c r="B153" s="15"/>
      <c r="C153" s="22"/>
      <c r="D153" s="42"/>
      <c r="E153" s="51" t="s">
        <v>199</v>
      </c>
      <c r="F153" s="57">
        <f>3374260+1027000-276446</f>
        <v>4124814</v>
      </c>
      <c r="G153" s="57">
        <v>3200466.55</v>
      </c>
      <c r="H153" s="38">
        <f t="shared" si="7"/>
        <v>0.77590566507968595</v>
      </c>
    </row>
    <row r="154" spans="1:8" s="13" customFormat="1" ht="62.4">
      <c r="A154" s="15"/>
      <c r="B154" s="15"/>
      <c r="C154" s="22"/>
      <c r="D154" s="42"/>
      <c r="E154" s="68" t="s">
        <v>292</v>
      </c>
      <c r="F154" s="57">
        <f>1492000-400</f>
        <v>1491600</v>
      </c>
      <c r="G154" s="57">
        <v>1491600</v>
      </c>
      <c r="H154" s="38">
        <f t="shared" si="7"/>
        <v>1</v>
      </c>
    </row>
    <row r="155" spans="1:8" s="13" customFormat="1" ht="46.8">
      <c r="A155" s="15"/>
      <c r="B155" s="15"/>
      <c r="C155" s="22"/>
      <c r="D155" s="42"/>
      <c r="E155" s="68" t="s">
        <v>293</v>
      </c>
      <c r="F155" s="57">
        <f>622000-14880</f>
        <v>607120</v>
      </c>
      <c r="G155" s="57">
        <v>600943.34</v>
      </c>
      <c r="H155" s="38">
        <f t="shared" si="7"/>
        <v>0.98982629463697447</v>
      </c>
    </row>
    <row r="156" spans="1:8" s="13" customFormat="1" ht="46.8">
      <c r="A156" s="15"/>
      <c r="B156" s="15"/>
      <c r="C156" s="22"/>
      <c r="D156" s="42"/>
      <c r="E156" s="68" t="s">
        <v>294</v>
      </c>
      <c r="F156" s="57">
        <f>1290000-14591.38</f>
        <v>1275408.6200000001</v>
      </c>
      <c r="G156" s="57">
        <v>1275408.6200000001</v>
      </c>
      <c r="H156" s="38">
        <f t="shared" si="7"/>
        <v>1</v>
      </c>
    </row>
    <row r="157" spans="1:8" s="13" customFormat="1" ht="31.2">
      <c r="A157" s="16">
        <v>1517370</v>
      </c>
      <c r="B157" s="22" t="s">
        <v>53</v>
      </c>
      <c r="C157" s="22" t="s">
        <v>20</v>
      </c>
      <c r="D157" s="17" t="s">
        <v>38</v>
      </c>
      <c r="E157" s="18" t="s">
        <v>24</v>
      </c>
      <c r="F157" s="67">
        <f>SUM(F158:F159)</f>
        <v>27703591</v>
      </c>
      <c r="G157" s="67">
        <f>SUM(G158:G159)</f>
        <v>7664434.9000000004</v>
      </c>
      <c r="H157" s="38">
        <f t="shared" si="7"/>
        <v>0.27665853498920051</v>
      </c>
    </row>
    <row r="158" spans="1:8" s="13" customFormat="1" ht="31.2">
      <c r="A158" s="15"/>
      <c r="B158" s="15"/>
      <c r="C158" s="22"/>
      <c r="D158" s="42"/>
      <c r="E158" s="29" t="s">
        <v>195</v>
      </c>
      <c r="F158" s="67">
        <f>7664771+2000000+17920251</f>
        <v>27585022</v>
      </c>
      <c r="G158" s="67">
        <f>5664434.9+2000000</f>
        <v>7664434.9000000004</v>
      </c>
      <c r="H158" s="38">
        <f t="shared" si="7"/>
        <v>0.27784769937830756</v>
      </c>
    </row>
    <row r="159" spans="1:8" s="13" customFormat="1" ht="62.4">
      <c r="A159" s="15"/>
      <c r="B159" s="15"/>
      <c r="C159" s="22"/>
      <c r="D159" s="42"/>
      <c r="E159" s="23" t="s">
        <v>96</v>
      </c>
      <c r="F159" s="67">
        <v>118569</v>
      </c>
      <c r="G159" s="67"/>
      <c r="H159" s="38">
        <f t="shared" si="7"/>
        <v>0</v>
      </c>
    </row>
    <row r="160" spans="1:8" s="13" customFormat="1" ht="62.4">
      <c r="A160" s="15" t="s">
        <v>295</v>
      </c>
      <c r="B160" s="15" t="s">
        <v>296</v>
      </c>
      <c r="C160" s="22" t="s">
        <v>20</v>
      </c>
      <c r="D160" s="17" t="s">
        <v>297</v>
      </c>
      <c r="E160" s="45" t="s">
        <v>24</v>
      </c>
      <c r="F160" s="67">
        <f>F161</f>
        <v>550000</v>
      </c>
      <c r="G160" s="67">
        <f>G161</f>
        <v>0</v>
      </c>
      <c r="H160" s="38">
        <f t="shared" si="7"/>
        <v>0</v>
      </c>
    </row>
    <row r="161" spans="1:8" s="13" customFormat="1" ht="140.4">
      <c r="A161" s="15"/>
      <c r="B161" s="15"/>
      <c r="C161" s="22"/>
      <c r="D161" s="42"/>
      <c r="E161" s="68" t="s">
        <v>298</v>
      </c>
      <c r="F161" s="67">
        <v>550000</v>
      </c>
      <c r="G161" s="67"/>
      <c r="H161" s="38">
        <f t="shared" si="7"/>
        <v>0</v>
      </c>
    </row>
    <row r="162" spans="1:8" s="13" customFormat="1" ht="15.6">
      <c r="A162" s="15" t="s">
        <v>54</v>
      </c>
      <c r="B162" s="15" t="s">
        <v>55</v>
      </c>
      <c r="C162" s="22" t="s">
        <v>34</v>
      </c>
      <c r="D162" s="17" t="s">
        <v>35</v>
      </c>
      <c r="E162" s="18" t="s">
        <v>24</v>
      </c>
      <c r="F162" s="67">
        <f>SUM(F163:F168)</f>
        <v>6451791</v>
      </c>
      <c r="G162" s="67">
        <f>SUM(G163:G168)</f>
        <v>5907548.5999999996</v>
      </c>
      <c r="H162" s="38">
        <f t="shared" si="7"/>
        <v>0.91564475662649325</v>
      </c>
    </row>
    <row r="163" spans="1:8" s="13" customFormat="1" ht="46.8">
      <c r="A163" s="15"/>
      <c r="B163" s="15"/>
      <c r="C163" s="22"/>
      <c r="D163" s="42"/>
      <c r="E163" s="17" t="s">
        <v>124</v>
      </c>
      <c r="F163" s="67">
        <v>15339</v>
      </c>
      <c r="G163" s="67">
        <v>6015.5</v>
      </c>
      <c r="H163" s="38">
        <f t="shared" si="7"/>
        <v>0.39217028489471284</v>
      </c>
    </row>
    <row r="164" spans="1:8" s="13" customFormat="1" ht="46.8">
      <c r="A164" s="15"/>
      <c r="B164" s="15"/>
      <c r="C164" s="22"/>
      <c r="D164" s="42"/>
      <c r="E164" s="17" t="s">
        <v>125</v>
      </c>
      <c r="F164" s="67">
        <v>73574</v>
      </c>
      <c r="G164" s="67">
        <v>54375.05</v>
      </c>
      <c r="H164" s="38">
        <f t="shared" si="7"/>
        <v>0.73905251855274967</v>
      </c>
    </row>
    <row r="165" spans="1:8" s="13" customFormat="1" ht="46.8">
      <c r="A165" s="15"/>
      <c r="B165" s="15"/>
      <c r="C165" s="22"/>
      <c r="D165" s="42"/>
      <c r="E165" s="17" t="s">
        <v>126</v>
      </c>
      <c r="F165" s="67">
        <v>14952</v>
      </c>
      <c r="G165" s="67">
        <v>5774.85</v>
      </c>
      <c r="H165" s="38">
        <f t="shared" si="7"/>
        <v>0.3862259229534511</v>
      </c>
    </row>
    <row r="166" spans="1:8" s="13" customFormat="1" ht="46.8">
      <c r="A166" s="15"/>
      <c r="B166" s="15"/>
      <c r="C166" s="22"/>
      <c r="D166" s="42"/>
      <c r="E166" s="17" t="s">
        <v>127</v>
      </c>
      <c r="F166" s="67">
        <v>17357</v>
      </c>
      <c r="G166" s="67">
        <v>7792.94</v>
      </c>
      <c r="H166" s="38">
        <f t="shared" si="7"/>
        <v>0.44897966238405251</v>
      </c>
    </row>
    <row r="167" spans="1:8" s="13" customFormat="1" ht="78">
      <c r="A167" s="15"/>
      <c r="B167" s="15"/>
      <c r="C167" s="22"/>
      <c r="D167" s="42"/>
      <c r="E167" s="29" t="s">
        <v>56</v>
      </c>
      <c r="F167" s="67">
        <f>4787741-966200</f>
        <v>3821541</v>
      </c>
      <c r="G167" s="67">
        <v>3821532.83</v>
      </c>
      <c r="H167" s="38">
        <f t="shared" si="7"/>
        <v>0.99999786211897246</v>
      </c>
    </row>
    <row r="168" spans="1:8" s="13" customFormat="1" ht="62.4">
      <c r="A168" s="15"/>
      <c r="B168" s="15"/>
      <c r="C168" s="22"/>
      <c r="D168" s="42"/>
      <c r="E168" s="29" t="s">
        <v>97</v>
      </c>
      <c r="F168" s="67">
        <f>2811128-302100</f>
        <v>2509028</v>
      </c>
      <c r="G168" s="67">
        <v>2012057.43</v>
      </c>
      <c r="H168" s="38">
        <f t="shared" si="7"/>
        <v>0.80192705302611211</v>
      </c>
    </row>
    <row r="169" spans="1:8" s="13" customFormat="1" ht="31.2">
      <c r="A169" s="15" t="s">
        <v>40</v>
      </c>
      <c r="B169" s="15" t="s">
        <v>41</v>
      </c>
      <c r="C169" s="22" t="s">
        <v>44</v>
      </c>
      <c r="D169" s="17" t="s">
        <v>42</v>
      </c>
      <c r="E169" s="18" t="s">
        <v>24</v>
      </c>
      <c r="F169" s="67">
        <f>SUM(F170:F172)</f>
        <v>11920078</v>
      </c>
      <c r="G169" s="67">
        <f>SUM(G170:G172)</f>
        <v>10128769.59</v>
      </c>
      <c r="H169" s="38">
        <f t="shared" si="7"/>
        <v>0.84972343217888335</v>
      </c>
    </row>
    <row r="170" spans="1:8" s="13" customFormat="1" ht="93.6">
      <c r="A170" s="15"/>
      <c r="B170" s="15"/>
      <c r="C170" s="22"/>
      <c r="D170" s="42"/>
      <c r="E170" s="29" t="s">
        <v>98</v>
      </c>
      <c r="F170" s="57">
        <f>3707457-49000-40000-42500</f>
        <v>3575957</v>
      </c>
      <c r="G170" s="57">
        <v>3575938.72</v>
      </c>
      <c r="H170" s="38">
        <f t="shared" si="7"/>
        <v>0.999994888081708</v>
      </c>
    </row>
    <row r="171" spans="1:8" s="13" customFormat="1" ht="78">
      <c r="A171" s="15"/>
      <c r="B171" s="15"/>
      <c r="C171" s="22"/>
      <c r="D171" s="17"/>
      <c r="E171" s="29" t="s">
        <v>57</v>
      </c>
      <c r="F171" s="67">
        <f>1520477-282200</f>
        <v>1238277</v>
      </c>
      <c r="G171" s="67">
        <v>1238271.78</v>
      </c>
      <c r="H171" s="38">
        <f t="shared" si="7"/>
        <v>0.99999578446502679</v>
      </c>
    </row>
    <row r="172" spans="1:8" s="13" customFormat="1" ht="93.6">
      <c r="A172" s="15"/>
      <c r="B172" s="15"/>
      <c r="C172" s="22"/>
      <c r="D172" s="17"/>
      <c r="E172" s="17" t="s">
        <v>74</v>
      </c>
      <c r="F172" s="67">
        <v>7105844</v>
      </c>
      <c r="G172" s="67">
        <v>5314559.09</v>
      </c>
      <c r="H172" s="38">
        <f t="shared" si="7"/>
        <v>0.74791384246544113</v>
      </c>
    </row>
    <row r="173" spans="1:8" s="13" customFormat="1" ht="15.6">
      <c r="A173" s="24" t="s">
        <v>299</v>
      </c>
      <c r="B173" s="15" t="s">
        <v>47</v>
      </c>
      <c r="C173" s="15" t="s">
        <v>47</v>
      </c>
      <c r="D173" s="81" t="s">
        <v>300</v>
      </c>
      <c r="E173" s="82"/>
      <c r="F173" s="56">
        <f>F174</f>
        <v>28500</v>
      </c>
      <c r="G173" s="56">
        <f>G174</f>
        <v>28500</v>
      </c>
      <c r="H173" s="37">
        <f t="shared" si="7"/>
        <v>1</v>
      </c>
    </row>
    <row r="174" spans="1:8" s="13" customFormat="1" ht="15.6">
      <c r="A174" s="24" t="s">
        <v>301</v>
      </c>
      <c r="B174" s="15" t="s">
        <v>47</v>
      </c>
      <c r="C174" s="15" t="s">
        <v>47</v>
      </c>
      <c r="D174" s="81" t="s">
        <v>300</v>
      </c>
      <c r="E174" s="82"/>
      <c r="F174" s="56">
        <f>F175</f>
        <v>28500</v>
      </c>
      <c r="G174" s="56">
        <f>G175</f>
        <v>28500</v>
      </c>
      <c r="H174" s="37">
        <f t="shared" si="7"/>
        <v>1</v>
      </c>
    </row>
    <row r="175" spans="1:8" s="13" customFormat="1" ht="15.6">
      <c r="A175" s="15" t="s">
        <v>302</v>
      </c>
      <c r="B175" s="15" t="s">
        <v>303</v>
      </c>
      <c r="C175" s="16" t="s">
        <v>20</v>
      </c>
      <c r="D175" s="17" t="s">
        <v>304</v>
      </c>
      <c r="E175" s="71" t="s">
        <v>14</v>
      </c>
      <c r="F175" s="67">
        <v>28500</v>
      </c>
      <c r="G175" s="67">
        <v>28500</v>
      </c>
      <c r="H175" s="38">
        <f t="shared" si="7"/>
        <v>1</v>
      </c>
    </row>
    <row r="176" spans="1:8" s="13" customFormat="1" ht="15.6">
      <c r="A176" s="24" t="s">
        <v>7</v>
      </c>
      <c r="B176" s="15" t="s">
        <v>47</v>
      </c>
      <c r="C176" s="15" t="s">
        <v>47</v>
      </c>
      <c r="D176" s="81" t="s">
        <v>58</v>
      </c>
      <c r="E176" s="82"/>
      <c r="F176" s="56">
        <f>F177</f>
        <v>78145443</v>
      </c>
      <c r="G176" s="56">
        <f>G177</f>
        <v>74445206.469999999</v>
      </c>
      <c r="H176" s="37">
        <f t="shared" si="7"/>
        <v>0.95264936267620881</v>
      </c>
    </row>
    <row r="177" spans="1:8" s="13" customFormat="1" ht="15.6">
      <c r="A177" s="24" t="s">
        <v>8</v>
      </c>
      <c r="B177" s="15" t="s">
        <v>47</v>
      </c>
      <c r="C177" s="15" t="s">
        <v>47</v>
      </c>
      <c r="D177" s="81" t="s">
        <v>58</v>
      </c>
      <c r="E177" s="82"/>
      <c r="F177" s="56">
        <f>F178+F181</f>
        <v>78145443</v>
      </c>
      <c r="G177" s="56">
        <f>G178+G181</f>
        <v>74445206.469999999</v>
      </c>
      <c r="H177" s="37">
        <f t="shared" si="7"/>
        <v>0.95264936267620881</v>
      </c>
    </row>
    <row r="178" spans="1:8" s="13" customFormat="1" ht="15.6">
      <c r="A178" s="15" t="s">
        <v>152</v>
      </c>
      <c r="B178" s="16" t="s">
        <v>153</v>
      </c>
      <c r="C178" s="47" t="s">
        <v>9</v>
      </c>
      <c r="D178" s="23" t="s">
        <v>154</v>
      </c>
      <c r="E178" s="23" t="s">
        <v>99</v>
      </c>
      <c r="F178" s="57">
        <f>F179+F180</f>
        <v>2083500</v>
      </c>
      <c r="G178" s="57">
        <f>G179+G180</f>
        <v>2083500</v>
      </c>
      <c r="H178" s="38">
        <f t="shared" si="7"/>
        <v>1</v>
      </c>
    </row>
    <row r="179" spans="1:8" s="13" customFormat="1" ht="62.4">
      <c r="A179" s="19"/>
      <c r="B179" s="20"/>
      <c r="C179" s="52"/>
      <c r="D179" s="53"/>
      <c r="E179" s="44" t="s">
        <v>102</v>
      </c>
      <c r="F179" s="64">
        <v>1800000</v>
      </c>
      <c r="G179" s="64">
        <v>1800000</v>
      </c>
      <c r="H179" s="39">
        <f t="shared" si="7"/>
        <v>1</v>
      </c>
    </row>
    <row r="180" spans="1:8" s="13" customFormat="1" ht="93.6">
      <c r="A180" s="19"/>
      <c r="B180" s="20"/>
      <c r="C180" s="52"/>
      <c r="D180" s="53"/>
      <c r="E180" s="44" t="s">
        <v>305</v>
      </c>
      <c r="F180" s="64">
        <v>283500</v>
      </c>
      <c r="G180" s="64">
        <v>283500</v>
      </c>
      <c r="H180" s="39">
        <f t="shared" si="7"/>
        <v>1</v>
      </c>
    </row>
    <row r="181" spans="1:8" s="13" customFormat="1" ht="46.8">
      <c r="A181" s="15" t="s">
        <v>59</v>
      </c>
      <c r="B181" s="16" t="s">
        <v>60</v>
      </c>
      <c r="C181" s="32" t="s">
        <v>9</v>
      </c>
      <c r="D181" s="23" t="s">
        <v>43</v>
      </c>
      <c r="E181" s="23" t="s">
        <v>99</v>
      </c>
      <c r="F181" s="57">
        <f>F183+F184+F185+F186+F187+F188+F189</f>
        <v>76061943</v>
      </c>
      <c r="G181" s="57">
        <f>G183+G184+G185+G186+G187+G188+G189</f>
        <v>72361706.469999999</v>
      </c>
      <c r="H181" s="38">
        <f t="shared" si="7"/>
        <v>0.95135232701063133</v>
      </c>
    </row>
    <row r="182" spans="1:8" s="13" customFormat="1" ht="15.6">
      <c r="A182" s="15"/>
      <c r="B182" s="16"/>
      <c r="C182" s="32"/>
      <c r="D182" s="23"/>
      <c r="E182" s="23" t="s">
        <v>100</v>
      </c>
      <c r="F182" s="64"/>
      <c r="G182" s="64"/>
      <c r="H182" s="38"/>
    </row>
    <row r="183" spans="1:8" s="13" customFormat="1" ht="93.6">
      <c r="A183" s="19"/>
      <c r="B183" s="19"/>
      <c r="C183" s="20"/>
      <c r="D183" s="21"/>
      <c r="E183" s="44" t="s">
        <v>101</v>
      </c>
      <c r="F183" s="64">
        <f>1300000+6800000+1902000+4750000+1943963+2204400+5202404+4100000+6000000+10044456+5757500-172780+3000000</f>
        <v>52831943</v>
      </c>
      <c r="G183" s="64">
        <v>49131943</v>
      </c>
      <c r="H183" s="39">
        <f t="shared" si="7"/>
        <v>0.92996661129801717</v>
      </c>
    </row>
    <row r="184" spans="1:8" s="13" customFormat="1" ht="62.4">
      <c r="A184" s="19"/>
      <c r="B184" s="19"/>
      <c r="C184" s="20"/>
      <c r="D184" s="21"/>
      <c r="E184" s="44" t="s">
        <v>102</v>
      </c>
      <c r="F184" s="64">
        <f>5000000+3200000+8000000</f>
        <v>16200000</v>
      </c>
      <c r="G184" s="64">
        <v>16199789</v>
      </c>
      <c r="H184" s="39">
        <f t="shared" si="7"/>
        <v>0.999986975308642</v>
      </c>
    </row>
    <row r="185" spans="1:8" s="13" customFormat="1" ht="46.8">
      <c r="A185" s="19"/>
      <c r="B185" s="19"/>
      <c r="C185" s="20"/>
      <c r="D185" s="21"/>
      <c r="E185" s="44" t="s">
        <v>103</v>
      </c>
      <c r="F185" s="64">
        <v>1550000</v>
      </c>
      <c r="G185" s="64">
        <v>1549974.47</v>
      </c>
      <c r="H185" s="39">
        <f t="shared" si="7"/>
        <v>0.99998352903225807</v>
      </c>
    </row>
    <row r="186" spans="1:8" s="13" customFormat="1" ht="46.8">
      <c r="A186" s="19"/>
      <c r="B186" s="19"/>
      <c r="C186" s="20"/>
      <c r="D186" s="21"/>
      <c r="E186" s="44" t="s">
        <v>155</v>
      </c>
      <c r="F186" s="64">
        <v>950000</v>
      </c>
      <c r="G186" s="64">
        <v>950000</v>
      </c>
      <c r="H186" s="39">
        <f t="shared" si="7"/>
        <v>1</v>
      </c>
    </row>
    <row r="187" spans="1:8" s="13" customFormat="1" ht="46.8">
      <c r="A187" s="19"/>
      <c r="B187" s="19"/>
      <c r="C187" s="20"/>
      <c r="D187" s="21"/>
      <c r="E187" s="44" t="s">
        <v>306</v>
      </c>
      <c r="F187" s="64">
        <v>1000000</v>
      </c>
      <c r="G187" s="64">
        <v>1000000</v>
      </c>
      <c r="H187" s="39">
        <f t="shared" si="7"/>
        <v>1</v>
      </c>
    </row>
    <row r="188" spans="1:8" s="13" customFormat="1" ht="31.2">
      <c r="A188" s="19"/>
      <c r="B188" s="19"/>
      <c r="C188" s="20"/>
      <c r="D188" s="21"/>
      <c r="E188" s="44" t="s">
        <v>307</v>
      </c>
      <c r="F188" s="64">
        <v>2700000</v>
      </c>
      <c r="G188" s="64">
        <v>2700000</v>
      </c>
      <c r="H188" s="39">
        <f t="shared" si="7"/>
        <v>1</v>
      </c>
    </row>
    <row r="189" spans="1:8" s="13" customFormat="1" ht="62.4">
      <c r="A189" s="19"/>
      <c r="B189" s="19"/>
      <c r="C189" s="20"/>
      <c r="D189" s="21"/>
      <c r="E189" s="44" t="s">
        <v>308</v>
      </c>
      <c r="F189" s="64">
        <v>830000</v>
      </c>
      <c r="G189" s="64">
        <v>830000</v>
      </c>
      <c r="H189" s="39">
        <f t="shared" si="7"/>
        <v>1</v>
      </c>
    </row>
    <row r="190" spans="1:8" s="13" customFormat="1" ht="15.6">
      <c r="A190" s="33"/>
      <c r="B190" s="14"/>
      <c r="C190" s="14"/>
      <c r="D190" s="34"/>
      <c r="E190" s="35" t="s">
        <v>10</v>
      </c>
      <c r="F190" s="62">
        <f>F10+F33+F58+F64+F67+F70+F128+F173+F176</f>
        <v>251673111.13999999</v>
      </c>
      <c r="G190" s="62">
        <f>G10+G33+G58+G64+G67+G70+G128+G173+G176</f>
        <v>187819058.37</v>
      </c>
      <c r="H190" s="37">
        <f t="shared" si="7"/>
        <v>0.74628178401434619</v>
      </c>
    </row>
    <row r="191" spans="1:8" s="13" customFormat="1" ht="15.6">
      <c r="B191" s="72"/>
      <c r="C191" s="72"/>
      <c r="E191" s="73"/>
      <c r="F191" s="74"/>
      <c r="H191" s="70"/>
    </row>
    <row r="192" spans="1:8" s="13" customFormat="1">
      <c r="A192" s="75"/>
      <c r="B192" s="13" t="s">
        <v>309</v>
      </c>
      <c r="H192" s="70"/>
    </row>
    <row r="193" spans="1:8" s="13" customFormat="1" ht="15.6">
      <c r="A193" s="70"/>
      <c r="E193" s="76"/>
      <c r="H193" s="70"/>
    </row>
    <row r="194" spans="1:8">
      <c r="F194" s="1">
        <v>154997902</v>
      </c>
      <c r="G194" s="1">
        <v>20648313.710000001</v>
      </c>
    </row>
    <row r="196" spans="1:8">
      <c r="F196" s="80">
        <f>F190+F194</f>
        <v>406671013.13999999</v>
      </c>
      <c r="G196" s="80">
        <f>G190+G194</f>
        <v>208467372.08000001</v>
      </c>
    </row>
  </sheetData>
  <customSheetViews>
    <customSheetView guid="{6174BFC3-8EFC-491A-B8A3-28DB8186A904}" scale="80" showPageBreaks="1" fitToPage="1" printArea="1" view="pageBreakPreview">
      <selection activeCell="G142" sqref="G142"/>
      <rowBreaks count="1" manualBreakCount="1">
        <brk id="101" max="7" man="1"/>
      </rowBreaks>
      <pageMargins left="0.19685039370078741" right="0.19685039370078741" top="0.19685039370078741" bottom="0.19685039370078741" header="0.19685039370078741" footer="0.19685039370078741"/>
      <pageSetup paperSize="9" scale="47" fitToHeight="36" orientation="portrait" r:id="rId1"/>
    </customSheetView>
    <customSheetView guid="{71B4C162-96A9-4CA7-B3F0-0C57B820C4BA}" scale="80" showPageBreaks="1" printArea="1" view="pageBreakPreview" topLeftCell="A48">
      <selection activeCell="G35" sqref="G35"/>
      <rowBreaks count="1" manualBreakCount="1">
        <brk id="102" max="7" man="1"/>
      </rowBreaks>
      <pageMargins left="0.19685039370078741" right="0.19685039370078741" top="0.19685039370078741" bottom="0.19685039370078741" header="0.19685039370078741" footer="0.19685039370078741"/>
      <pageSetup paperSize="9" scale="70" fitToHeight="35" orientation="landscape" r:id="rId2"/>
    </customSheetView>
    <customSheetView guid="{9D5EF3DD-3431-45D7-BCA1-2268CCD9FD10}" scale="80" showPageBreaks="1" printArea="1" view="pageBreakPreview">
      <selection activeCell="G407" sqref="G407"/>
      <rowBreaks count="1" manualBreakCount="1">
        <brk id="102" max="7" man="1"/>
      </rowBreaks>
      <pageMargins left="0.19685039370078741" right="0.19685039370078741" top="0.19685039370078741" bottom="0.19685039370078741" header="0.19685039370078741" footer="0.19685039370078741"/>
      <pageSetup paperSize="9" scale="70" fitToHeight="35" orientation="landscape" r:id="rId3"/>
    </customSheetView>
    <customSheetView guid="{02AC496F-F7D9-465B-9A66-D319977CD4A2}" scale="80" showPageBreaks="1" printArea="1" view="pageBreakPreview" topLeftCell="A88">
      <selection activeCell="K94" sqref="K94"/>
      <rowBreaks count="1" manualBreakCount="1">
        <brk id="102" max="7" man="1"/>
      </rowBreaks>
      <pageMargins left="0.19685039370078741" right="0.19685039370078741" top="0.19685039370078741" bottom="0.19685039370078741" header="0.19685039370078741" footer="0.19685039370078741"/>
      <pageSetup paperSize="9" scale="70" fitToHeight="35" orientation="landscape" r:id="rId4"/>
    </customSheetView>
  </customSheetViews>
  <mergeCells count="34">
    <mergeCell ref="H7:H8"/>
    <mergeCell ref="D10:E10"/>
    <mergeCell ref="D11:E11"/>
    <mergeCell ref="F1:H1"/>
    <mergeCell ref="A7:A8"/>
    <mergeCell ref="B7:B8"/>
    <mergeCell ref="C7:C8"/>
    <mergeCell ref="D7:D8"/>
    <mergeCell ref="E7:E8"/>
    <mergeCell ref="F2:H2"/>
    <mergeCell ref="F3:H3"/>
    <mergeCell ref="A4:H4"/>
    <mergeCell ref="A5:B5"/>
    <mergeCell ref="D68:E68"/>
    <mergeCell ref="D70:E70"/>
    <mergeCell ref="D71:E71"/>
    <mergeCell ref="F7:F8"/>
    <mergeCell ref="G7:G8"/>
    <mergeCell ref="D62:E62"/>
    <mergeCell ref="D63:E63"/>
    <mergeCell ref="D64:E64"/>
    <mergeCell ref="D65:E65"/>
    <mergeCell ref="D67:E67"/>
    <mergeCell ref="D33:E33"/>
    <mergeCell ref="D34:E34"/>
    <mergeCell ref="D58:E58"/>
    <mergeCell ref="D59:E59"/>
    <mergeCell ref="D61:E61"/>
    <mergeCell ref="D177:E177"/>
    <mergeCell ref="D128:E128"/>
    <mergeCell ref="D129:E129"/>
    <mergeCell ref="D173:E173"/>
    <mergeCell ref="D174:E174"/>
    <mergeCell ref="D176:E176"/>
  </mergeCells>
  <pageMargins left="0.39370078740157483" right="0.39370078740157483" top="0.59055118110236227" bottom="0.59055118110236227" header="0.19685039370078741" footer="0.19685039370078741"/>
  <pageSetup paperSize="9" scale="47" fitToHeight="36" orientation="portrait" r:id="rId5"/>
  <headerFooter differentFirst="1" alignWithMargins="0">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БР</vt:lpstr>
      <vt:lpstr>БР!Заголовки_для_друку</vt:lpstr>
      <vt:lpstr>БР!Область_друку</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220FU11</cp:lastModifiedBy>
  <cp:lastPrinted>2024-10-16T13:02:55Z</cp:lastPrinted>
  <dcterms:created xsi:type="dcterms:W3CDTF">2019-04-10T18:00:09Z</dcterms:created>
  <dcterms:modified xsi:type="dcterms:W3CDTF">2025-01-22T09:08:22Z</dcterms:modified>
</cp:coreProperties>
</file>