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SHARE\0-Старые данные\SHARE\Бюджет 2024\ВИКОНАННЯ\2024 рік\"/>
    </mc:Choice>
  </mc:AlternateContent>
  <bookViews>
    <workbookView xWindow="-120" yWindow="-120" windowWidth="20736" windowHeight="11760"/>
  </bookViews>
  <sheets>
    <sheet name="2024" sheetId="10" r:id="rId1"/>
  </sheets>
  <definedNames>
    <definedName name="_xlnm.Print_Titles" localSheetId="0">'2024'!$2:$7</definedName>
    <definedName name="_xlnm.Print_Area" localSheetId="0">'2024'!$A$1:$T$199</definedName>
  </definedNames>
  <calcPr calcId="152511"/>
</workbook>
</file>

<file path=xl/calcChain.xml><?xml version="1.0" encoding="utf-8"?>
<calcChain xmlns="http://schemas.openxmlformats.org/spreadsheetml/2006/main">
  <c r="U75" i="10" l="1"/>
  <c r="O196" i="10" l="1"/>
  <c r="P196" i="10"/>
  <c r="O191" i="10"/>
  <c r="P191" i="10"/>
  <c r="O190" i="10"/>
  <c r="P190" i="10"/>
  <c r="M98" i="10"/>
  <c r="N98" i="10"/>
  <c r="M99" i="10"/>
  <c r="N99" i="10"/>
  <c r="M101" i="10"/>
  <c r="N101" i="10"/>
  <c r="M102" i="10"/>
  <c r="N102" i="10"/>
  <c r="N100" i="10"/>
  <c r="M100" i="10"/>
  <c r="P98" i="10"/>
  <c r="P99" i="10"/>
  <c r="M27" i="10"/>
  <c r="N27" i="10"/>
  <c r="M21" i="10"/>
  <c r="N21" i="10"/>
  <c r="M167" i="10" l="1"/>
  <c r="N167" i="10"/>
  <c r="O167" i="10"/>
  <c r="P167" i="10"/>
  <c r="P166" i="10"/>
  <c r="O166" i="10"/>
  <c r="N166" i="10"/>
  <c r="M166" i="10"/>
  <c r="P162" i="10"/>
  <c r="O162" i="10"/>
  <c r="N162" i="10"/>
  <c r="M162" i="10"/>
  <c r="P161" i="10"/>
  <c r="O161" i="10"/>
  <c r="N161" i="10"/>
  <c r="M161" i="10"/>
  <c r="N132" i="10"/>
  <c r="M132" i="10"/>
  <c r="P130" i="10"/>
  <c r="O130" i="10"/>
  <c r="N130" i="10"/>
  <c r="M130" i="10"/>
  <c r="O14" i="10" l="1"/>
  <c r="P14" i="10"/>
  <c r="O15" i="10"/>
  <c r="P15" i="10"/>
  <c r="P13" i="10"/>
  <c r="O13" i="10"/>
  <c r="E12" i="10"/>
  <c r="E13" i="10"/>
  <c r="E14" i="10"/>
  <c r="E11" i="10"/>
  <c r="K9" i="10"/>
  <c r="L9" i="10"/>
  <c r="J9" i="10"/>
  <c r="K157" i="10"/>
  <c r="L157" i="10"/>
  <c r="J157" i="10"/>
  <c r="G157" i="10"/>
  <c r="H157" i="10"/>
  <c r="F157" i="10"/>
  <c r="L176" i="10"/>
  <c r="K176" i="10"/>
  <c r="L170" i="10"/>
  <c r="K170" i="10"/>
  <c r="E167" i="10"/>
  <c r="H167" i="10"/>
  <c r="T167" i="10" s="1"/>
  <c r="S167" i="10"/>
  <c r="R167" i="10"/>
  <c r="L166" i="10"/>
  <c r="K166" i="10"/>
  <c r="L144" i="10"/>
  <c r="K144" i="10"/>
  <c r="K136" i="10"/>
  <c r="K125" i="10"/>
  <c r="L125" i="10"/>
  <c r="J125" i="10"/>
  <c r="G125" i="10"/>
  <c r="F125" i="10"/>
  <c r="E154" i="10"/>
  <c r="I154" i="10"/>
  <c r="M154" i="10" s="1"/>
  <c r="N154" i="10"/>
  <c r="O154" i="10"/>
  <c r="P154" i="10"/>
  <c r="R154" i="10"/>
  <c r="S154" i="10"/>
  <c r="T154" i="10"/>
  <c r="L148" i="10"/>
  <c r="K148" i="10"/>
  <c r="L136" i="10"/>
  <c r="K110" i="10"/>
  <c r="K109" i="10"/>
  <c r="K107" i="10"/>
  <c r="I167" i="10" l="1"/>
  <c r="Q167" i="10" s="1"/>
  <c r="Q154" i="10"/>
  <c r="K84" i="10"/>
  <c r="K83" i="10"/>
  <c r="K47" i="10" l="1"/>
  <c r="K54" i="10"/>
  <c r="K70" i="10"/>
  <c r="L44" i="10"/>
  <c r="J44" i="10"/>
  <c r="G44" i="10"/>
  <c r="H44" i="10"/>
  <c r="F44" i="10"/>
  <c r="E66" i="10"/>
  <c r="I66" i="10"/>
  <c r="M66" i="10" s="1"/>
  <c r="N66" i="10"/>
  <c r="O66" i="10"/>
  <c r="P66" i="10"/>
  <c r="R66" i="10"/>
  <c r="S66" i="10"/>
  <c r="T66" i="10"/>
  <c r="E65" i="10"/>
  <c r="I65" i="10"/>
  <c r="N65" i="10"/>
  <c r="O65" i="10"/>
  <c r="P65" i="10"/>
  <c r="R65" i="10"/>
  <c r="S65" i="10"/>
  <c r="T65" i="10"/>
  <c r="E60" i="10"/>
  <c r="I60" i="10"/>
  <c r="M60" i="10"/>
  <c r="N60" i="10"/>
  <c r="O60" i="10"/>
  <c r="P60" i="10"/>
  <c r="Q60" i="10"/>
  <c r="R60" i="10"/>
  <c r="S60" i="10"/>
  <c r="T60" i="10"/>
  <c r="E59" i="10"/>
  <c r="I59" i="10"/>
  <c r="M59" i="10" s="1"/>
  <c r="N59" i="10"/>
  <c r="O59" i="10"/>
  <c r="P59" i="10"/>
  <c r="R59" i="10"/>
  <c r="S59" i="10"/>
  <c r="T59" i="10"/>
  <c r="K52" i="10"/>
  <c r="K49" i="10"/>
  <c r="K48" i="10"/>
  <c r="L35" i="10"/>
  <c r="L36" i="10"/>
  <c r="K36" i="10"/>
  <c r="K35" i="10"/>
  <c r="L32" i="10"/>
  <c r="K32" i="10"/>
  <c r="K12" i="10"/>
  <c r="K11" i="10"/>
  <c r="J191" i="10"/>
  <c r="J187" i="10"/>
  <c r="J153" i="10"/>
  <c r="I153" i="10" s="1"/>
  <c r="M153" i="10" s="1"/>
  <c r="E153" i="10"/>
  <c r="O153" i="10"/>
  <c r="P153" i="10"/>
  <c r="S153" i="10"/>
  <c r="T153" i="10"/>
  <c r="E152" i="10"/>
  <c r="I152" i="10"/>
  <c r="M152" i="10" s="1"/>
  <c r="N152" i="10"/>
  <c r="O152" i="10"/>
  <c r="P152" i="10"/>
  <c r="R152" i="10"/>
  <c r="S152" i="10"/>
  <c r="T152" i="10"/>
  <c r="K44" i="10" l="1"/>
  <c r="Q66" i="10"/>
  <c r="Q65" i="10"/>
  <c r="M65" i="10"/>
  <c r="Q59" i="10"/>
  <c r="R153" i="10"/>
  <c r="N153" i="10"/>
  <c r="Q153" i="10"/>
  <c r="Q152" i="10"/>
  <c r="E151" i="10"/>
  <c r="I151" i="10"/>
  <c r="Q151" i="10" s="1"/>
  <c r="N151" i="10"/>
  <c r="O151" i="10"/>
  <c r="P151" i="10"/>
  <c r="R151" i="10"/>
  <c r="S151" i="10"/>
  <c r="T151" i="10"/>
  <c r="J148" i="10"/>
  <c r="J146" i="10"/>
  <c r="M151" i="10" l="1"/>
  <c r="N137" i="10"/>
  <c r="S137" i="10"/>
  <c r="H137" i="10"/>
  <c r="P137" i="10" s="1"/>
  <c r="I137" i="10"/>
  <c r="J136" i="10"/>
  <c r="J119" i="10"/>
  <c r="K104" i="10"/>
  <c r="L104" i="10"/>
  <c r="J104" i="10"/>
  <c r="H104" i="10"/>
  <c r="F104" i="10"/>
  <c r="E114" i="10"/>
  <c r="I114" i="10"/>
  <c r="M114" i="10" s="1"/>
  <c r="N114" i="10"/>
  <c r="O114" i="10"/>
  <c r="P114" i="10"/>
  <c r="R114" i="10"/>
  <c r="S114" i="10"/>
  <c r="T114" i="10"/>
  <c r="E137" i="10" l="1"/>
  <c r="M137" i="10" s="1"/>
  <c r="O137" i="10"/>
  <c r="T137" i="10"/>
  <c r="R137" i="10"/>
  <c r="Q114" i="10"/>
  <c r="J76" i="10"/>
  <c r="E96" i="10"/>
  <c r="R96" i="10"/>
  <c r="O96" i="10"/>
  <c r="P96" i="10"/>
  <c r="S96" i="10"/>
  <c r="T96" i="10"/>
  <c r="J95" i="10"/>
  <c r="E90" i="10"/>
  <c r="I90" i="10"/>
  <c r="M90" i="10" s="1"/>
  <c r="N90" i="10"/>
  <c r="O90" i="10"/>
  <c r="P90" i="10"/>
  <c r="Q90" i="10"/>
  <c r="R90" i="10"/>
  <c r="S90" i="10"/>
  <c r="T90" i="10"/>
  <c r="Q137" i="10" l="1"/>
  <c r="N96" i="10"/>
  <c r="I96" i="10"/>
  <c r="J73" i="10"/>
  <c r="E72" i="10"/>
  <c r="I72" i="10"/>
  <c r="N72" i="10"/>
  <c r="O72" i="10"/>
  <c r="P72" i="10"/>
  <c r="R72" i="10"/>
  <c r="S72" i="10"/>
  <c r="T72" i="10"/>
  <c r="J69" i="10"/>
  <c r="J68" i="10"/>
  <c r="E67" i="10"/>
  <c r="I67" i="10"/>
  <c r="Q67" i="10" s="1"/>
  <c r="M67" i="10"/>
  <c r="N67" i="10"/>
  <c r="O67" i="10"/>
  <c r="P67" i="10"/>
  <c r="R67" i="10"/>
  <c r="S67" i="10"/>
  <c r="T67" i="10"/>
  <c r="J51" i="10"/>
  <c r="J50" i="10"/>
  <c r="J41" i="10"/>
  <c r="I41" i="10" s="1"/>
  <c r="M41" i="10" s="1"/>
  <c r="E41" i="10"/>
  <c r="O41" i="10"/>
  <c r="P41" i="10"/>
  <c r="S41" i="10"/>
  <c r="T41" i="10"/>
  <c r="J39" i="10"/>
  <c r="J35" i="10"/>
  <c r="J32" i="10"/>
  <c r="I32" i="10" s="1"/>
  <c r="M32" i="10" s="1"/>
  <c r="E32" i="10"/>
  <c r="O32" i="10"/>
  <c r="P32" i="10"/>
  <c r="S32" i="10"/>
  <c r="T32" i="10"/>
  <c r="J22" i="10"/>
  <c r="J20" i="10"/>
  <c r="M72" i="10" l="1"/>
  <c r="M96" i="10"/>
  <c r="Q96" i="10"/>
  <c r="Q72" i="10"/>
  <c r="R41" i="10"/>
  <c r="N41" i="10"/>
  <c r="Q41" i="10"/>
  <c r="R32" i="10"/>
  <c r="N32" i="10"/>
  <c r="Q32" i="10"/>
  <c r="H196" i="10"/>
  <c r="H195" i="10"/>
  <c r="H193" i="10"/>
  <c r="G192" i="10"/>
  <c r="E192" i="10" s="1"/>
  <c r="E193" i="10"/>
  <c r="F188" i="10"/>
  <c r="G187" i="10"/>
  <c r="H187" i="10" s="1"/>
  <c r="F187" i="10"/>
  <c r="H186" i="10"/>
  <c r="F186" i="10"/>
  <c r="H184" i="10"/>
  <c r="H183" i="10"/>
  <c r="H182" i="10"/>
  <c r="H179" i="10"/>
  <c r="T179" i="10" s="1"/>
  <c r="E179" i="10"/>
  <c r="I179" i="10"/>
  <c r="Q179" i="10" s="1"/>
  <c r="M179" i="10"/>
  <c r="N179" i="10"/>
  <c r="O179" i="10"/>
  <c r="P179" i="10"/>
  <c r="R179" i="10"/>
  <c r="S179" i="10"/>
  <c r="H177" i="10"/>
  <c r="G176" i="10"/>
  <c r="H176" i="10" s="1"/>
  <c r="H175" i="10"/>
  <c r="H174" i="10"/>
  <c r="G173" i="10"/>
  <c r="H173" i="10" s="1"/>
  <c r="H172" i="10"/>
  <c r="P172" i="10" s="1"/>
  <c r="E172" i="10"/>
  <c r="I172" i="10"/>
  <c r="N172" i="10"/>
  <c r="O172" i="10"/>
  <c r="R172" i="10"/>
  <c r="S172" i="10"/>
  <c r="G171" i="10"/>
  <c r="H171" i="10" s="1"/>
  <c r="G170" i="10"/>
  <c r="H170" i="10" s="1"/>
  <c r="G168" i="10"/>
  <c r="H168" i="10" s="1"/>
  <c r="H166" i="10"/>
  <c r="G165" i="10"/>
  <c r="H165" i="10" s="1"/>
  <c r="H164" i="10"/>
  <c r="H163" i="10"/>
  <c r="H162" i="10"/>
  <c r="T162" i="10" s="1"/>
  <c r="G161" i="10"/>
  <c r="H161" i="10" s="1"/>
  <c r="E162" i="10"/>
  <c r="I162" i="10"/>
  <c r="Q162" i="10"/>
  <c r="R162" i="10"/>
  <c r="S162" i="10"/>
  <c r="H158" i="10"/>
  <c r="T172" i="10" l="1"/>
  <c r="M172" i="10"/>
  <c r="Q172" i="10"/>
  <c r="G149" i="10" l="1"/>
  <c r="H148" i="10"/>
  <c r="G148" i="10"/>
  <c r="F148" i="10"/>
  <c r="G147" i="10"/>
  <c r="G146" i="10"/>
  <c r="H146" i="10" s="1"/>
  <c r="F146" i="10"/>
  <c r="G144" i="10"/>
  <c r="H144" i="10" s="1"/>
  <c r="P144" i="10" s="1"/>
  <c r="I144" i="10"/>
  <c r="N144" i="10"/>
  <c r="R144" i="10"/>
  <c r="G143" i="10"/>
  <c r="H143" i="10" s="1"/>
  <c r="E139" i="10"/>
  <c r="I139" i="10"/>
  <c r="N139" i="10"/>
  <c r="O139" i="10"/>
  <c r="P139" i="10"/>
  <c r="R139" i="10"/>
  <c r="S139" i="10"/>
  <c r="T139" i="10"/>
  <c r="E140" i="10"/>
  <c r="I140" i="10"/>
  <c r="N140" i="10"/>
  <c r="O140" i="10"/>
  <c r="P140" i="10"/>
  <c r="R140" i="10"/>
  <c r="S140" i="10"/>
  <c r="T140" i="10"/>
  <c r="E141" i="10"/>
  <c r="I141" i="10"/>
  <c r="N141" i="10"/>
  <c r="O141" i="10"/>
  <c r="P141" i="10"/>
  <c r="R141" i="10"/>
  <c r="S141" i="10"/>
  <c r="T141" i="10"/>
  <c r="G138" i="10"/>
  <c r="H138" i="10" s="1"/>
  <c r="G136" i="10"/>
  <c r="H136" i="10" s="1"/>
  <c r="F136" i="10"/>
  <c r="H135" i="10"/>
  <c r="E135" i="10"/>
  <c r="I135" i="10"/>
  <c r="N135" i="10"/>
  <c r="R135" i="10"/>
  <c r="S135" i="10"/>
  <c r="H134" i="10"/>
  <c r="H125" i="10" s="1"/>
  <c r="H133" i="10"/>
  <c r="H132" i="10"/>
  <c r="G130" i="10"/>
  <c r="H130" i="10" s="1"/>
  <c r="G126" i="10"/>
  <c r="F119" i="10"/>
  <c r="H117" i="10"/>
  <c r="G111" i="10"/>
  <c r="G110" i="10"/>
  <c r="G109" i="10"/>
  <c r="G107" i="10"/>
  <c r="K99" i="10"/>
  <c r="L99" i="10"/>
  <c r="J99" i="10"/>
  <c r="G99" i="10"/>
  <c r="F99" i="10"/>
  <c r="H100" i="10"/>
  <c r="H99" i="10" s="1"/>
  <c r="E101" i="10"/>
  <c r="I101" i="10"/>
  <c r="Q101" i="10" s="1"/>
  <c r="O101" i="10"/>
  <c r="P101" i="10"/>
  <c r="R101" i="10"/>
  <c r="S101" i="10"/>
  <c r="T101" i="10"/>
  <c r="G104" i="10" l="1"/>
  <c r="O144" i="10"/>
  <c r="T144" i="10"/>
  <c r="E144" i="10"/>
  <c r="M144" i="10" s="1"/>
  <c r="S144" i="10"/>
  <c r="Q144" i="10"/>
  <c r="M140" i="10"/>
  <c r="Q140" i="10"/>
  <c r="M141" i="10"/>
  <c r="Q141" i="10"/>
  <c r="M139" i="10"/>
  <c r="Q139" i="10"/>
  <c r="Q135" i="10"/>
  <c r="T135" i="10"/>
  <c r="F95" i="10" l="1"/>
  <c r="G94" i="10"/>
  <c r="F94" i="10"/>
  <c r="R94" i="10" s="1"/>
  <c r="H93" i="10"/>
  <c r="P93" i="10" s="1"/>
  <c r="H92" i="10"/>
  <c r="H91" i="10"/>
  <c r="K76" i="10"/>
  <c r="L92" i="10"/>
  <c r="T92" i="10" s="1"/>
  <c r="S92" i="10"/>
  <c r="R92" i="10"/>
  <c r="O92" i="10"/>
  <c r="N92" i="10"/>
  <c r="I92" i="10"/>
  <c r="E92" i="10"/>
  <c r="E93" i="10"/>
  <c r="I93" i="10"/>
  <c r="N93" i="10"/>
  <c r="O93" i="10"/>
  <c r="R93" i="10"/>
  <c r="S93" i="10"/>
  <c r="T93" i="10"/>
  <c r="E94" i="10"/>
  <c r="I94" i="10"/>
  <c r="O94" i="10"/>
  <c r="P94" i="10"/>
  <c r="S94" i="10"/>
  <c r="T94" i="10"/>
  <c r="E95" i="10"/>
  <c r="I95" i="10"/>
  <c r="N95" i="10"/>
  <c r="O95" i="10"/>
  <c r="P95" i="10"/>
  <c r="R95" i="10"/>
  <c r="S95" i="10"/>
  <c r="T95" i="10"/>
  <c r="E97" i="10"/>
  <c r="I97" i="10"/>
  <c r="N97" i="10"/>
  <c r="O97" i="10"/>
  <c r="P97" i="10"/>
  <c r="R97" i="10"/>
  <c r="S97" i="10"/>
  <c r="T97" i="10"/>
  <c r="K98" i="10"/>
  <c r="L98" i="10"/>
  <c r="F98" i="10"/>
  <c r="O99" i="10"/>
  <c r="H98" i="10"/>
  <c r="I99" i="10"/>
  <c r="E100" i="10"/>
  <c r="I100" i="10"/>
  <c r="O100" i="10"/>
  <c r="P100" i="10"/>
  <c r="R100" i="10"/>
  <c r="S100" i="10"/>
  <c r="T100" i="10"/>
  <c r="E102" i="10"/>
  <c r="I102" i="10"/>
  <c r="O102" i="10"/>
  <c r="P102" i="10"/>
  <c r="R102" i="10"/>
  <c r="S102" i="10"/>
  <c r="T102" i="10"/>
  <c r="F103" i="10"/>
  <c r="G103" i="10"/>
  <c r="H103" i="10"/>
  <c r="N104" i="10"/>
  <c r="O104" i="10"/>
  <c r="P104" i="10"/>
  <c r="E105" i="10"/>
  <c r="I105" i="10"/>
  <c r="Q105" i="10" s="1"/>
  <c r="N105" i="10"/>
  <c r="O105" i="10"/>
  <c r="P105" i="10"/>
  <c r="R105" i="10"/>
  <c r="S105" i="10"/>
  <c r="T105" i="10"/>
  <c r="E106" i="10"/>
  <c r="I106" i="10"/>
  <c r="N106" i="10"/>
  <c r="O106" i="10"/>
  <c r="P106" i="10"/>
  <c r="R106" i="10"/>
  <c r="S106" i="10"/>
  <c r="T106" i="10"/>
  <c r="E107" i="10"/>
  <c r="S107" i="10"/>
  <c r="N107" i="10"/>
  <c r="O107" i="10"/>
  <c r="P107" i="10"/>
  <c r="R107" i="10"/>
  <c r="T107" i="10"/>
  <c r="E108" i="10"/>
  <c r="I108" i="10"/>
  <c r="N108" i="10"/>
  <c r="O108" i="10"/>
  <c r="P108" i="10"/>
  <c r="R108" i="10"/>
  <c r="S108" i="10"/>
  <c r="T108" i="10"/>
  <c r="E109" i="10"/>
  <c r="I109" i="10"/>
  <c r="N109" i="10"/>
  <c r="O109" i="10"/>
  <c r="P109" i="10"/>
  <c r="R109" i="10"/>
  <c r="S109" i="10"/>
  <c r="T109" i="10"/>
  <c r="E110" i="10"/>
  <c r="I110" i="10"/>
  <c r="N110" i="10"/>
  <c r="P110" i="10"/>
  <c r="R110" i="10"/>
  <c r="S110" i="10"/>
  <c r="T110" i="10"/>
  <c r="E111" i="10"/>
  <c r="I111" i="10"/>
  <c r="N111" i="10"/>
  <c r="O111" i="10"/>
  <c r="P111" i="10"/>
  <c r="R111" i="10"/>
  <c r="S111" i="10"/>
  <c r="T111" i="10"/>
  <c r="E112" i="10"/>
  <c r="I112" i="10"/>
  <c r="N112" i="10"/>
  <c r="O112" i="10"/>
  <c r="P112" i="10"/>
  <c r="R112" i="10"/>
  <c r="S112" i="10"/>
  <c r="T112" i="10"/>
  <c r="E113" i="10"/>
  <c r="I113" i="10"/>
  <c r="N113" i="10"/>
  <c r="O113" i="10"/>
  <c r="P113" i="10"/>
  <c r="R113" i="10"/>
  <c r="S113" i="10"/>
  <c r="T113" i="10"/>
  <c r="L115" i="10"/>
  <c r="F116" i="10"/>
  <c r="F115" i="10" s="1"/>
  <c r="G116" i="10"/>
  <c r="H116" i="10"/>
  <c r="H115" i="10" s="1"/>
  <c r="J116" i="10"/>
  <c r="K116" i="10"/>
  <c r="K115" i="10" s="1"/>
  <c r="L116" i="10"/>
  <c r="G84" i="10"/>
  <c r="H77" i="10"/>
  <c r="L76" i="10" l="1"/>
  <c r="H84" i="10"/>
  <c r="G76" i="10"/>
  <c r="H76" i="10"/>
  <c r="N94" i="10"/>
  <c r="F76" i="10"/>
  <c r="Q106" i="10"/>
  <c r="M95" i="10"/>
  <c r="Q112" i="10"/>
  <c r="M109" i="10"/>
  <c r="I116" i="10"/>
  <c r="I115" i="10" s="1"/>
  <c r="S116" i="10"/>
  <c r="Q111" i="10"/>
  <c r="M94" i="10"/>
  <c r="M105" i="10"/>
  <c r="M110" i="10"/>
  <c r="P116" i="10"/>
  <c r="O116" i="10"/>
  <c r="J115" i="10"/>
  <c r="N115" i="10" s="1"/>
  <c r="M108" i="10"/>
  <c r="M113" i="10"/>
  <c r="M106" i="10"/>
  <c r="Q113" i="10"/>
  <c r="M93" i="10"/>
  <c r="Q108" i="10"/>
  <c r="M111" i="10"/>
  <c r="Q109" i="10"/>
  <c r="Q102" i="10"/>
  <c r="Q100" i="10"/>
  <c r="M97" i="10"/>
  <c r="Q95" i="10"/>
  <c r="Q97" i="10"/>
  <c r="Q92" i="10"/>
  <c r="Q93" i="10"/>
  <c r="M92" i="10"/>
  <c r="P92" i="10"/>
  <c r="P115" i="10"/>
  <c r="T116" i="10"/>
  <c r="M112" i="10"/>
  <c r="J98" i="10"/>
  <c r="T104" i="10"/>
  <c r="L103" i="10"/>
  <c r="T99" i="10"/>
  <c r="S104" i="10"/>
  <c r="E99" i="10"/>
  <c r="E98" i="10" s="1"/>
  <c r="R116" i="10"/>
  <c r="I104" i="10"/>
  <c r="T115" i="10"/>
  <c r="K103" i="10"/>
  <c r="S99" i="10"/>
  <c r="R104" i="10"/>
  <c r="R99" i="10"/>
  <c r="T98" i="10"/>
  <c r="E116" i="10"/>
  <c r="E115" i="10" s="1"/>
  <c r="G98" i="10"/>
  <c r="O98" i="10" s="1"/>
  <c r="I107" i="10"/>
  <c r="J103" i="10"/>
  <c r="E104" i="10"/>
  <c r="E103" i="10" s="1"/>
  <c r="Q94" i="10"/>
  <c r="G115" i="10"/>
  <c r="O115" i="10" s="1"/>
  <c r="Q110" i="10"/>
  <c r="N116" i="10"/>
  <c r="R115" i="10" l="1"/>
  <c r="M116" i="10"/>
  <c r="Q116" i="10"/>
  <c r="S98" i="10"/>
  <c r="T103" i="10"/>
  <c r="P103" i="10"/>
  <c r="M115" i="10"/>
  <c r="Q115" i="10"/>
  <c r="S115" i="10"/>
  <c r="R98" i="10"/>
  <c r="I98" i="10"/>
  <c r="Q98" i="10" s="1"/>
  <c r="S103" i="10"/>
  <c r="O103" i="10"/>
  <c r="R103" i="10"/>
  <c r="N103" i="10"/>
  <c r="M104" i="10"/>
  <c r="I103" i="10"/>
  <c r="Q104" i="10"/>
  <c r="M107" i="10"/>
  <c r="Q107" i="10"/>
  <c r="Q99" i="10"/>
  <c r="Q103" i="10" l="1"/>
  <c r="M103" i="10"/>
  <c r="E74" i="10" l="1"/>
  <c r="I74" i="10"/>
  <c r="Q74" i="10" s="1"/>
  <c r="N74" i="10"/>
  <c r="O74" i="10"/>
  <c r="P74" i="10"/>
  <c r="R74" i="10"/>
  <c r="S74" i="10"/>
  <c r="T74" i="10"/>
  <c r="H71" i="10"/>
  <c r="E71" i="10"/>
  <c r="I71" i="10"/>
  <c r="N71" i="10"/>
  <c r="O71" i="10"/>
  <c r="R71" i="10"/>
  <c r="S71" i="10"/>
  <c r="E63" i="10"/>
  <c r="I63" i="10"/>
  <c r="N63" i="10"/>
  <c r="O63" i="10"/>
  <c r="P63" i="10"/>
  <c r="R63" i="10"/>
  <c r="S63" i="10"/>
  <c r="T63" i="10"/>
  <c r="E64" i="10"/>
  <c r="I64" i="10"/>
  <c r="N64" i="10"/>
  <c r="O64" i="10"/>
  <c r="P64" i="10"/>
  <c r="R64" i="10"/>
  <c r="S64" i="10"/>
  <c r="T64" i="10"/>
  <c r="G55" i="10"/>
  <c r="G54" i="10"/>
  <c r="G52" i="10"/>
  <c r="G49" i="10"/>
  <c r="G48" i="10"/>
  <c r="G47" i="10"/>
  <c r="N30" i="10"/>
  <c r="O30" i="10"/>
  <c r="P30" i="10"/>
  <c r="I30" i="10"/>
  <c r="N29" i="10"/>
  <c r="O29" i="10"/>
  <c r="P29" i="10"/>
  <c r="I29" i="10"/>
  <c r="R27" i="10"/>
  <c r="S27" i="10"/>
  <c r="T27" i="10"/>
  <c r="R28" i="10"/>
  <c r="S28" i="10"/>
  <c r="T28" i="10"/>
  <c r="R29" i="10"/>
  <c r="S29" i="10"/>
  <c r="T29" i="10"/>
  <c r="R30" i="10"/>
  <c r="S30" i="10"/>
  <c r="T30" i="10"/>
  <c r="H39" i="10"/>
  <c r="G14" i="10"/>
  <c r="G12" i="10"/>
  <c r="G11" i="10"/>
  <c r="H38" i="10"/>
  <c r="F35" i="10"/>
  <c r="M63" i="10" l="1"/>
  <c r="P71" i="10"/>
  <c r="M74" i="10"/>
  <c r="M71" i="10"/>
  <c r="Q71" i="10"/>
  <c r="T71" i="10"/>
  <c r="Q63" i="10"/>
  <c r="M64" i="10"/>
  <c r="Q64" i="10"/>
  <c r="E33" i="10" l="1"/>
  <c r="I33" i="10"/>
  <c r="N33" i="10"/>
  <c r="O33" i="10"/>
  <c r="P33" i="10"/>
  <c r="R33" i="10"/>
  <c r="S33" i="10"/>
  <c r="T33" i="10"/>
  <c r="E30" i="10"/>
  <c r="E29" i="10"/>
  <c r="H26" i="10"/>
  <c r="H25" i="10"/>
  <c r="F20" i="10"/>
  <c r="H19" i="10"/>
  <c r="H18" i="10"/>
  <c r="H17" i="10"/>
  <c r="M30" i="10" l="1"/>
  <c r="Q30" i="10"/>
  <c r="Q33" i="10"/>
  <c r="M29" i="10"/>
  <c r="Q29" i="10"/>
  <c r="M33" i="10"/>
  <c r="F23" i="10" l="1"/>
  <c r="G23" i="10"/>
  <c r="H23" i="10"/>
  <c r="J23" i="10"/>
  <c r="K23" i="10"/>
  <c r="L23" i="10"/>
  <c r="N11" i="10" l="1"/>
  <c r="P11" i="10"/>
  <c r="R11" i="10"/>
  <c r="T11" i="10"/>
  <c r="N12" i="10"/>
  <c r="R12" i="10"/>
  <c r="S12" i="10"/>
  <c r="T12" i="10"/>
  <c r="N13" i="10"/>
  <c r="R13" i="10"/>
  <c r="S13" i="10"/>
  <c r="T13" i="10"/>
  <c r="N14" i="10"/>
  <c r="R14" i="10"/>
  <c r="S14" i="10"/>
  <c r="T14" i="10"/>
  <c r="N15" i="10"/>
  <c r="R15" i="10"/>
  <c r="S15" i="10"/>
  <c r="T15" i="10"/>
  <c r="N16" i="10"/>
  <c r="O16" i="10"/>
  <c r="P16" i="10"/>
  <c r="R16" i="10"/>
  <c r="S16" i="10"/>
  <c r="T16" i="10"/>
  <c r="N17" i="10"/>
  <c r="R17" i="10"/>
  <c r="S17" i="10"/>
  <c r="T17" i="10"/>
  <c r="N18" i="10"/>
  <c r="R18" i="10"/>
  <c r="S18" i="10"/>
  <c r="R19" i="10"/>
  <c r="S19" i="10"/>
  <c r="O20" i="10"/>
  <c r="P20" i="10"/>
  <c r="S20" i="10"/>
  <c r="T20" i="10"/>
  <c r="O21" i="10"/>
  <c r="P21" i="10"/>
  <c r="R21" i="10"/>
  <c r="S21" i="10"/>
  <c r="T21" i="10"/>
  <c r="N22" i="10"/>
  <c r="O22" i="10"/>
  <c r="P22" i="10"/>
  <c r="R22" i="10"/>
  <c r="S22" i="10"/>
  <c r="T22" i="10"/>
  <c r="N24" i="10"/>
  <c r="O24" i="10"/>
  <c r="P24" i="10"/>
  <c r="R24" i="10"/>
  <c r="S24" i="10"/>
  <c r="T24" i="10"/>
  <c r="N25" i="10"/>
  <c r="O25" i="10"/>
  <c r="P25" i="10"/>
  <c r="R25" i="10"/>
  <c r="S25" i="10"/>
  <c r="T25" i="10"/>
  <c r="N26" i="10"/>
  <c r="O26" i="10"/>
  <c r="P26" i="10"/>
  <c r="R26" i="10"/>
  <c r="S26" i="10"/>
  <c r="T26" i="10"/>
  <c r="O27" i="10"/>
  <c r="P27" i="10"/>
  <c r="N28" i="10"/>
  <c r="O28" i="10"/>
  <c r="P28" i="10"/>
  <c r="N31" i="10"/>
  <c r="O31" i="10"/>
  <c r="P31" i="10"/>
  <c r="R31" i="10"/>
  <c r="S31" i="10"/>
  <c r="T31" i="10"/>
  <c r="N34" i="10"/>
  <c r="O34" i="10"/>
  <c r="P34" i="10"/>
  <c r="R34" i="10"/>
  <c r="S34" i="10"/>
  <c r="T34" i="10"/>
  <c r="N35" i="10"/>
  <c r="O35" i="10"/>
  <c r="P35" i="10"/>
  <c r="R35" i="10"/>
  <c r="S35" i="10"/>
  <c r="T35" i="10"/>
  <c r="N36" i="10"/>
  <c r="O36" i="10"/>
  <c r="R36" i="10"/>
  <c r="S36" i="10"/>
  <c r="N37" i="10"/>
  <c r="O37" i="10"/>
  <c r="P37" i="10"/>
  <c r="R37" i="10"/>
  <c r="S37" i="10"/>
  <c r="T37" i="10"/>
  <c r="N38" i="10"/>
  <c r="O38" i="10"/>
  <c r="P38" i="10"/>
  <c r="R38" i="10"/>
  <c r="S38" i="10"/>
  <c r="T38" i="10"/>
  <c r="R39" i="10"/>
  <c r="S39" i="10"/>
  <c r="T39" i="10"/>
  <c r="N40" i="10"/>
  <c r="O40" i="10"/>
  <c r="P40" i="10"/>
  <c r="R40" i="10"/>
  <c r="S40" i="10"/>
  <c r="T40" i="10"/>
  <c r="O42" i="10"/>
  <c r="P42" i="10"/>
  <c r="S42" i="10"/>
  <c r="T42" i="10"/>
  <c r="N45" i="10"/>
  <c r="O45" i="10"/>
  <c r="P45" i="10"/>
  <c r="R45" i="10"/>
  <c r="S45" i="10"/>
  <c r="T45" i="10"/>
  <c r="N46" i="10"/>
  <c r="O46" i="10"/>
  <c r="P46" i="10"/>
  <c r="R46" i="10"/>
  <c r="S46" i="10"/>
  <c r="T46" i="10"/>
  <c r="N47" i="10"/>
  <c r="R47" i="10"/>
  <c r="T47" i="10"/>
  <c r="N48" i="10"/>
  <c r="P48" i="10"/>
  <c r="R48" i="10"/>
  <c r="T48" i="10"/>
  <c r="N49" i="10"/>
  <c r="P49" i="10"/>
  <c r="R49" i="10"/>
  <c r="T49" i="10"/>
  <c r="O50" i="10"/>
  <c r="P50" i="10"/>
  <c r="S50" i="10"/>
  <c r="T50" i="10"/>
  <c r="N51" i="10"/>
  <c r="O51" i="10"/>
  <c r="P51" i="10"/>
  <c r="R51" i="10"/>
  <c r="S51" i="10"/>
  <c r="T51" i="10"/>
  <c r="N52" i="10"/>
  <c r="P52" i="10"/>
  <c r="R52" i="10"/>
  <c r="T52" i="10"/>
  <c r="O53" i="10"/>
  <c r="P53" i="10"/>
  <c r="R53" i="10"/>
  <c r="S53" i="10"/>
  <c r="T53" i="10"/>
  <c r="N54" i="10"/>
  <c r="P54" i="10"/>
  <c r="R54" i="10"/>
  <c r="T54" i="10"/>
  <c r="N55" i="10"/>
  <c r="O55" i="10"/>
  <c r="P55" i="10"/>
  <c r="R55" i="10"/>
  <c r="S55" i="10"/>
  <c r="T55" i="10"/>
  <c r="N56" i="10"/>
  <c r="O56" i="10"/>
  <c r="P56" i="10"/>
  <c r="R56" i="10"/>
  <c r="S56" i="10"/>
  <c r="T56" i="10"/>
  <c r="N57" i="10"/>
  <c r="O57" i="10"/>
  <c r="P57" i="10"/>
  <c r="R57" i="10"/>
  <c r="S57" i="10"/>
  <c r="T57" i="10"/>
  <c r="N58" i="10"/>
  <c r="O58" i="10"/>
  <c r="P58" i="10"/>
  <c r="R58" i="10"/>
  <c r="S58" i="10"/>
  <c r="T58" i="10"/>
  <c r="N61" i="10"/>
  <c r="O61" i="10"/>
  <c r="P61" i="10"/>
  <c r="R61" i="10"/>
  <c r="S61" i="10"/>
  <c r="T61" i="10"/>
  <c r="N62" i="10"/>
  <c r="O62" i="10"/>
  <c r="P62" i="10"/>
  <c r="R62" i="10"/>
  <c r="S62" i="10"/>
  <c r="T62" i="10"/>
  <c r="N68" i="10"/>
  <c r="O68" i="10"/>
  <c r="P68" i="10"/>
  <c r="R68" i="10"/>
  <c r="S68" i="10"/>
  <c r="T68" i="10"/>
  <c r="N69" i="10"/>
  <c r="O69" i="10"/>
  <c r="P69" i="10"/>
  <c r="R69" i="10"/>
  <c r="S69" i="10"/>
  <c r="T69" i="10"/>
  <c r="N70" i="10"/>
  <c r="O70" i="10"/>
  <c r="P70" i="10"/>
  <c r="R70" i="10"/>
  <c r="S70" i="10"/>
  <c r="T70" i="10"/>
  <c r="N73" i="10"/>
  <c r="O73" i="10"/>
  <c r="P73" i="10"/>
  <c r="R73" i="10"/>
  <c r="S73" i="10"/>
  <c r="T73" i="10"/>
  <c r="N77" i="10"/>
  <c r="O77" i="10"/>
  <c r="R77" i="10"/>
  <c r="S77" i="10"/>
  <c r="N78" i="10"/>
  <c r="O78" i="10"/>
  <c r="P78" i="10"/>
  <c r="R78" i="10"/>
  <c r="S78" i="10"/>
  <c r="T78" i="10"/>
  <c r="O79" i="10"/>
  <c r="P79" i="10"/>
  <c r="R79" i="10"/>
  <c r="S79" i="10"/>
  <c r="T79" i="10"/>
  <c r="N80" i="10"/>
  <c r="O80" i="10"/>
  <c r="P80" i="10"/>
  <c r="R80" i="10"/>
  <c r="S80" i="10"/>
  <c r="T80" i="10"/>
  <c r="N81" i="10"/>
  <c r="O81" i="10"/>
  <c r="P81" i="10"/>
  <c r="R81" i="10"/>
  <c r="S81" i="10"/>
  <c r="T81" i="10"/>
  <c r="N82" i="10"/>
  <c r="O82" i="10"/>
  <c r="P82" i="10"/>
  <c r="R82" i="10"/>
  <c r="S82" i="10"/>
  <c r="T82" i="10"/>
  <c r="N83" i="10"/>
  <c r="O83" i="10"/>
  <c r="P83" i="10"/>
  <c r="R83" i="10"/>
  <c r="S83" i="10"/>
  <c r="T83" i="10"/>
  <c r="N84" i="10"/>
  <c r="R84" i="10"/>
  <c r="T84" i="10"/>
  <c r="N85" i="10"/>
  <c r="O85" i="10"/>
  <c r="P85" i="10"/>
  <c r="R85" i="10"/>
  <c r="S85" i="10"/>
  <c r="T85" i="10"/>
  <c r="N86" i="10"/>
  <c r="O86" i="10"/>
  <c r="P86" i="10"/>
  <c r="R86" i="10"/>
  <c r="S86" i="10"/>
  <c r="T86" i="10"/>
  <c r="N87" i="10"/>
  <c r="O87" i="10"/>
  <c r="P87" i="10"/>
  <c r="R87" i="10"/>
  <c r="S87" i="10"/>
  <c r="T87" i="10"/>
  <c r="N88" i="10"/>
  <c r="O88" i="10"/>
  <c r="P88" i="10"/>
  <c r="R88" i="10"/>
  <c r="S88" i="10"/>
  <c r="T88" i="10"/>
  <c r="N89" i="10"/>
  <c r="O89" i="10"/>
  <c r="P89" i="10"/>
  <c r="R89" i="10"/>
  <c r="S89" i="10"/>
  <c r="T89" i="10"/>
  <c r="N91" i="10"/>
  <c r="O91" i="10"/>
  <c r="R91" i="10"/>
  <c r="S91" i="10"/>
  <c r="N117" i="10"/>
  <c r="O117" i="10"/>
  <c r="P117" i="10"/>
  <c r="R117" i="10"/>
  <c r="S117" i="10"/>
  <c r="T117" i="10"/>
  <c r="N118" i="10"/>
  <c r="O118" i="10"/>
  <c r="P118" i="10"/>
  <c r="R118" i="10"/>
  <c r="S118" i="10"/>
  <c r="T118" i="10"/>
  <c r="O119" i="10"/>
  <c r="P119" i="10"/>
  <c r="S119" i="10"/>
  <c r="T119" i="10"/>
  <c r="N120" i="10"/>
  <c r="O120" i="10"/>
  <c r="P120" i="10"/>
  <c r="R120" i="10"/>
  <c r="S120" i="10"/>
  <c r="T120" i="10"/>
  <c r="N121" i="10"/>
  <c r="O121" i="10"/>
  <c r="P121" i="10"/>
  <c r="R121" i="10"/>
  <c r="S121" i="10"/>
  <c r="T121" i="10"/>
  <c r="N122" i="10"/>
  <c r="O122" i="10"/>
  <c r="P122" i="10"/>
  <c r="R122" i="10"/>
  <c r="S122" i="10"/>
  <c r="T122" i="10"/>
  <c r="N123" i="10"/>
  <c r="O123" i="10"/>
  <c r="P123" i="10"/>
  <c r="R123" i="10"/>
  <c r="S123" i="10"/>
  <c r="T123" i="10"/>
  <c r="N126" i="10"/>
  <c r="O126" i="10"/>
  <c r="P126" i="10"/>
  <c r="R126" i="10"/>
  <c r="S126" i="10"/>
  <c r="T126" i="10"/>
  <c r="N127" i="10"/>
  <c r="O127" i="10"/>
  <c r="P127" i="10"/>
  <c r="R127" i="10"/>
  <c r="S127" i="10"/>
  <c r="T127" i="10"/>
  <c r="N128" i="10"/>
  <c r="O128" i="10"/>
  <c r="P128" i="10"/>
  <c r="R128" i="10"/>
  <c r="S128" i="10"/>
  <c r="T128" i="10"/>
  <c r="N129" i="10"/>
  <c r="O129" i="10"/>
  <c r="P129" i="10"/>
  <c r="R129" i="10"/>
  <c r="S129" i="10"/>
  <c r="T129" i="10"/>
  <c r="R130" i="10"/>
  <c r="S130" i="10"/>
  <c r="T130" i="10"/>
  <c r="N131" i="10"/>
  <c r="O131" i="10"/>
  <c r="P131" i="10"/>
  <c r="R131" i="10"/>
  <c r="S131" i="10"/>
  <c r="T131" i="10"/>
  <c r="R132" i="10"/>
  <c r="S132" i="10"/>
  <c r="T132" i="10"/>
  <c r="N133" i="10"/>
  <c r="O133" i="10"/>
  <c r="P133" i="10"/>
  <c r="R133" i="10"/>
  <c r="S133" i="10"/>
  <c r="T133" i="10"/>
  <c r="N134" i="10"/>
  <c r="O134" i="10"/>
  <c r="P134" i="10"/>
  <c r="R134" i="10"/>
  <c r="S134" i="10"/>
  <c r="T134" i="10"/>
  <c r="O136" i="10"/>
  <c r="P136" i="10"/>
  <c r="S136" i="10"/>
  <c r="T136" i="10"/>
  <c r="N138" i="10"/>
  <c r="O138" i="10"/>
  <c r="P138" i="10"/>
  <c r="R138" i="10"/>
  <c r="S138" i="10"/>
  <c r="T138" i="10"/>
  <c r="N142" i="10"/>
  <c r="O142" i="10"/>
  <c r="P142" i="10"/>
  <c r="R142" i="10"/>
  <c r="S142" i="10"/>
  <c r="T142" i="10"/>
  <c r="N143" i="10"/>
  <c r="O143" i="10"/>
  <c r="P143" i="10"/>
  <c r="R143" i="10"/>
  <c r="S143" i="10"/>
  <c r="T143" i="10"/>
  <c r="N145" i="10"/>
  <c r="O145" i="10"/>
  <c r="P145" i="10"/>
  <c r="R145" i="10"/>
  <c r="S145" i="10"/>
  <c r="T145" i="10"/>
  <c r="O146" i="10"/>
  <c r="P146" i="10"/>
  <c r="S146" i="10"/>
  <c r="T146" i="10"/>
  <c r="N147" i="10"/>
  <c r="O147" i="10"/>
  <c r="P147" i="10"/>
  <c r="R147" i="10"/>
  <c r="S147" i="10"/>
  <c r="T147" i="10"/>
  <c r="O148" i="10"/>
  <c r="P148" i="10"/>
  <c r="S148" i="10"/>
  <c r="T148" i="10"/>
  <c r="N149" i="10"/>
  <c r="O149" i="10"/>
  <c r="P149" i="10"/>
  <c r="R149" i="10"/>
  <c r="S149" i="10"/>
  <c r="T149" i="10"/>
  <c r="N150" i="10"/>
  <c r="O150" i="10"/>
  <c r="P150" i="10"/>
  <c r="R150" i="10"/>
  <c r="S150" i="10"/>
  <c r="T150" i="10"/>
  <c r="N155" i="10"/>
  <c r="O155" i="10"/>
  <c r="P155" i="10"/>
  <c r="R155" i="10"/>
  <c r="S155" i="10"/>
  <c r="T155" i="10"/>
  <c r="N158" i="10"/>
  <c r="O158" i="10"/>
  <c r="P158" i="10"/>
  <c r="R158" i="10"/>
  <c r="S158" i="10"/>
  <c r="T158" i="10"/>
  <c r="N159" i="10"/>
  <c r="O159" i="10"/>
  <c r="P159" i="10"/>
  <c r="R159" i="10"/>
  <c r="S159" i="10"/>
  <c r="T159" i="10"/>
  <c r="N160" i="10"/>
  <c r="O160" i="10"/>
  <c r="P160" i="10"/>
  <c r="R160" i="10"/>
  <c r="S160" i="10"/>
  <c r="T160" i="10"/>
  <c r="R161" i="10"/>
  <c r="S161" i="10"/>
  <c r="T161" i="10"/>
  <c r="N163" i="10"/>
  <c r="O163" i="10"/>
  <c r="P163" i="10"/>
  <c r="R163" i="10"/>
  <c r="S163" i="10"/>
  <c r="T163" i="10"/>
  <c r="N164" i="10"/>
  <c r="O164" i="10"/>
  <c r="P164" i="10"/>
  <c r="R164" i="10"/>
  <c r="S164" i="10"/>
  <c r="T164" i="10"/>
  <c r="N165" i="10"/>
  <c r="O165" i="10"/>
  <c r="P165" i="10"/>
  <c r="R165" i="10"/>
  <c r="S165" i="10"/>
  <c r="T165" i="10"/>
  <c r="R166" i="10"/>
  <c r="S166" i="10"/>
  <c r="T166" i="10"/>
  <c r="N168" i="10"/>
  <c r="O168" i="10"/>
  <c r="P168" i="10"/>
  <c r="R168" i="10"/>
  <c r="S168" i="10"/>
  <c r="T168" i="10"/>
  <c r="N169" i="10"/>
  <c r="O169" i="10"/>
  <c r="P169" i="10"/>
  <c r="R169" i="10"/>
  <c r="S169" i="10"/>
  <c r="T169" i="10"/>
  <c r="N170" i="10"/>
  <c r="O170" i="10"/>
  <c r="P170" i="10"/>
  <c r="R170" i="10"/>
  <c r="S170" i="10"/>
  <c r="T170" i="10"/>
  <c r="N171" i="10"/>
  <c r="O171" i="10"/>
  <c r="P171" i="10"/>
  <c r="R171" i="10"/>
  <c r="S171" i="10"/>
  <c r="T171" i="10"/>
  <c r="N173" i="10"/>
  <c r="R173" i="10"/>
  <c r="S173" i="10"/>
  <c r="T173" i="10"/>
  <c r="N174" i="10"/>
  <c r="O174" i="10"/>
  <c r="P174" i="10"/>
  <c r="R174" i="10"/>
  <c r="S174" i="10"/>
  <c r="T174" i="10"/>
  <c r="N175" i="10"/>
  <c r="O175" i="10"/>
  <c r="P175" i="10"/>
  <c r="R175" i="10"/>
  <c r="S175" i="10"/>
  <c r="T175" i="10"/>
  <c r="N176" i="10"/>
  <c r="R176" i="10"/>
  <c r="N177" i="10"/>
  <c r="O177" i="10"/>
  <c r="P177" i="10"/>
  <c r="R177" i="10"/>
  <c r="S177" i="10"/>
  <c r="T177" i="10"/>
  <c r="N178" i="10"/>
  <c r="O178" i="10"/>
  <c r="P178" i="10"/>
  <c r="R178" i="10"/>
  <c r="S178" i="10"/>
  <c r="T178" i="10"/>
  <c r="N182" i="10"/>
  <c r="O182" i="10"/>
  <c r="P182" i="10"/>
  <c r="R182" i="10"/>
  <c r="S182" i="10"/>
  <c r="T182" i="10"/>
  <c r="O183" i="10"/>
  <c r="P183" i="10"/>
  <c r="R183" i="10"/>
  <c r="S183" i="10"/>
  <c r="T183" i="10"/>
  <c r="N184" i="10"/>
  <c r="O184" i="10"/>
  <c r="P184" i="10"/>
  <c r="R184" i="10"/>
  <c r="S184" i="10"/>
  <c r="T184" i="10"/>
  <c r="N185" i="10"/>
  <c r="O185" i="10"/>
  <c r="P185" i="10"/>
  <c r="R185" i="10"/>
  <c r="S185" i="10"/>
  <c r="T185" i="10"/>
  <c r="N186" i="10"/>
  <c r="O186" i="10"/>
  <c r="P186" i="10"/>
  <c r="R186" i="10"/>
  <c r="S186" i="10"/>
  <c r="T186" i="10"/>
  <c r="O187" i="10"/>
  <c r="P187" i="10"/>
  <c r="S187" i="10"/>
  <c r="T187" i="10"/>
  <c r="N188" i="10"/>
  <c r="O188" i="10"/>
  <c r="P188" i="10"/>
  <c r="R188" i="10"/>
  <c r="S188" i="10"/>
  <c r="T188" i="10"/>
  <c r="N189" i="10"/>
  <c r="O189" i="10"/>
  <c r="P189" i="10"/>
  <c r="R189" i="10"/>
  <c r="S189" i="10"/>
  <c r="T189" i="10"/>
  <c r="N192" i="10"/>
  <c r="O192" i="10"/>
  <c r="P192" i="10"/>
  <c r="R192" i="10"/>
  <c r="S192" i="10"/>
  <c r="T192" i="10"/>
  <c r="N193" i="10"/>
  <c r="O193" i="10"/>
  <c r="P193" i="10"/>
  <c r="R193" i="10"/>
  <c r="S193" i="10"/>
  <c r="T193" i="10"/>
  <c r="N194" i="10"/>
  <c r="O194" i="10"/>
  <c r="P194" i="10"/>
  <c r="R194" i="10"/>
  <c r="S194" i="10"/>
  <c r="T194" i="10"/>
  <c r="N195" i="10"/>
  <c r="O195" i="10"/>
  <c r="P195" i="10"/>
  <c r="R195" i="10"/>
  <c r="S195" i="10"/>
  <c r="T195" i="10"/>
  <c r="N196" i="10"/>
  <c r="R196" i="10"/>
  <c r="S196" i="10"/>
  <c r="T196" i="10"/>
  <c r="O176" i="10" l="1"/>
  <c r="S176" i="10"/>
  <c r="P176" i="10"/>
  <c r="T176" i="10"/>
  <c r="S54" i="10"/>
  <c r="S11" i="10"/>
  <c r="O52" i="10" l="1"/>
  <c r="S52" i="10"/>
  <c r="S47" i="10"/>
  <c r="S84" i="10"/>
  <c r="S48" i="10"/>
  <c r="O48" i="10"/>
  <c r="S49" i="10"/>
  <c r="L181" i="10"/>
  <c r="K181" i="10"/>
  <c r="F181" i="10"/>
  <c r="E185" i="10"/>
  <c r="I166" i="10"/>
  <c r="L10" i="10"/>
  <c r="K10" i="10"/>
  <c r="H10" i="10"/>
  <c r="H9" i="10" s="1"/>
  <c r="G10" i="10"/>
  <c r="G9" i="10" s="1"/>
  <c r="I27" i="10"/>
  <c r="E27" i="10"/>
  <c r="Q27" i="10" l="1"/>
  <c r="N42" i="10"/>
  <c r="R42" i="10"/>
  <c r="S10" i="10"/>
  <c r="R148" i="10"/>
  <c r="N148" i="10"/>
  <c r="P10" i="10"/>
  <c r="T10" i="10"/>
  <c r="R50" i="10"/>
  <c r="N50" i="10"/>
  <c r="J181" i="10"/>
  <c r="R187" i="10"/>
  <c r="N187" i="10"/>
  <c r="N119" i="10"/>
  <c r="R119" i="10"/>
  <c r="N136" i="10"/>
  <c r="R136" i="10"/>
  <c r="N20" i="10"/>
  <c r="R20" i="10"/>
  <c r="N146" i="10"/>
  <c r="R146" i="10"/>
  <c r="I185" i="10"/>
  <c r="R181" i="10" l="1"/>
  <c r="N181" i="10"/>
  <c r="Q185" i="10"/>
  <c r="M185" i="10"/>
  <c r="G181" i="10"/>
  <c r="H181" i="10"/>
  <c r="I188" i="10"/>
  <c r="E188" i="10"/>
  <c r="I177" i="10"/>
  <c r="I178" i="10"/>
  <c r="E177" i="10"/>
  <c r="E178" i="10"/>
  <c r="I147" i="10"/>
  <c r="E147" i="10"/>
  <c r="I143" i="10"/>
  <c r="E143" i="10"/>
  <c r="I138" i="10"/>
  <c r="E138" i="10"/>
  <c r="E127" i="10"/>
  <c r="I127" i="10"/>
  <c r="I91" i="10"/>
  <c r="E91" i="10"/>
  <c r="N157" i="10" l="1"/>
  <c r="R157" i="10"/>
  <c r="T91" i="10"/>
  <c r="P91" i="10"/>
  <c r="N125" i="10"/>
  <c r="R125" i="10"/>
  <c r="P181" i="10"/>
  <c r="T181" i="10"/>
  <c r="O181" i="10"/>
  <c r="S181" i="10"/>
  <c r="Q188" i="10"/>
  <c r="M188" i="10"/>
  <c r="M147" i="10"/>
  <c r="Q147" i="10"/>
  <c r="M127" i="10"/>
  <c r="Q127" i="10"/>
  <c r="O76" i="10"/>
  <c r="S76" i="10"/>
  <c r="M91" i="10"/>
  <c r="Q91" i="10"/>
  <c r="L124" i="10"/>
  <c r="P125" i="10"/>
  <c r="T125" i="10"/>
  <c r="P77" i="10"/>
  <c r="T77" i="10"/>
  <c r="Q138" i="10"/>
  <c r="M138" i="10"/>
  <c r="K124" i="10"/>
  <c r="O125" i="10"/>
  <c r="S125" i="10"/>
  <c r="N76" i="10"/>
  <c r="R76" i="10"/>
  <c r="M178" i="10"/>
  <c r="Q178" i="10"/>
  <c r="M143" i="10"/>
  <c r="Q143" i="10"/>
  <c r="Q177" i="10"/>
  <c r="M177" i="10"/>
  <c r="I85" i="10"/>
  <c r="E85" i="10"/>
  <c r="M85" i="10" l="1"/>
  <c r="Q85" i="10"/>
  <c r="P76" i="10"/>
  <c r="T76" i="10"/>
  <c r="T18" i="10"/>
  <c r="P36" i="10" l="1"/>
  <c r="T36" i="10"/>
  <c r="T19" i="10"/>
  <c r="I31" i="10"/>
  <c r="E31" i="10"/>
  <c r="F10" i="10"/>
  <c r="F9" i="10" s="1"/>
  <c r="M31" i="10" l="1"/>
  <c r="Q31" i="10"/>
  <c r="E10" i="10"/>
  <c r="I170" i="10" l="1"/>
  <c r="E170" i="10"/>
  <c r="M170" i="10" l="1"/>
  <c r="Q170" i="10"/>
  <c r="T157" i="10" l="1"/>
  <c r="P157" i="10"/>
  <c r="S157" i="10"/>
  <c r="O157" i="10"/>
  <c r="I40" i="10"/>
  <c r="E40" i="10"/>
  <c r="I39" i="10"/>
  <c r="E39" i="10"/>
  <c r="I28" i="10"/>
  <c r="E28" i="10"/>
  <c r="Q28" i="10" l="1"/>
  <c r="M28" i="10"/>
  <c r="Q39" i="10"/>
  <c r="Q40" i="10"/>
  <c r="M40" i="10"/>
  <c r="I129" i="10"/>
  <c r="E122" i="10"/>
  <c r="I122" i="10"/>
  <c r="M129" i="10" l="1"/>
  <c r="Q129" i="10"/>
  <c r="Q122" i="10"/>
  <c r="M122" i="10"/>
  <c r="T44" i="10" l="1"/>
  <c r="S44" i="10"/>
  <c r="I62" i="10"/>
  <c r="E62" i="10"/>
  <c r="I57" i="10"/>
  <c r="E57" i="10"/>
  <c r="M57" i="10" l="1"/>
  <c r="Q57" i="10"/>
  <c r="M62" i="10"/>
  <c r="Q62" i="10"/>
  <c r="I42" i="10"/>
  <c r="E42" i="10"/>
  <c r="Q42" i="10" l="1"/>
  <c r="M42" i="10"/>
  <c r="R44" i="10"/>
  <c r="N44" i="10"/>
  <c r="I189" i="10"/>
  <c r="E189" i="10"/>
  <c r="I183" i="10"/>
  <c r="E183" i="10"/>
  <c r="I173" i="10"/>
  <c r="E173" i="10"/>
  <c r="I171" i="10"/>
  <c r="E171" i="10"/>
  <c r="I164" i="10"/>
  <c r="E164" i="10"/>
  <c r="I158" i="10"/>
  <c r="E158" i="10"/>
  <c r="I155" i="10"/>
  <c r="E155" i="10"/>
  <c r="I132" i="10"/>
  <c r="E132" i="10"/>
  <c r="Q132" i="10" l="1"/>
  <c r="Q183" i="10"/>
  <c r="M171" i="10"/>
  <c r="Q171" i="10"/>
  <c r="Q155" i="10"/>
  <c r="M155" i="10"/>
  <c r="Q173" i="10"/>
  <c r="M189" i="10"/>
  <c r="Q189" i="10"/>
  <c r="Q158" i="10"/>
  <c r="M158" i="10"/>
  <c r="Q164" i="10"/>
  <c r="M164" i="10"/>
  <c r="I73" i="10"/>
  <c r="E73" i="10"/>
  <c r="I68" i="10"/>
  <c r="E68" i="10"/>
  <c r="Q73" i="10" l="1"/>
  <c r="M73" i="10"/>
  <c r="Q68" i="10"/>
  <c r="M68" i="10"/>
  <c r="I21" i="10"/>
  <c r="E21" i="10"/>
  <c r="Q21" i="10" l="1"/>
  <c r="E25" i="10"/>
  <c r="E26" i="10"/>
  <c r="E34" i="10"/>
  <c r="E24" i="10"/>
  <c r="I81" i="10" l="1"/>
  <c r="I36" i="10" l="1"/>
  <c r="J10" i="10"/>
  <c r="N10" i="10" l="1"/>
  <c r="R10" i="10"/>
  <c r="I150" i="10"/>
  <c r="E150" i="10"/>
  <c r="M150" i="10" l="1"/>
  <c r="Q150" i="10"/>
  <c r="I149" i="10"/>
  <c r="E160" i="10" l="1"/>
  <c r="E161" i="10"/>
  <c r="E159" i="10"/>
  <c r="E149" i="10" l="1"/>
  <c r="M149" i="10" l="1"/>
  <c r="Q149" i="10"/>
  <c r="H8" i="10"/>
  <c r="G8" i="10"/>
  <c r="E58" i="10" l="1"/>
  <c r="E166" i="10" l="1"/>
  <c r="Q166" i="10" s="1"/>
  <c r="I165" i="10"/>
  <c r="E165" i="10"/>
  <c r="I161" i="10"/>
  <c r="Q161" i="10" s="1"/>
  <c r="I145" i="10"/>
  <c r="E145" i="10"/>
  <c r="I133" i="10"/>
  <c r="E133" i="10"/>
  <c r="Q133" i="10" l="1"/>
  <c r="M133" i="10"/>
  <c r="Q145" i="10"/>
  <c r="M145" i="10"/>
  <c r="M165" i="10"/>
  <c r="Q165" i="10"/>
  <c r="I53" i="10"/>
  <c r="E53" i="10"/>
  <c r="I37" i="10"/>
  <c r="E37" i="10"/>
  <c r="I15" i="10"/>
  <c r="Q37" i="10" l="1"/>
  <c r="M37" i="10"/>
  <c r="Q53" i="10"/>
  <c r="E16" i="10" l="1"/>
  <c r="I14" i="10" l="1"/>
  <c r="I175" i="10"/>
  <c r="E175" i="10"/>
  <c r="E169" i="10"/>
  <c r="I186" i="10"/>
  <c r="E186" i="10"/>
  <c r="I160" i="10"/>
  <c r="M160" i="10" l="1"/>
  <c r="Q160" i="10"/>
  <c r="M186" i="10"/>
  <c r="Q186" i="10"/>
  <c r="M175" i="10"/>
  <c r="Q175" i="10"/>
  <c r="I34" i="10"/>
  <c r="I13" i="10"/>
  <c r="I12" i="10"/>
  <c r="I11" i="10"/>
  <c r="I16" i="10"/>
  <c r="N9" i="10" l="1"/>
  <c r="N23" i="10"/>
  <c r="R23" i="10"/>
  <c r="Q34" i="10"/>
  <c r="M34" i="10"/>
  <c r="Q16" i="10"/>
  <c r="M16" i="10"/>
  <c r="I10" i="10"/>
  <c r="J124" i="10"/>
  <c r="I130" i="10"/>
  <c r="E130" i="10"/>
  <c r="I118" i="10"/>
  <c r="E118" i="10"/>
  <c r="M118" i="10" l="1"/>
  <c r="Q118" i="10"/>
  <c r="Q130" i="10"/>
  <c r="M10" i="10"/>
  <c r="Q10" i="10"/>
  <c r="E35" i="10"/>
  <c r="G43" i="10" l="1"/>
  <c r="R9" i="10" l="1"/>
  <c r="G180" i="10"/>
  <c r="H180" i="10"/>
  <c r="I45" i="10" l="1"/>
  <c r="I163" i="10" l="1"/>
  <c r="E163" i="10"/>
  <c r="M163" i="10" l="1"/>
  <c r="Q163" i="10"/>
  <c r="K191" i="10"/>
  <c r="L191" i="10"/>
  <c r="G191" i="10"/>
  <c r="H191" i="10"/>
  <c r="F191" i="10"/>
  <c r="I169" i="10"/>
  <c r="I123" i="10"/>
  <c r="I120" i="10"/>
  <c r="I121" i="10"/>
  <c r="I117" i="10"/>
  <c r="I58" i="10"/>
  <c r="T191" i="10" l="1"/>
  <c r="M169" i="10"/>
  <c r="Q169" i="10"/>
  <c r="N191" i="10"/>
  <c r="R191" i="10"/>
  <c r="S191" i="10"/>
  <c r="Q58" i="10"/>
  <c r="M58" i="10"/>
  <c r="I119" i="10"/>
  <c r="I44" i="10"/>
  <c r="K43" i="10"/>
  <c r="S43" i="10" l="1"/>
  <c r="I43" i="10"/>
  <c r="J43" i="10"/>
  <c r="O23" i="10" l="1"/>
  <c r="S23" i="10"/>
  <c r="T23" i="10"/>
  <c r="P23" i="10"/>
  <c r="I9" i="10"/>
  <c r="I23" i="10"/>
  <c r="T9" i="10" l="1"/>
  <c r="S9" i="10"/>
  <c r="I184" i="10"/>
  <c r="E184" i="10"/>
  <c r="E176" i="10"/>
  <c r="Q184" i="10" l="1"/>
  <c r="M184" i="10"/>
  <c r="I176" i="10"/>
  <c r="E148" i="10"/>
  <c r="E146" i="10"/>
  <c r="I19" i="10"/>
  <c r="E19" i="10"/>
  <c r="E20" i="10"/>
  <c r="Q19" i="10" l="1"/>
  <c r="M176" i="10"/>
  <c r="Q176" i="10"/>
  <c r="I148" i="10"/>
  <c r="I35" i="10"/>
  <c r="I146" i="10"/>
  <c r="I20" i="10"/>
  <c r="I181" i="10"/>
  <c r="M146" i="10" l="1"/>
  <c r="Q146" i="10"/>
  <c r="Q148" i="10"/>
  <c r="M148" i="10"/>
  <c r="M20" i="10"/>
  <c r="Q20" i="10"/>
  <c r="Q35" i="10"/>
  <c r="M35" i="10"/>
  <c r="I76" i="10"/>
  <c r="E61" i="10" l="1"/>
  <c r="I174" i="10" l="1"/>
  <c r="E174" i="10"/>
  <c r="Q174" i="10" l="1"/>
  <c r="M174" i="10"/>
  <c r="H156" i="10"/>
  <c r="G156" i="10" l="1"/>
  <c r="I38" i="10" l="1"/>
  <c r="E38" i="10"/>
  <c r="Q38" i="10" l="1"/>
  <c r="M38" i="10"/>
  <c r="I168" i="10"/>
  <c r="E168" i="10"/>
  <c r="I128" i="10"/>
  <c r="E128" i="10"/>
  <c r="Q128" i="10" l="1"/>
  <c r="M128" i="10"/>
  <c r="M168" i="10"/>
  <c r="Q168" i="10"/>
  <c r="E182" i="10"/>
  <c r="E187" i="10" l="1"/>
  <c r="I131" i="10" l="1"/>
  <c r="E131" i="10"/>
  <c r="M131" i="10" l="1"/>
  <c r="Q131" i="10"/>
  <c r="E134" i="10"/>
  <c r="I46" i="10" l="1"/>
  <c r="E46" i="10"/>
  <c r="M46" i="10" l="1"/>
  <c r="Q46" i="10"/>
  <c r="I195" i="10"/>
  <c r="E195" i="10"/>
  <c r="Q195" i="10" l="1"/>
  <c r="M195" i="10"/>
  <c r="E49" i="10"/>
  <c r="I61" i="10" l="1"/>
  <c r="M61" i="10" l="1"/>
  <c r="Q61" i="10"/>
  <c r="E18" i="10"/>
  <c r="E17" i="10"/>
  <c r="E15" i="10"/>
  <c r="I18" i="10"/>
  <c r="I17" i="10"/>
  <c r="Q17" i="10" l="1"/>
  <c r="M17" i="10"/>
  <c r="M18" i="10"/>
  <c r="Q18" i="10"/>
  <c r="M15" i="10"/>
  <c r="Q15" i="10"/>
  <c r="I56" i="10"/>
  <c r="I55" i="10"/>
  <c r="I51" i="10"/>
  <c r="I50" i="10"/>
  <c r="E196" i="10"/>
  <c r="E51" i="10"/>
  <c r="E50" i="10"/>
  <c r="E56" i="10"/>
  <c r="E55" i="10"/>
  <c r="I49" i="10"/>
  <c r="I48" i="10"/>
  <c r="I196" i="10"/>
  <c r="Q50" i="10" l="1"/>
  <c r="M50" i="10"/>
  <c r="M56" i="10"/>
  <c r="Q56" i="10"/>
  <c r="M51" i="10"/>
  <c r="Q51" i="10"/>
  <c r="M196" i="10"/>
  <c r="Q196" i="10"/>
  <c r="Q48" i="10"/>
  <c r="M49" i="10"/>
  <c r="Q49" i="10"/>
  <c r="Q55" i="10"/>
  <c r="M55" i="10"/>
  <c r="I191" i="10"/>
  <c r="I125" i="10"/>
  <c r="I157" i="10"/>
  <c r="E48" i="10"/>
  <c r="M48" i="10" s="1"/>
  <c r="E36" i="10" l="1"/>
  <c r="E194" i="10"/>
  <c r="H190" i="10"/>
  <c r="G190" i="10"/>
  <c r="F190" i="10"/>
  <c r="E142" i="10"/>
  <c r="E126" i="10"/>
  <c r="E123" i="10"/>
  <c r="E121" i="10"/>
  <c r="E120" i="10"/>
  <c r="E119" i="10"/>
  <c r="E117" i="10"/>
  <c r="E89" i="10"/>
  <c r="E88" i="10"/>
  <c r="E87" i="10"/>
  <c r="E86" i="10"/>
  <c r="E84" i="10"/>
  <c r="E83" i="10"/>
  <c r="E82" i="10"/>
  <c r="E81" i="10"/>
  <c r="E80" i="10"/>
  <c r="E79" i="10"/>
  <c r="E78" i="10"/>
  <c r="E77" i="10"/>
  <c r="H75" i="10"/>
  <c r="G75" i="10"/>
  <c r="E70" i="10"/>
  <c r="E69" i="10"/>
  <c r="E54" i="10"/>
  <c r="E52" i="10"/>
  <c r="E45" i="10"/>
  <c r="H43" i="10"/>
  <c r="F43" i="10"/>
  <c r="E22" i="10"/>
  <c r="Q36" i="10" l="1"/>
  <c r="M36" i="10"/>
  <c r="Q119" i="10"/>
  <c r="M119" i="10"/>
  <c r="M117" i="10"/>
  <c r="Q117" i="10"/>
  <c r="M14" i="10"/>
  <c r="Q14" i="10"/>
  <c r="M45" i="10"/>
  <c r="Q45" i="10"/>
  <c r="Q13" i="10"/>
  <c r="M13" i="10"/>
  <c r="M123" i="10"/>
  <c r="Q123" i="10"/>
  <c r="M12" i="10"/>
  <c r="Q12" i="10"/>
  <c r="Q120" i="10"/>
  <c r="M120" i="10"/>
  <c r="M121" i="10"/>
  <c r="Q121" i="10"/>
  <c r="N43" i="10"/>
  <c r="R43" i="10"/>
  <c r="M81" i="10"/>
  <c r="Q81" i="10"/>
  <c r="H124" i="10"/>
  <c r="G124" i="10"/>
  <c r="F124" i="10"/>
  <c r="E76" i="10"/>
  <c r="E47" i="10"/>
  <c r="E136" i="10"/>
  <c r="E23" i="10"/>
  <c r="F156" i="10"/>
  <c r="F180" i="10"/>
  <c r="E191" i="10"/>
  <c r="Q11" i="10" l="1"/>
  <c r="M11" i="10"/>
  <c r="M23" i="10"/>
  <c r="Q23" i="10"/>
  <c r="M76" i="10"/>
  <c r="Q76" i="10"/>
  <c r="N124" i="10"/>
  <c r="R124" i="10"/>
  <c r="S124" i="10"/>
  <c r="O124" i="10"/>
  <c r="Q191" i="10"/>
  <c r="M191" i="10"/>
  <c r="T124" i="10"/>
  <c r="P124" i="10"/>
  <c r="H197" i="10"/>
  <c r="G197" i="10"/>
  <c r="E75" i="10"/>
  <c r="E190" i="10"/>
  <c r="E157" i="10"/>
  <c r="E44" i="10"/>
  <c r="F75" i="10"/>
  <c r="E125" i="10"/>
  <c r="E181" i="10"/>
  <c r="E9" i="10"/>
  <c r="F8" i="10"/>
  <c r="M157" i="10" l="1"/>
  <c r="Q157" i="10"/>
  <c r="Q44" i="10"/>
  <c r="M44" i="10"/>
  <c r="Q181" i="10"/>
  <c r="M181" i="10"/>
  <c r="Q125" i="10"/>
  <c r="M125" i="10"/>
  <c r="E8" i="10"/>
  <c r="M9" i="10"/>
  <c r="F197" i="10"/>
  <c r="E197" i="10" s="1"/>
  <c r="E180" i="10"/>
  <c r="E43" i="10"/>
  <c r="E156" i="10"/>
  <c r="E124" i="10"/>
  <c r="M43" i="10" l="1"/>
  <c r="Q43" i="10"/>
  <c r="I22" i="10"/>
  <c r="I24" i="10"/>
  <c r="I25" i="10"/>
  <c r="I26" i="10"/>
  <c r="I47" i="10"/>
  <c r="I52" i="10"/>
  <c r="I54" i="10"/>
  <c r="I69" i="10"/>
  <c r="I70" i="10"/>
  <c r="I77" i="10"/>
  <c r="I78" i="10"/>
  <c r="I79" i="10"/>
  <c r="I80" i="10"/>
  <c r="I82" i="10"/>
  <c r="I83" i="10"/>
  <c r="I84" i="10"/>
  <c r="I86" i="10"/>
  <c r="I87" i="10"/>
  <c r="I88" i="10"/>
  <c r="I89" i="10"/>
  <c r="I126" i="10"/>
  <c r="I134" i="10"/>
  <c r="I136" i="10"/>
  <c r="I142" i="10"/>
  <c r="I159" i="10"/>
  <c r="I182" i="10"/>
  <c r="I187" i="10"/>
  <c r="I192" i="10"/>
  <c r="I193" i="10"/>
  <c r="I194" i="10"/>
  <c r="Q182" i="10" l="1"/>
  <c r="M182" i="10"/>
  <c r="M142" i="10"/>
  <c r="Q142" i="10"/>
  <c r="M70" i="10"/>
  <c r="Q70" i="10"/>
  <c r="M88" i="10"/>
  <c r="Q88" i="10"/>
  <c r="Q86" i="10"/>
  <c r="M86" i="10"/>
  <c r="Q77" i="10"/>
  <c r="M77" i="10"/>
  <c r="Q89" i="10"/>
  <c r="M89" i="10"/>
  <c r="M54" i="10"/>
  <c r="Q54" i="10"/>
  <c r="Q47" i="10"/>
  <c r="M47" i="10"/>
  <c r="Q24" i="10"/>
  <c r="M24" i="10"/>
  <c r="Q187" i="10"/>
  <c r="M187" i="10"/>
  <c r="M69" i="10"/>
  <c r="Q69" i="10"/>
  <c r="M87" i="10"/>
  <c r="Q87" i="10"/>
  <c r="M84" i="10"/>
  <c r="Q84" i="10"/>
  <c r="Q25" i="10"/>
  <c r="M25" i="10"/>
  <c r="M136" i="10"/>
  <c r="Q136" i="10"/>
  <c r="M134" i="10"/>
  <c r="Q134" i="10"/>
  <c r="M26" i="10"/>
  <c r="Q26" i="10"/>
  <c r="M82" i="10"/>
  <c r="Q82" i="10"/>
  <c r="M194" i="10"/>
  <c r="Q194" i="10"/>
  <c r="Q193" i="10"/>
  <c r="M193" i="10"/>
  <c r="M159" i="10"/>
  <c r="Q159" i="10"/>
  <c r="M52" i="10"/>
  <c r="Q52" i="10"/>
  <c r="M126" i="10"/>
  <c r="Q126" i="10"/>
  <c r="Q83" i="10"/>
  <c r="M83" i="10"/>
  <c r="Q80" i="10"/>
  <c r="M80" i="10"/>
  <c r="Q22" i="10"/>
  <c r="M22" i="10"/>
  <c r="Q79" i="10"/>
  <c r="Q192" i="10"/>
  <c r="M192" i="10"/>
  <c r="M78" i="10"/>
  <c r="Q78" i="10"/>
  <c r="K8" i="10"/>
  <c r="J156" i="10"/>
  <c r="J190" i="10"/>
  <c r="K190" i="10"/>
  <c r="S190" i="10" s="1"/>
  <c r="L190" i="10"/>
  <c r="T190" i="10" s="1"/>
  <c r="K180" i="10"/>
  <c r="L180" i="10"/>
  <c r="L156" i="10"/>
  <c r="L75" i="10"/>
  <c r="L43" i="10"/>
  <c r="T43" i="10" s="1"/>
  <c r="K75" i="10"/>
  <c r="J180" i="10"/>
  <c r="K156" i="10"/>
  <c r="J75" i="10"/>
  <c r="O180" i="10" l="1"/>
  <c r="S180" i="10"/>
  <c r="R75" i="10"/>
  <c r="N75" i="10"/>
  <c r="N180" i="10"/>
  <c r="R180" i="10"/>
  <c r="N156" i="10"/>
  <c r="R156" i="10"/>
  <c r="P180" i="10"/>
  <c r="T180" i="10"/>
  <c r="S75" i="10"/>
  <c r="O75" i="10"/>
  <c r="S156" i="10"/>
  <c r="O156" i="10"/>
  <c r="R190" i="10"/>
  <c r="N190" i="10"/>
  <c r="T75" i="10"/>
  <c r="P75" i="10"/>
  <c r="T156" i="10"/>
  <c r="P156" i="10"/>
  <c r="Q9" i="10"/>
  <c r="K197" i="10"/>
  <c r="I190" i="10"/>
  <c r="I180" i="10"/>
  <c r="I156" i="10"/>
  <c r="I124" i="10"/>
  <c r="L8" i="10"/>
  <c r="I75" i="10"/>
  <c r="J8" i="10"/>
  <c r="M75" i="10" l="1"/>
  <c r="Q75" i="10"/>
  <c r="O197" i="10"/>
  <c r="S197" i="10"/>
  <c r="M124" i="10"/>
  <c r="Q124" i="10"/>
  <c r="M156" i="10"/>
  <c r="Q156" i="10"/>
  <c r="M180" i="10"/>
  <c r="Q180" i="10"/>
  <c r="Q190" i="10"/>
  <c r="M190" i="10"/>
  <c r="J197" i="10"/>
  <c r="N8" i="10"/>
  <c r="L197" i="10"/>
  <c r="I8" i="10"/>
  <c r="T8" i="10"/>
  <c r="S8" i="10"/>
  <c r="R8" i="10"/>
  <c r="P197" i="10" l="1"/>
  <c r="T197" i="10"/>
  <c r="N197" i="10"/>
  <c r="R197" i="10"/>
  <c r="Q8" i="10"/>
  <c r="M8" i="10"/>
  <c r="I197" i="10"/>
  <c r="M197" i="10" l="1"/>
  <c r="Q197" i="10"/>
</calcChain>
</file>

<file path=xl/sharedStrings.xml><?xml version="1.0" encoding="utf-8"?>
<sst xmlns="http://schemas.openxmlformats.org/spreadsheetml/2006/main" count="711" uniqueCount="441">
  <si>
    <t>бюджет розвитку</t>
  </si>
  <si>
    <t>РАЗОМ</t>
  </si>
  <si>
    <t>Реверсна дотація</t>
  </si>
  <si>
    <t>0111</t>
  </si>
  <si>
    <t>1090</t>
  </si>
  <si>
    <t>0320</t>
  </si>
  <si>
    <t>0133</t>
  </si>
  <si>
    <t>0620</t>
  </si>
  <si>
    <t>0180</t>
  </si>
  <si>
    <t>1010</t>
  </si>
  <si>
    <t>0910</t>
  </si>
  <si>
    <t>1020</t>
  </si>
  <si>
    <t>0921</t>
  </si>
  <si>
    <t>1030</t>
  </si>
  <si>
    <t>0922</t>
  </si>
  <si>
    <t>0960</t>
  </si>
  <si>
    <t>0990</t>
  </si>
  <si>
    <t>1040</t>
  </si>
  <si>
    <t>0810</t>
  </si>
  <si>
    <t>Утримання та навчально-тренувальна робота комунальних дитячо-юнацьких спортивних шкіл</t>
  </si>
  <si>
    <t>0490</t>
  </si>
  <si>
    <t>1100000</t>
  </si>
  <si>
    <t>1110000</t>
  </si>
  <si>
    <t>5011</t>
  </si>
  <si>
    <t>1115011</t>
  </si>
  <si>
    <t>1500000</t>
  </si>
  <si>
    <t>1510000</t>
  </si>
  <si>
    <t>1060</t>
  </si>
  <si>
    <t>2010</t>
  </si>
  <si>
    <t>0731</t>
  </si>
  <si>
    <t>0722</t>
  </si>
  <si>
    <t>3031</t>
  </si>
  <si>
    <t>1070</t>
  </si>
  <si>
    <t>Надання пільг окремим категоріям громадян з оплати послуг зв'язку</t>
  </si>
  <si>
    <t>3112</t>
  </si>
  <si>
    <t>4060</t>
  </si>
  <si>
    <t>0824</t>
  </si>
  <si>
    <t>0828</t>
  </si>
  <si>
    <t>0829</t>
  </si>
  <si>
    <t>0610</t>
  </si>
  <si>
    <t>6030</t>
  </si>
  <si>
    <t>0456</t>
  </si>
  <si>
    <t>Проведення навчально-тренувальних зборів і змагань з олімпійських видів спорту</t>
  </si>
  <si>
    <t>Заходи державної політики з питань дітей та їх соціального захисту</t>
  </si>
  <si>
    <t>1115012</t>
  </si>
  <si>
    <t>5012</t>
  </si>
  <si>
    <t>Проведення навчально-тренувальних зборів і змагань з неолімпійських видів спорту</t>
  </si>
  <si>
    <t>5031</t>
  </si>
  <si>
    <t>Інші заходи та заклади молодіжної політики</t>
  </si>
  <si>
    <t>1115061</t>
  </si>
  <si>
    <t>5061</t>
  </si>
  <si>
    <t>Забезпечення діяльності місцевих центрів фізичного здоров я населення "Спорт для всіх" та проведення фізкультурно-масових заходів серед населення регіону</t>
  </si>
  <si>
    <t>0150</t>
  </si>
  <si>
    <t xml:space="preserve">Організаційне, інформатично-аналітичне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 </t>
  </si>
  <si>
    <t>2100</t>
  </si>
  <si>
    <t>Організація благоустрою  населених пунктів</t>
  </si>
  <si>
    <t>0600000</t>
  </si>
  <si>
    <t>0610000</t>
  </si>
  <si>
    <t>0160</t>
  </si>
  <si>
    <t>0610160</t>
  </si>
  <si>
    <t>0611010</t>
  </si>
  <si>
    <t>Надання дошкільної освіти</t>
  </si>
  <si>
    <t>0611070</t>
  </si>
  <si>
    <t>0200000</t>
  </si>
  <si>
    <t>0210000</t>
  </si>
  <si>
    <t>0210150</t>
  </si>
  <si>
    <t>0212010</t>
  </si>
  <si>
    <t>0212100</t>
  </si>
  <si>
    <t>0216030</t>
  </si>
  <si>
    <t>0615031</t>
  </si>
  <si>
    <t>0800000</t>
  </si>
  <si>
    <t>0810000</t>
  </si>
  <si>
    <t>0810160</t>
  </si>
  <si>
    <t>3121</t>
  </si>
  <si>
    <t>0813121</t>
  </si>
  <si>
    <t>Утримання та забезпечення діяльності центрів соціальних служб для сім'ї, дітей та молоді</t>
  </si>
  <si>
    <t>1000000</t>
  </si>
  <si>
    <t>1010000</t>
  </si>
  <si>
    <t>1010160</t>
  </si>
  <si>
    <t>4030</t>
  </si>
  <si>
    <t>1014030</t>
  </si>
  <si>
    <t>Забезпечення діяльності бібліотек</t>
  </si>
  <si>
    <t>4040</t>
  </si>
  <si>
    <t>1014040</t>
  </si>
  <si>
    <t>Забезпечення діяльності музеїв і виставок</t>
  </si>
  <si>
    <t>1014060</t>
  </si>
  <si>
    <t>Забезпечення діяльності палаців і будинків культури, клубів, центрів дозвілля та інших клубних закладів</t>
  </si>
  <si>
    <t>1110160</t>
  </si>
  <si>
    <t>3133</t>
  </si>
  <si>
    <t>1113133</t>
  </si>
  <si>
    <t>1200000</t>
  </si>
  <si>
    <t>1210000</t>
  </si>
  <si>
    <t>1210160</t>
  </si>
  <si>
    <t>1216030</t>
  </si>
  <si>
    <t>1510160</t>
  </si>
  <si>
    <t>3100000</t>
  </si>
  <si>
    <t>3110000</t>
  </si>
  <si>
    <t>3110160</t>
  </si>
  <si>
    <t>3700000</t>
  </si>
  <si>
    <t>3710000</t>
  </si>
  <si>
    <t>3710160</t>
  </si>
  <si>
    <t>0218110</t>
  </si>
  <si>
    <t>7461</t>
  </si>
  <si>
    <t>Утримання та розвиток автомобільних доріг та дорожньої інфраструктури за рахунок коштів місцевого бюджету</t>
  </si>
  <si>
    <t>6011</t>
  </si>
  <si>
    <t>Експлуатація та технічне обслуговування житлового фонду</t>
  </si>
  <si>
    <t>6013</t>
  </si>
  <si>
    <t>Забезпечення діяльності водопровідно-каналізаційного господарства</t>
  </si>
  <si>
    <t>Інша діяльність у сфері державного управління</t>
  </si>
  <si>
    <t>3710180</t>
  </si>
  <si>
    <t>9110</t>
  </si>
  <si>
    <t>3719110</t>
  </si>
  <si>
    <t>Надання інших пільг окремим категоріям громадян відповідно до законодавства</t>
  </si>
  <si>
    <t>0813031</t>
  </si>
  <si>
    <t>0813032</t>
  </si>
  <si>
    <t>3032</t>
  </si>
  <si>
    <t>0210170</t>
  </si>
  <si>
    <t>0170</t>
  </si>
  <si>
    <t>0131</t>
  </si>
  <si>
    <t>Підвищення кваліфікації депутатів місцевих рад та посадових осіб місцевого самоврядування</t>
  </si>
  <si>
    <t>0210180</t>
  </si>
  <si>
    <t xml:space="preserve">Інша діяльність у сфері державного управління </t>
  </si>
  <si>
    <t>3104</t>
  </si>
  <si>
    <t>0813104</t>
  </si>
  <si>
    <t>1217461</t>
  </si>
  <si>
    <t>6012</t>
  </si>
  <si>
    <t>1216012</t>
  </si>
  <si>
    <t>Забезпечення діяльності з виробництва, транспортування, постачання теплової енергії</t>
  </si>
  <si>
    <t>0763</t>
  </si>
  <si>
    <t>1014082</t>
  </si>
  <si>
    <t>4082</t>
  </si>
  <si>
    <t>4081</t>
  </si>
  <si>
    <t>Забезпечення діяльності інших закладів в галузі культури і мистецтва</t>
  </si>
  <si>
    <t>Інші заходи в галузі культури і мистецтва</t>
  </si>
  <si>
    <t>7693</t>
  </si>
  <si>
    <t>Інші заходи, пов'язані з економічною діяльністю</t>
  </si>
  <si>
    <t>Заходи із запобігання та ліквідації надзвичайних ситуацій та наслідків стихійного лиха</t>
  </si>
  <si>
    <t>Забезпечення соціальними послугами за місцем проживання громадян, які не здатні до самообслуговування у зв'язку з похилим віком, хворобою, інвалідністю</t>
  </si>
  <si>
    <t>0813160</t>
  </si>
  <si>
    <t>3160</t>
  </si>
  <si>
    <t>Надання соціальних гарантій  фізичним особам, які надають соціальні послуги громадянам похилого віку,  особам з інвалідністю,  дітям з інвалідністю,  хворим, які не здатні до самообслуговування і потребують сторонньої допомоги</t>
  </si>
  <si>
    <t>0813180</t>
  </si>
  <si>
    <t>3180</t>
  </si>
  <si>
    <t xml:space="preserve">Надання пільг населенню (крім ветеранів війни і праці, військової служби, органів внутрішніх справ та громадян, які постраждали внаслідок Чорнобильської катастрофи) на оплату житлово-комунальних послуг </t>
  </si>
  <si>
    <t>0813192</t>
  </si>
  <si>
    <t>3192</t>
  </si>
  <si>
    <t>Надання фінансової підтримки громадським організаціям ветеранів і осіб з інвалідністю,   діяльність яких має соціальну спрямованість</t>
  </si>
  <si>
    <t>3242</t>
  </si>
  <si>
    <t>Інші заходи у сфері соціального захисту і соціального забезпечення</t>
  </si>
  <si>
    <t>0213242</t>
  </si>
  <si>
    <t>0613242</t>
  </si>
  <si>
    <t>0813242</t>
  </si>
  <si>
    <t>1014081</t>
  </si>
  <si>
    <t>Забезпечення діяльності інших закладів у сфері освіти</t>
  </si>
  <si>
    <t>1216017</t>
  </si>
  <si>
    <t>6017</t>
  </si>
  <si>
    <t>Інша діяльність, пов'язана з експлуатацією об'єктів житлово - комунального господарства</t>
  </si>
  <si>
    <t>9800</t>
  </si>
  <si>
    <t>Субвенція з місцевого бюджету державному бюджету на виконання програм соціально - економічного розвитку регіонів</t>
  </si>
  <si>
    <t>3719800</t>
  </si>
  <si>
    <t>Багатопрофільна стаціонарна медична допомога населенню</t>
  </si>
  <si>
    <t>9770</t>
  </si>
  <si>
    <t>Інші субвенції з місцевого бюджету</t>
  </si>
  <si>
    <t>3719770</t>
  </si>
  <si>
    <t>0810180</t>
  </si>
  <si>
    <t>Код Програмної класифікації видатків та кредитування місцевих бюджетів</t>
  </si>
  <si>
    <t>Код  Типової програмної класифікації видатків та кредитування місцевих бюджетів</t>
  </si>
  <si>
    <t>Код Функціональної класифікації видатків та кредитування бюджету</t>
  </si>
  <si>
    <t>Найменування  головного розпорядника коштів місцевого бюджету/ відповідального виконавця, найменування бюджетної програми/ підпрограми згідно з Типовою програмною класифікацією видатків та кредитування місцевих бюджетів</t>
  </si>
  <si>
    <t>3050</t>
  </si>
  <si>
    <t>Пільгове медичне обслуговування осіб, які постраждали внаслідок Чорнобильської катастрофи</t>
  </si>
  <si>
    <t>0813050</t>
  </si>
  <si>
    <t>0813090</t>
  </si>
  <si>
    <t>3090</t>
  </si>
  <si>
    <t>Видатки на поховання учасників бойових дій та осіб з інвалідністю внаслідок війни</t>
  </si>
  <si>
    <t>0813171</t>
  </si>
  <si>
    <t>3171</t>
  </si>
  <si>
    <t>Компенсаційні виплати особам з інвалідністю на бензин, ремонт, технічне обслуговування автомобілів, мотоколясок і на транспортне обслуговування</t>
  </si>
  <si>
    <t>3117693</t>
  </si>
  <si>
    <t>спеціальний фонд</t>
  </si>
  <si>
    <t>загальний  фонд</t>
  </si>
  <si>
    <t xml:space="preserve">з них </t>
  </si>
  <si>
    <t>в тому числ:</t>
  </si>
  <si>
    <t>Темп росту, %</t>
  </si>
  <si>
    <t>Начальник фінансового управління</t>
  </si>
  <si>
    <t>0218210</t>
  </si>
  <si>
    <t>8210</t>
  </si>
  <si>
    <t>Муніципальні формування з охорони громадського порядку</t>
  </si>
  <si>
    <t>2152</t>
  </si>
  <si>
    <t>0611021</t>
  </si>
  <si>
    <t>0611022</t>
  </si>
  <si>
    <t>1021</t>
  </si>
  <si>
    <t>1022</t>
  </si>
  <si>
    <t>Надання спеціальної освіти мистецькими школами</t>
  </si>
  <si>
    <t>1011080</t>
  </si>
  <si>
    <t>1080</t>
  </si>
  <si>
    <t>0611031</t>
  </si>
  <si>
    <t>1031</t>
  </si>
  <si>
    <t>0611032</t>
  </si>
  <si>
    <t>1032</t>
  </si>
  <si>
    <t>0611141</t>
  </si>
  <si>
    <t>1141</t>
  </si>
  <si>
    <t>0611151</t>
  </si>
  <si>
    <t>1151</t>
  </si>
  <si>
    <t xml:space="preserve">Забезпечення діяльності інклюзивно - ресурсних центрів  за  рахунок  коштів  місцевого бюджету </t>
  </si>
  <si>
    <t>0611152</t>
  </si>
  <si>
    <t>1152</t>
  </si>
  <si>
    <t>Забезпечення діяльності інклюзивно - ресурсних центрів  за  рахунок  освітньої  субвенції</t>
  </si>
  <si>
    <t>Виконавчий комітет Чорноморської міської ради Одеського району  Одеської області</t>
  </si>
  <si>
    <t>Виконавчий комітет Чорноморської міської ради Одеського району Одеської області</t>
  </si>
  <si>
    <t>Управління соціальної політики Чорноморської  міської ради Одеського району Одеської області</t>
  </si>
  <si>
    <t>Відділ  культури Чорноморської міської ради Одеського району Одеської області</t>
  </si>
  <si>
    <t>Управління капітального будівництва Чорноморської міської ради Одеського району Одеської області</t>
  </si>
  <si>
    <t>Управління комунальної  власності  та земельних відносин Чорноморської  міської ради Одеського району Одеської області</t>
  </si>
  <si>
    <t>Фінансове управління Чорноморської міської ради Одеського району Одеської області</t>
  </si>
  <si>
    <t>Фінансове управління Чорноморської міської ради Одеського району  Одеської області</t>
  </si>
  <si>
    <t>Олександрівська селищна адміністрація Чорноморської міської ради Одеського району Одеської області</t>
  </si>
  <si>
    <t>Бурлачобалківська сільська адміністрація Чорноморської міської ради Одеського району Одеської області</t>
  </si>
  <si>
    <t>Малодолинська сільська адміністрація Чорноморської міської ради Одеського району Одеської області</t>
  </si>
  <si>
    <t>Ольга ЯКОВЕНКО</t>
  </si>
  <si>
    <t>Відділ комунального господарства та благоустрою Чорноморської  міської ради Одеського району Одеської області</t>
  </si>
  <si>
    <t>0380</t>
  </si>
  <si>
    <t>Стоматологічна допомога населенню</t>
  </si>
  <si>
    <t>0611200</t>
  </si>
  <si>
    <t>1200</t>
  </si>
  <si>
    <t>Надання освіти за рахунок субвенції з державного бюджету місцевим бюджетам на надання державної підтримки особам з особливими освітніми потребами</t>
  </si>
  <si>
    <t>Надання позашкільної освіти закладами позашкільної  освіти, заходи із позашкільної роботи з дітьми</t>
  </si>
  <si>
    <t>0610180</t>
  </si>
  <si>
    <t>1210180</t>
  </si>
  <si>
    <t>1516030</t>
  </si>
  <si>
    <t>0218230</t>
  </si>
  <si>
    <t>8230</t>
  </si>
  <si>
    <t>Інші заходи громадського порядку та безпеки</t>
  </si>
  <si>
    <t>7390</t>
  </si>
  <si>
    <t>Розвиток мережі центрів надання адміністративних послуг</t>
  </si>
  <si>
    <t>Керівництво і управління у відповідній сфері у містах (місті Києві), селищах, селах, територіальних громадах</t>
  </si>
  <si>
    <t>1517390</t>
  </si>
  <si>
    <t>0212111</t>
  </si>
  <si>
    <t>0726</t>
  </si>
  <si>
    <t>Первинна медична допомога населенню, що надається центрами первинної медичної (медико-санітарної) допомоги</t>
  </si>
  <si>
    <t>0212152</t>
  </si>
  <si>
    <t>Інші програми та заходи у сфері охорони здоров`я</t>
  </si>
  <si>
    <t>0813230</t>
  </si>
  <si>
    <t>Видатки, пов'язані з наданням підтримки внутрішньо переміщеним та/або евакуйованим особам у зв'язку із введенням воєнного стану</t>
  </si>
  <si>
    <t>Інші заходи, пов`язані з економічною діяльністю</t>
  </si>
  <si>
    <t>Заходи та роботи з територіальної оборони</t>
  </si>
  <si>
    <t>1518110</t>
  </si>
  <si>
    <t>3116017</t>
  </si>
  <si>
    <t>Інша діяльність, пов`язана з експлуатацією об`єктів житлово-комунального господарства</t>
  </si>
  <si>
    <t>8240</t>
  </si>
  <si>
    <t>Відхилення, грн</t>
  </si>
  <si>
    <t>Забезпечення діяльності центрів професійного розвитку педагогічних працівників</t>
  </si>
  <si>
    <t>1516050</t>
  </si>
  <si>
    <t>Попередження аварій та запобігання техногенним катастрофам у житлово-комунальному господарстві та на інших аварійних об'єктах комунальної власності</t>
  </si>
  <si>
    <t>1516011</t>
  </si>
  <si>
    <t>Надання  загальної  середньої  освіти  закладами  загальної  середньої  освіти за  рахунок коштів  місцевого  бюджету</t>
  </si>
  <si>
    <t>Надання  загальної  середньої  освіти  спеціальними  закладами  загальної  середньої  освіти  для  дітей,  які  потребують  корекції  фізичного  та/або  розумового  розвитку, за  рахунок  місцевого бюджету</t>
  </si>
  <si>
    <t>Надання  загальної  середньої  освіти  закладами  загальної  середньої  освіти за  рахунок  освітньої  субвенції</t>
  </si>
  <si>
    <t>Надання  загальної  середньої  освіти  спеціальними  закладами  загальної  середньої  освіти  для  дітей,  які  потребують  корекції  фізичного  та/або  розумового  розвитку за рахунок  освітньої  субвенції</t>
  </si>
  <si>
    <t>Управління освіти Чорноморської  міської ради Одеського району Одеської області</t>
  </si>
  <si>
    <t>Управління освіти Чорноморської  міської ради  Одеського району Одеської області</t>
  </si>
  <si>
    <t>Відділ молоді та спорту Чорноморської  міської ради  Одеського району Одеської області</t>
  </si>
  <si>
    <t>Відділ молоді та спорту Чорноморської  міської ради Одеського району Одеської області</t>
  </si>
  <si>
    <t>1010180</t>
  </si>
  <si>
    <t>1110180</t>
  </si>
  <si>
    <t>0217680</t>
  </si>
  <si>
    <t>7680</t>
  </si>
  <si>
    <t>Членські внески до асоціацій органів місцевого самоврядування</t>
  </si>
  <si>
    <t>1510180</t>
  </si>
  <si>
    <t>0443</t>
  </si>
  <si>
    <t>Розроблення схем планування та забудови територій (містобудівної документації)</t>
  </si>
  <si>
    <t>1517640</t>
  </si>
  <si>
    <t>7640</t>
  </si>
  <si>
    <t>0470</t>
  </si>
  <si>
    <t>Заходи з енергозбереження</t>
  </si>
  <si>
    <t>0218220</t>
  </si>
  <si>
    <t>Заходи та роботи з мобілізаційної підготовки місцевого значення</t>
  </si>
  <si>
    <t>0611120</t>
  </si>
  <si>
    <t>1120</t>
  </si>
  <si>
    <t>0950</t>
  </si>
  <si>
    <t>Підвищення кваліфікації, перепідготовка кадрів закладами післядипломної освіти</t>
  </si>
  <si>
    <t>0900000</t>
  </si>
  <si>
    <t/>
  </si>
  <si>
    <t>Служба у справах дітей Чорноморської мiської ради Одеського району Одеської областi</t>
  </si>
  <si>
    <t>0910000</t>
  </si>
  <si>
    <t>0910160</t>
  </si>
  <si>
    <t>0913112</t>
  </si>
  <si>
    <t>1216015</t>
  </si>
  <si>
    <t>6015</t>
  </si>
  <si>
    <t>Забезпечення надійної та безперебійної експлуатації ліфтів</t>
  </si>
  <si>
    <t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місцевого самоврядування і місцевими органами виконавчої влади</t>
  </si>
  <si>
    <t>0540</t>
  </si>
  <si>
    <t>Природоохоронні заходи за рахунок цільових фондів</t>
  </si>
  <si>
    <t>1516013</t>
  </si>
  <si>
    <t>1516015</t>
  </si>
  <si>
    <t>0611160</t>
  </si>
  <si>
    <t>Разом</t>
  </si>
  <si>
    <t>усього</t>
  </si>
  <si>
    <t>0213112</t>
  </si>
  <si>
    <t>0613140</t>
  </si>
  <si>
    <t>3140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</si>
  <si>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</si>
  <si>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0618110</t>
  </si>
  <si>
    <t>0818110</t>
  </si>
  <si>
    <t>8110</t>
  </si>
  <si>
    <t>Заходи із запобігання поширенню інфекційних захворювань за рахунок коштів резервного фонду місцевого бюджету</t>
  </si>
  <si>
    <t>1510150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</si>
  <si>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</si>
  <si>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Будівництво 1 освітніх установ та закладів</t>
  </si>
  <si>
    <t>Реалізація інших заходів щодо соціально-економічного розвитку територій</t>
  </si>
  <si>
    <t>3110180</t>
  </si>
  <si>
    <t>3118240</t>
  </si>
  <si>
    <t>0218775</t>
  </si>
  <si>
    <t>Інші заходи за рахунок коштів резервного фонду місцевого бюджету</t>
  </si>
  <si>
    <t>0611154</t>
  </si>
  <si>
    <t>Забезпечення діяльності інклюзивно-ресурсних центрів за рахунок залишку коштів за освітньою субвенцією на кінець бюджетного періоду (крім залишку коштів, що мають цільове призначення, виділених відповідно до рішень Кабінету Міністрів України у попередніх бюджетних періодах)</t>
  </si>
  <si>
    <t>0611210</t>
  </si>
  <si>
    <t>1210</t>
  </si>
  <si>
    <t>Надання освіти за рахунок залишку коштів за субвенцією з державного бюджету місцевим бюджетам на надання державної підтримки особам з особливими освітніми потребами на кінець бюджетного періоду</t>
  </si>
  <si>
    <t>1115049</t>
  </si>
  <si>
    <t>5049</t>
  </si>
  <si>
    <t>1210170</t>
  </si>
  <si>
    <t>1213210</t>
  </si>
  <si>
    <t>33210</t>
  </si>
  <si>
    <t>0217350</t>
  </si>
  <si>
    <t>0218340</t>
  </si>
  <si>
    <t>0218240</t>
  </si>
  <si>
    <t>7310</t>
  </si>
  <si>
    <t>Будівництво об'єктів житлово-комунального господарства</t>
  </si>
  <si>
    <t>Виконання окремих заходів з реалізації соціального проекту "Активні парки - локації здорової України"</t>
  </si>
  <si>
    <t>1050</t>
  </si>
  <si>
    <t>Організація та проведення громадських робіт</t>
  </si>
  <si>
    <t>0217390</t>
  </si>
  <si>
    <t>0813123</t>
  </si>
  <si>
    <t>3123</t>
  </si>
  <si>
    <t>Заходи державної політики з питань сім`ї</t>
  </si>
  <si>
    <t>0813221</t>
  </si>
  <si>
    <t>Грошова компенсація за належні для отримання жилі приміщення для сімей осіб, визначених пунктами 2 - 5 частини першої статті 10-1 Закону України "Про статус ветеранів війни, гарантії їх соціального захисту", для осіб з інвалідністю I - II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у заходах, необхідних для забезпечення оборони України, захисту безпеки населення та інтересів держави у зв'язку з військовою агресією Російської Федерації проти України, визначених пунктами 11 - 14 частини другої статті 7 Закону України "Про статус ветеранів війни, гарантії їх соціального захисту", та які потребують поліпшення житлових умов</t>
  </si>
  <si>
    <t>0813223</t>
  </si>
  <si>
    <t>Грошова компенсація за належні для отримання жилі приміщення для сімей учасників бойових дій на території інших держав, визначених у абзаці першому пункту 1 статті 10 Закону України "Про статус ветеранів війни, гарантії їх соціального захисту", для осіб з інвалідністю I-II групи з числа учасників бойових дій на території інших держав, інвалідність яких настала внаслідок поранення, контузії, каліцтва або захворювання, пов'язаних з перебуванням у цих державах, визначених пунктом 7 частини другої статті 7 Закону України "Про статус ветеранів війни, гарантії їх соціального захисту", та які потребують поліпшення житлових умов</t>
  </si>
  <si>
    <t>1217310</t>
  </si>
  <si>
    <t>Реалізація програм допомоги і грантів Європейського Союзу, урядів іноземних держав, міжнародних організацій, донорських установ</t>
  </si>
  <si>
    <t>1518311</t>
  </si>
  <si>
    <t>8311</t>
  </si>
  <si>
    <t>0511</t>
  </si>
  <si>
    <t>Охорона та раціональне використання природних ресурсів</t>
  </si>
  <si>
    <t>1518340</t>
  </si>
  <si>
    <t>8340</t>
  </si>
  <si>
    <t>0217130</t>
  </si>
  <si>
    <t>0421</t>
  </si>
  <si>
    <t>Здійснення заходів із землеустрою</t>
  </si>
  <si>
    <t>3117130</t>
  </si>
  <si>
    <t>7130</t>
  </si>
  <si>
    <t>у 9 разів</t>
  </si>
  <si>
    <t>у 8 разів</t>
  </si>
  <si>
    <t>у 5 разів</t>
  </si>
  <si>
    <t>у 3 рази</t>
  </si>
  <si>
    <t>у 6 разів</t>
  </si>
  <si>
    <t>у 4 рази</t>
  </si>
  <si>
    <t>Виконано за  2023 рік, грн</t>
  </si>
  <si>
    <t>Виконано за  2024 рік, грн</t>
  </si>
  <si>
    <t>0217351</t>
  </si>
  <si>
    <t>Розроблення комплексних планів просторового розвитку територій територіальних громад</t>
  </si>
  <si>
    <t>0217373</t>
  </si>
  <si>
    <t>7373</t>
  </si>
  <si>
    <t>Реалізація проектів (заходів) з відновлення медичних установ та закладів, пошкоджених / знищених внаслідок збройної агресії, за рахунок коштів місцевих бюджетів</t>
  </si>
  <si>
    <t>0217640</t>
  </si>
  <si>
    <t>Показники  бюджету Чорноморської міської територіальної громади за видатками  за 2024 рік  порівняно з аналогічними показниками за   відповідний  період  попереднього  бюджетного  періоду   із зазначенням динаміки їх зміни</t>
  </si>
  <si>
    <t>0611271</t>
  </si>
  <si>
    <t>1271</t>
  </si>
  <si>
    <t>Співфінансування заходів, що реалізуються за рахунок освітньої субвенції з державного бюджету місцевим бюджетам (за спеціальним фондом державного бюджету)</t>
  </si>
  <si>
    <t>0611272</t>
  </si>
  <si>
    <t>1272</t>
  </si>
  <si>
    <t>Реалізація заходів за рахунок освітньої субвенції з державного бюджетуи місцевим бюджетам (за спеціальним фондом державного бюджету)</t>
  </si>
  <si>
    <t>0617372</t>
  </si>
  <si>
    <t>Реалізація проектів (заходів) з відновлення освітніх установ та закладів, пошкоджених / знищених внаслідок збройної агресії, за рахунок коштів місцевих бюджетів</t>
  </si>
  <si>
    <t>0618240</t>
  </si>
  <si>
    <t>0813222</t>
  </si>
  <si>
    <t>3222</t>
  </si>
  <si>
    <t>Грошова компенсація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антитерористичній операції, забезпеченні її проведення, перебуваючи безпосередньо в районах антитерористичної операції у період її проведення, у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перебуваючи безпосередньо в районах та у період здійснення зазначених заходів, та визнані особами з інвалідністю внаслідок війни III групи відповідно до пунктів 11 - 14 частини другої статті 7 або учасниками бойових дій відповідно до пунктів 19 - 21 частини першої статті 6 Закону України "Про статус ветеранів війни, гарантії їх соціального захисту", та які потребують поліпшення житлових умов</t>
  </si>
  <si>
    <t>0910180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</si>
  <si>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</si>
  <si>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1217370</t>
  </si>
  <si>
    <t>7370</t>
  </si>
  <si>
    <t>1217375</t>
  </si>
  <si>
    <t>7375</t>
  </si>
  <si>
    <t>Реалізація проектів (заходів) з відновлення об'єктів житлового фонду, пошкоджених / знищених внаслідок збройної агресії, за рахунок коштів місцевих бюджетів</t>
  </si>
  <si>
    <t>1217376</t>
  </si>
  <si>
    <t>7376</t>
  </si>
  <si>
    <t>Реалізація проектів (заходів) з відновлення об'єктів житлово-комунального господарства, пошкоджених / знищених внаслідок збройної агресії, за рахунок коштів місцевих бюджетів</t>
  </si>
  <si>
    <t>Внески до статутного капіталу суб'єктів господарювання</t>
  </si>
  <si>
    <t>1512111</t>
  </si>
  <si>
    <t>2111</t>
  </si>
  <si>
    <t>1517368</t>
  </si>
  <si>
    <t>7368</t>
  </si>
  <si>
    <t>Виконання інвестиційних проектів за рахунок субвенцій з інших бюджетів</t>
  </si>
  <si>
    <t>1518742</t>
  </si>
  <si>
    <t>8742</t>
  </si>
  <si>
    <t>Заходи із запобігання та ліквідації наслідків надзвичайної ситуації в каналізаційній системі</t>
  </si>
  <si>
    <t>0217520</t>
  </si>
  <si>
    <t>0460</t>
  </si>
  <si>
    <t>Реалізація Національної програми інформатизації</t>
  </si>
  <si>
    <t>0218721</t>
  </si>
  <si>
    <t>Заходи із запобігання та ліквідації наслідків надзвичайної ситуації у будівлі закладу охорони здоров'я за рахунок коштів резервного фонду місцевого бюджету</t>
  </si>
  <si>
    <t>0611403</t>
  </si>
  <si>
    <t>1403</t>
  </si>
  <si>
    <t>Забезпечення харчуванням учнів початкових класів закладів загальної середньої освіти за рахунок субвенції з державного бюджету місцевим бюджетам</t>
  </si>
  <si>
    <t>0617520</t>
  </si>
  <si>
    <t>0813193</t>
  </si>
  <si>
    <t>3193</t>
  </si>
  <si>
    <t>Забезпечення діяльності фахівців із супроводу ветеранів війни та демобілізованих осіб та окремі заходи з підтримки осіб, які захищали незалежність, суверенітет та територіальну цілісність України</t>
  </si>
  <si>
    <t>0817520</t>
  </si>
  <si>
    <t>1218733</t>
  </si>
  <si>
    <t>Заходи із запобігання та ліквідації наслідків надзвичайної ситуації на об'єктах транспортної та дорожньої інфраструктури за рахунок коштів резервного фонду місцевого бюджету</t>
  </si>
  <si>
    <t>1218741</t>
  </si>
  <si>
    <t>Заходи із запобігання та ліквідації наслідків надзвичайної ситуації у будівлі або споруді житлового призначення за рахунок коштів резервного фонду місцевого бюджету</t>
  </si>
  <si>
    <t>1218746</t>
  </si>
  <si>
    <t>0640</t>
  </si>
  <si>
    <t>Заходи із запобігання та ліквідації наслідків надзвичайної ситуації в інших системах та об'єктах житлово-комунального господарства за рахунок коштів резервного фонду місцевого бюджету</t>
  </si>
  <si>
    <t>0611181</t>
  </si>
  <si>
    <t>1181</t>
  </si>
  <si>
    <t>Співфінансування заходів, що реалізуються за рахунок субвенції з державного бюджету місцевим бюджетам на забезпечення якісної, сучасної та доступної загальної середньої освіти "Нова українська школа"</t>
  </si>
  <si>
    <t>0611182</t>
  </si>
  <si>
    <t>1182</t>
  </si>
  <si>
    <t>Виконання заходів, спрямованих на забезпечення якісної, сучасної та доступної загальної середньої освіти "Нова українська школа" за рахунок субвенції з державного бюджету місцевим бюджетам</t>
  </si>
  <si>
    <t>0611291</t>
  </si>
  <si>
    <t>Співфінансування заходів, що реалізуються за рахунок залишку коштів за освітньою субвенцією на кінець бюджетного періоду, що мають цільове призначення, виділених відповідно до рішень Кабінету Міністрів України у попередніх бюджетних періодах (за спеціальним фондом державного бюджету)</t>
  </si>
  <si>
    <t>0611292</t>
  </si>
  <si>
    <t>1292</t>
  </si>
  <si>
    <t>Реалізація заходів за рахунок залишку коштів за освітньою субвенцією на кінець бюджетного періоду, що мають цільове призначення, виділених відповідно до рішень Кабінету Міністрів України у попередніх бюджетних періодах (за спеціальним фондом державного бюджету)</t>
  </si>
  <si>
    <t>1218761</t>
  </si>
  <si>
    <t>Заходи із запобігання та ліквідації наслідків надзвичайної ситуації внаслідок стихійного лиха за рахунок коштів резервного фонду місцевого бюджету</t>
  </si>
  <si>
    <t>Інша діяльність, пов'язана з експлуатацією об'єктів житлово-комунального господарства</t>
  </si>
  <si>
    <t>у 64 рази</t>
  </si>
  <si>
    <t>у 22 рази</t>
  </si>
  <si>
    <t>у 26 разів</t>
  </si>
  <si>
    <t>у 31 раз</t>
  </si>
  <si>
    <t xml:space="preserve">у 12 разів </t>
  </si>
  <si>
    <t>у 18 разів</t>
  </si>
  <si>
    <t>у 2 рази</t>
  </si>
  <si>
    <t>у 16 разів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</si>
</sst>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5" formatCode="#,##0.00000"/>
    <numFmt numFmtId="166" formatCode="0.0%"/>
  </numFmts>
  <fonts count="31">
    <font>
      <sz val="11"/>
      <color theme="1"/>
      <name val="Calibri"/>
      <family val="2"/>
      <charset val="204"/>
      <scheme val="minor"/>
    </font>
    <font>
      <sz val="10"/>
      <color theme="1"/>
      <name val="Шрифт текста"/>
      <family val="2"/>
      <charset val="204"/>
    </font>
    <font>
      <sz val="10"/>
      <color theme="1"/>
      <name val="Шрифт текста"/>
      <family val="2"/>
      <charset val="204"/>
    </font>
    <font>
      <sz val="10"/>
      <color theme="1"/>
      <name val="Шрифт текста"/>
      <family val="2"/>
      <charset val="204"/>
    </font>
    <font>
      <sz val="10"/>
      <color theme="1"/>
      <name val="Шрифт текста"/>
      <family val="2"/>
      <charset val="204"/>
    </font>
    <font>
      <sz val="10"/>
      <color theme="1"/>
      <name val="Шрифт текста"/>
      <family val="2"/>
      <charset val="204"/>
    </font>
    <font>
      <sz val="10"/>
      <color theme="1"/>
      <name val="Шрифт текста"/>
      <family val="2"/>
      <charset val="204"/>
    </font>
    <font>
      <sz val="10"/>
      <color theme="1"/>
      <name val="Шрифт текста"/>
      <family val="2"/>
      <charset val="204"/>
    </font>
    <font>
      <sz val="10"/>
      <color theme="1"/>
      <name val="Шрифт текста"/>
      <family val="2"/>
      <charset val="204"/>
    </font>
    <font>
      <sz val="10"/>
      <color theme="1"/>
      <name val="Шрифт текста"/>
      <family val="2"/>
      <charset val="204"/>
    </font>
    <font>
      <sz val="10"/>
      <color theme="1"/>
      <name val="Шрифт текста"/>
      <family val="2"/>
      <charset val="204"/>
    </font>
    <font>
      <sz val="10"/>
      <color theme="1"/>
      <name val="Шрифт текста"/>
      <family val="2"/>
      <charset val="204"/>
    </font>
    <font>
      <sz val="10"/>
      <color theme="1"/>
      <name val="Шрифт текста"/>
      <family val="2"/>
      <charset val="204"/>
    </font>
    <font>
      <sz val="10"/>
      <color theme="1"/>
      <name val="Шрифт текста"/>
      <family val="2"/>
      <charset val="204"/>
    </font>
    <font>
      <sz val="10"/>
      <color theme="1"/>
      <name val="Шрифт текста"/>
      <family val="2"/>
      <charset val="204"/>
    </font>
    <font>
      <sz val="10"/>
      <color theme="1"/>
      <name val="Шрифт текста"/>
      <family val="2"/>
      <charset val="204"/>
    </font>
    <font>
      <sz val="11"/>
      <color indexed="8"/>
      <name val="Calibri"/>
      <family val="2"/>
      <charset val="204"/>
    </font>
    <font>
      <sz val="10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1"/>
      <color rgb="FF006100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4"/>
      <color rgb="FF333333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4">
    <xf numFmtId="0" fontId="0" fillId="0" borderId="0"/>
    <xf numFmtId="0" fontId="17" fillId="0" borderId="0"/>
    <xf numFmtId="0" fontId="16" fillId="0" borderId="0"/>
    <xf numFmtId="0" fontId="16" fillId="0" borderId="0"/>
    <xf numFmtId="0" fontId="24" fillId="0" borderId="0"/>
    <xf numFmtId="0" fontId="23" fillId="0" borderId="0"/>
    <xf numFmtId="0" fontId="15" fillId="0" borderId="0"/>
    <xf numFmtId="0" fontId="14" fillId="0" borderId="0"/>
    <xf numFmtId="0" fontId="16" fillId="0" borderId="0"/>
    <xf numFmtId="0" fontId="26" fillId="3" borderId="0" applyNumberFormat="0" applyBorder="0" applyAlignment="0" applyProtection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27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138">
    <xf numFmtId="0" fontId="0" fillId="0" borderId="0" xfId="0"/>
    <xf numFmtId="0" fontId="18" fillId="2" borderId="0" xfId="0" applyFont="1" applyFill="1"/>
    <xf numFmtId="49" fontId="18" fillId="2" borderId="0" xfId="0" applyNumberFormat="1" applyFont="1" applyFill="1"/>
    <xf numFmtId="164" fontId="18" fillId="2" borderId="0" xfId="2" applyNumberFormat="1" applyFont="1" applyFill="1"/>
    <xf numFmtId="0" fontId="18" fillId="2" borderId="0" xfId="2" applyFont="1" applyFill="1"/>
    <xf numFmtId="4" fontId="18" fillId="2" borderId="0" xfId="0" applyNumberFormat="1" applyFont="1" applyFill="1"/>
    <xf numFmtId="2" fontId="18" fillId="2" borderId="0" xfId="0" applyNumberFormat="1" applyFont="1" applyFill="1"/>
    <xf numFmtId="3" fontId="18" fillId="2" borderId="0" xfId="2" applyNumberFormat="1" applyFont="1" applyFill="1"/>
    <xf numFmtId="0" fontId="18" fillId="2" borderId="1" xfId="2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/>
    </xf>
    <xf numFmtId="0" fontId="19" fillId="2" borderId="1" xfId="2" applyFont="1" applyFill="1" applyBorder="1" applyAlignment="1">
      <alignment horizontal="left" vertical="center" wrapText="1"/>
    </xf>
    <xf numFmtId="0" fontId="20" fillId="2" borderId="1" xfId="2" applyFont="1" applyFill="1" applyBorder="1" applyAlignment="1">
      <alignment horizontal="left" vertical="center" wrapText="1"/>
    </xf>
    <xf numFmtId="49" fontId="21" fillId="2" borderId="0" xfId="0" applyNumberFormat="1" applyFont="1" applyFill="1" applyAlignment="1">
      <alignment horizontal="left" vertical="center" wrapText="1"/>
    </xf>
    <xf numFmtId="0" fontId="18" fillId="2" borderId="1" xfId="3" applyFont="1" applyFill="1" applyBorder="1" applyAlignment="1">
      <alignment horizontal="left" vertical="center" wrapText="1"/>
    </xf>
    <xf numFmtId="49" fontId="18" fillId="2" borderId="1" xfId="2" applyNumberFormat="1" applyFont="1" applyFill="1" applyBorder="1" applyAlignment="1">
      <alignment horizontal="left" vertical="center" wrapText="1"/>
    </xf>
    <xf numFmtId="0" fontId="21" fillId="2" borderId="1" xfId="0" applyFont="1" applyFill="1" applyBorder="1" applyAlignment="1">
      <alignment horizontal="left" vertical="center" wrapText="1"/>
    </xf>
    <xf numFmtId="0" fontId="22" fillId="2" borderId="1" xfId="0" applyFont="1" applyFill="1" applyBorder="1" applyAlignment="1">
      <alignment horizontal="left" vertical="center"/>
    </xf>
    <xf numFmtId="0" fontId="19" fillId="2" borderId="1" xfId="2" applyFont="1" applyFill="1" applyBorder="1" applyAlignment="1">
      <alignment horizontal="left" vertical="center"/>
    </xf>
    <xf numFmtId="0" fontId="25" fillId="2" borderId="1" xfId="4" quotePrefix="1" applyFont="1" applyFill="1" applyBorder="1" applyAlignment="1">
      <alignment horizontal="left" vertical="center" wrapText="1"/>
    </xf>
    <xf numFmtId="0" fontId="18" fillId="2" borderId="1" xfId="1" applyFont="1" applyFill="1" applyBorder="1" applyAlignment="1">
      <alignment horizontal="left" vertical="center" wrapText="1"/>
    </xf>
    <xf numFmtId="0" fontId="21" fillId="2" borderId="5" xfId="4" quotePrefix="1" applyFont="1" applyFill="1" applyBorder="1" applyAlignment="1">
      <alignment horizontal="left" vertical="center" wrapText="1"/>
    </xf>
    <xf numFmtId="0" fontId="21" fillId="2" borderId="1" xfId="4" applyFont="1" applyFill="1" applyBorder="1" applyAlignment="1">
      <alignment horizontal="center" vertical="center" wrapText="1"/>
    </xf>
    <xf numFmtId="49" fontId="21" fillId="2" borderId="1" xfId="4" applyNumberFormat="1" applyFont="1" applyFill="1" applyBorder="1" applyAlignment="1">
      <alignment horizontal="center" vertical="center" wrapText="1"/>
    </xf>
    <xf numFmtId="49" fontId="18" fillId="2" borderId="1" xfId="0" applyNumberFormat="1" applyFont="1" applyFill="1" applyBorder="1" applyAlignment="1">
      <alignment horizontal="center" vertical="center"/>
    </xf>
    <xf numFmtId="0" fontId="18" fillId="2" borderId="1" xfId="2" applyFont="1" applyFill="1" applyBorder="1" applyAlignment="1">
      <alignment horizontal="left" vertical="center" wrapText="1"/>
    </xf>
    <xf numFmtId="49" fontId="19" fillId="2" borderId="1" xfId="0" applyNumberFormat="1" applyFont="1" applyFill="1" applyBorder="1" applyAlignment="1">
      <alignment horizontal="center" vertical="center"/>
    </xf>
    <xf numFmtId="49" fontId="20" fillId="2" borderId="1" xfId="0" applyNumberFormat="1" applyFont="1" applyFill="1" applyBorder="1" applyAlignment="1">
      <alignment horizontal="center" vertical="center"/>
    </xf>
    <xf numFmtId="49" fontId="25" fillId="2" borderId="1" xfId="4" applyNumberFormat="1" applyFont="1" applyFill="1" applyBorder="1" applyAlignment="1">
      <alignment horizontal="center" vertical="center" wrapText="1"/>
    </xf>
    <xf numFmtId="49" fontId="18" fillId="2" borderId="0" xfId="0" applyNumberFormat="1" applyFont="1" applyFill="1" applyAlignment="1">
      <alignment horizontal="center"/>
    </xf>
    <xf numFmtId="0" fontId="18" fillId="2" borderId="0" xfId="0" applyFont="1" applyFill="1" applyAlignment="1">
      <alignment horizontal="center"/>
    </xf>
    <xf numFmtId="0" fontId="19" fillId="2" borderId="0" xfId="0" applyFont="1" applyFill="1" applyAlignment="1">
      <alignment vertical="center"/>
    </xf>
    <xf numFmtId="2" fontId="18" fillId="2" borderId="0" xfId="0" applyNumberFormat="1" applyFont="1" applyFill="1" applyAlignment="1">
      <alignment vertical="center"/>
    </xf>
    <xf numFmtId="0" fontId="20" fillId="2" borderId="0" xfId="0" applyFont="1" applyFill="1" applyAlignment="1">
      <alignment vertical="center"/>
    </xf>
    <xf numFmtId="165" fontId="18" fillId="2" borderId="0" xfId="0" applyNumberFormat="1" applyFont="1" applyFill="1"/>
    <xf numFmtId="3" fontId="18" fillId="2" borderId="0" xfId="0" applyNumberFormat="1" applyFont="1" applyFill="1"/>
    <xf numFmtId="0" fontId="19" fillId="2" borderId="1" xfId="0" applyFont="1" applyFill="1" applyBorder="1" applyAlignment="1">
      <alignment horizontal="center" vertical="center" wrapText="1"/>
    </xf>
    <xf numFmtId="0" fontId="25" fillId="2" borderId="1" xfId="4" applyFont="1" applyFill="1" applyBorder="1" applyAlignment="1">
      <alignment horizontal="center" vertical="center" wrapText="1"/>
    </xf>
    <xf numFmtId="49" fontId="18" fillId="2" borderId="1" xfId="0" applyNumberFormat="1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left" vertical="center" wrapText="1"/>
    </xf>
    <xf numFmtId="0" fontId="18" fillId="0" borderId="1" xfId="2" applyFont="1" applyFill="1" applyBorder="1" applyAlignment="1">
      <alignment horizontal="left" vertical="center" wrapText="1"/>
    </xf>
    <xf numFmtId="0" fontId="18" fillId="2" borderId="0" xfId="0" applyFont="1" applyFill="1" applyAlignment="1">
      <alignment vertical="center"/>
    </xf>
    <xf numFmtId="0" fontId="21" fillId="2" borderId="1" xfId="13" quotePrefix="1" applyFont="1" applyFill="1" applyBorder="1" applyAlignment="1">
      <alignment vertical="center" wrapText="1"/>
    </xf>
    <xf numFmtId="0" fontId="21" fillId="2" borderId="1" xfId="12" quotePrefix="1" applyFont="1" applyFill="1" applyBorder="1" applyAlignment="1">
      <alignment horizontal="left" vertical="center" wrapText="1"/>
    </xf>
    <xf numFmtId="0" fontId="21" fillId="2" borderId="1" xfId="10" quotePrefix="1" applyFont="1" applyFill="1" applyBorder="1" applyAlignment="1">
      <alignment horizontal="left" vertical="center" wrapText="1"/>
    </xf>
    <xf numFmtId="0" fontId="21" fillId="2" borderId="1" xfId="11" quotePrefix="1" applyFont="1" applyFill="1" applyBorder="1" applyAlignment="1">
      <alignment horizontal="left" vertical="center" wrapText="1"/>
    </xf>
    <xf numFmtId="0" fontId="22" fillId="2" borderId="1" xfId="11" applyFont="1" applyFill="1" applyBorder="1" applyAlignment="1">
      <alignment horizontal="left" vertical="center" wrapText="1"/>
    </xf>
    <xf numFmtId="0" fontId="21" fillId="0" borderId="1" xfId="0" quotePrefix="1" applyFont="1" applyFill="1" applyBorder="1" applyAlignment="1">
      <alignment horizontal="left" vertical="center" wrapText="1"/>
    </xf>
    <xf numFmtId="2" fontId="21" fillId="0" borderId="1" xfId="0" quotePrefix="1" applyNumberFormat="1" applyFont="1" applyFill="1" applyBorder="1" applyAlignment="1">
      <alignment horizontal="left" vertical="center" wrapText="1"/>
    </xf>
    <xf numFmtId="0" fontId="21" fillId="2" borderId="1" xfId="0" quotePrefix="1" applyFont="1" applyFill="1" applyBorder="1" applyAlignment="1">
      <alignment horizontal="left" vertical="center" wrapText="1"/>
    </xf>
    <xf numFmtId="0" fontId="21" fillId="2" borderId="1" xfId="13" quotePrefix="1" applyFont="1" applyFill="1" applyBorder="1" applyAlignment="1">
      <alignment horizontal="left" vertical="center" wrapText="1"/>
    </xf>
    <xf numFmtId="0" fontId="21" fillId="0" borderId="5" xfId="0" quotePrefix="1" applyFont="1" applyFill="1" applyBorder="1" applyAlignment="1">
      <alignment horizontal="left" vertical="center" wrapText="1"/>
    </xf>
    <xf numFmtId="49" fontId="21" fillId="2" borderId="1" xfId="12" applyNumberFormat="1" applyFont="1" applyFill="1" applyBorder="1" applyAlignment="1">
      <alignment horizontal="center" vertical="center" wrapText="1"/>
    </xf>
    <xf numFmtId="0" fontId="21" fillId="2" borderId="1" xfId="12" applyFont="1" applyFill="1" applyBorder="1" applyAlignment="1">
      <alignment horizontal="center" vertical="center" wrapText="1"/>
    </xf>
    <xf numFmtId="49" fontId="21" fillId="2" borderId="1" xfId="10" applyNumberFormat="1" applyFont="1" applyFill="1" applyBorder="1" applyAlignment="1">
      <alignment horizontal="center" vertical="center" wrapText="1"/>
    </xf>
    <xf numFmtId="0" fontId="21" fillId="2" borderId="1" xfId="10" applyFont="1" applyFill="1" applyBorder="1" applyAlignment="1">
      <alignment horizontal="center" vertical="center" wrapText="1"/>
    </xf>
    <xf numFmtId="49" fontId="21" fillId="2" borderId="1" xfId="11" applyNumberFormat="1" applyFont="1" applyFill="1" applyBorder="1" applyAlignment="1">
      <alignment horizontal="center" vertical="center" wrapText="1"/>
    </xf>
    <xf numFmtId="0" fontId="21" fillId="2" borderId="1" xfId="11" applyFont="1" applyFill="1" applyBorder="1" applyAlignment="1">
      <alignment horizontal="center" vertical="center" wrapText="1"/>
    </xf>
    <xf numFmtId="49" fontId="18" fillId="2" borderId="1" xfId="11" applyNumberFormat="1" applyFont="1" applyFill="1" applyBorder="1" applyAlignment="1">
      <alignment horizontal="center" vertical="center"/>
    </xf>
    <xf numFmtId="0" fontId="21" fillId="2" borderId="1" xfId="13" applyFont="1" applyFill="1" applyBorder="1" applyAlignment="1">
      <alignment horizontal="center" vertical="center" wrapText="1"/>
    </xf>
    <xf numFmtId="49" fontId="21" fillId="2" borderId="1" xfId="13" applyNumberFormat="1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1" fontId="21" fillId="0" borderId="1" xfId="0" applyNumberFormat="1" applyFont="1" applyFill="1" applyBorder="1" applyAlignment="1">
      <alignment horizontal="center" vertical="center" wrapText="1"/>
    </xf>
    <xf numFmtId="2" fontId="21" fillId="0" borderId="1" xfId="0" applyNumberFormat="1" applyFont="1" applyFill="1" applyBorder="1" applyAlignment="1">
      <alignment horizontal="center" vertical="center" wrapText="1"/>
    </xf>
    <xf numFmtId="49" fontId="21" fillId="0" borderId="1" xfId="0" applyNumberFormat="1" applyFont="1" applyFill="1" applyBorder="1" applyAlignment="1">
      <alignment horizontal="center" vertical="center" wrapText="1"/>
    </xf>
    <xf numFmtId="49" fontId="18" fillId="0" borderId="1" xfId="0" applyNumberFormat="1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horizontal="center" vertical="center" wrapText="1"/>
    </xf>
    <xf numFmtId="0" fontId="22" fillId="2" borderId="1" xfId="13" applyFont="1" applyFill="1" applyBorder="1" applyAlignment="1">
      <alignment vertical="center" wrapText="1"/>
    </xf>
    <xf numFmtId="49" fontId="18" fillId="2" borderId="1" xfId="13" applyNumberFormat="1" applyFont="1" applyFill="1" applyBorder="1" applyAlignment="1">
      <alignment horizontal="center" vertical="center"/>
    </xf>
    <xf numFmtId="0" fontId="21" fillId="2" borderId="1" xfId="4" quotePrefix="1" applyFont="1" applyFill="1" applyBorder="1" applyAlignment="1">
      <alignment horizontal="left" vertical="center" wrapText="1"/>
    </xf>
    <xf numFmtId="49" fontId="21" fillId="2" borderId="1" xfId="17" applyNumberFormat="1" applyFont="1" applyFill="1" applyBorder="1" applyAlignment="1">
      <alignment horizontal="center" vertical="center" wrapText="1"/>
    </xf>
    <xf numFmtId="0" fontId="21" fillId="2" borderId="1" xfId="17" applyFont="1" applyFill="1" applyBorder="1" applyAlignment="1">
      <alignment horizontal="center" vertical="center" wrapText="1"/>
    </xf>
    <xf numFmtId="0" fontId="21" fillId="2" borderId="1" xfId="17" quotePrefix="1" applyFont="1" applyFill="1" applyBorder="1" applyAlignment="1">
      <alignment vertical="center" wrapText="1"/>
    </xf>
    <xf numFmtId="0" fontId="21" fillId="2" borderId="1" xfId="14" applyFont="1" applyFill="1" applyBorder="1" applyAlignment="1">
      <alignment horizontal="center" vertical="center" wrapText="1"/>
    </xf>
    <xf numFmtId="0" fontId="21" fillId="2" borderId="1" xfId="14" quotePrefix="1" applyFont="1" applyFill="1" applyBorder="1" applyAlignment="1">
      <alignment vertical="center" wrapText="1"/>
    </xf>
    <xf numFmtId="49" fontId="21" fillId="2" borderId="1" xfId="16" applyNumberFormat="1" applyFont="1" applyFill="1" applyBorder="1" applyAlignment="1">
      <alignment horizontal="center" vertical="center" wrapText="1"/>
    </xf>
    <xf numFmtId="0" fontId="21" fillId="2" borderId="1" xfId="16" applyFont="1" applyFill="1" applyBorder="1" applyAlignment="1">
      <alignment horizontal="center" vertical="center" wrapText="1"/>
    </xf>
    <xf numFmtId="49" fontId="19" fillId="2" borderId="0" xfId="0" applyNumberFormat="1" applyFont="1" applyFill="1" applyBorder="1" applyAlignment="1">
      <alignment horizontal="center" vertical="center"/>
    </xf>
    <xf numFmtId="0" fontId="19" fillId="2" borderId="0" xfId="2" applyFont="1" applyFill="1" applyBorder="1" applyAlignment="1">
      <alignment horizontal="left" vertical="center"/>
    </xf>
    <xf numFmtId="3" fontId="19" fillId="2" borderId="0" xfId="2" applyNumberFormat="1" applyFont="1" applyFill="1" applyBorder="1" applyAlignment="1">
      <alignment horizontal="left" vertical="center"/>
    </xf>
    <xf numFmtId="166" fontId="19" fillId="2" borderId="0" xfId="2" applyNumberFormat="1" applyFont="1" applyFill="1" applyBorder="1" applyAlignment="1">
      <alignment horizontal="left" vertical="center"/>
    </xf>
    <xf numFmtId="3" fontId="19" fillId="2" borderId="0" xfId="0" applyNumberFormat="1" applyFont="1" applyFill="1" applyBorder="1" applyAlignment="1">
      <alignment horizontal="left" vertical="center"/>
    </xf>
    <xf numFmtId="0" fontId="21" fillId="2" borderId="1" xfId="4" quotePrefix="1" applyFont="1" applyFill="1" applyBorder="1" applyAlignment="1">
      <alignment vertical="center" wrapText="1"/>
    </xf>
    <xf numFmtId="0" fontId="18" fillId="2" borderId="1" xfId="2" applyFont="1" applyFill="1" applyBorder="1" applyAlignment="1">
      <alignment horizontal="left" wrapText="1"/>
    </xf>
    <xf numFmtId="49" fontId="18" fillId="2" borderId="1" xfId="4" applyNumberFormat="1" applyFont="1" applyFill="1" applyBorder="1" applyAlignment="1">
      <alignment horizontal="center" vertical="center"/>
    </xf>
    <xf numFmtId="0" fontId="22" fillId="2" borderId="1" xfId="4" applyFont="1" applyFill="1" applyBorder="1" applyAlignment="1">
      <alignment horizontal="left" vertical="center" wrapText="1"/>
    </xf>
    <xf numFmtId="0" fontId="28" fillId="2" borderId="1" xfId="18" quotePrefix="1" applyFont="1" applyFill="1" applyBorder="1" applyAlignment="1">
      <alignment vertical="center" wrapText="1"/>
    </xf>
    <xf numFmtId="0" fontId="28" fillId="2" borderId="1" xfId="18" quotePrefix="1" applyFont="1" applyFill="1" applyBorder="1" applyAlignment="1">
      <alignment vertical="center" wrapText="1"/>
    </xf>
    <xf numFmtId="0" fontId="29" fillId="2" borderId="1" xfId="18" applyFont="1" applyFill="1" applyBorder="1" applyAlignment="1">
      <alignment vertical="center" wrapText="1"/>
    </xf>
    <xf numFmtId="0" fontId="28" fillId="2" borderId="1" xfId="18" quotePrefix="1" applyFont="1" applyFill="1" applyBorder="1" applyAlignment="1">
      <alignment vertical="center" wrapText="1"/>
    </xf>
    <xf numFmtId="0" fontId="28" fillId="2" borderId="1" xfId="20" quotePrefix="1" applyFont="1" applyFill="1" applyBorder="1" applyAlignment="1">
      <alignment vertical="center" wrapText="1"/>
    </xf>
    <xf numFmtId="0" fontId="28" fillId="2" borderId="1" xfId="20" quotePrefix="1" applyFont="1" applyFill="1" applyBorder="1" applyAlignment="1">
      <alignment vertical="center" wrapText="1"/>
    </xf>
    <xf numFmtId="0" fontId="28" fillId="2" borderId="1" xfId="21" quotePrefix="1" applyFont="1" applyFill="1" applyBorder="1" applyAlignment="1">
      <alignment vertical="center" wrapText="1"/>
    </xf>
    <xf numFmtId="0" fontId="28" fillId="2" borderId="1" xfId="22" quotePrefix="1" applyFont="1" applyFill="1" applyBorder="1" applyAlignment="1">
      <alignment vertical="center" wrapText="1"/>
    </xf>
    <xf numFmtId="0" fontId="28" fillId="2" borderId="1" xfId="22" quotePrefix="1" applyFont="1" applyFill="1" applyBorder="1" applyAlignment="1">
      <alignment vertical="center" wrapText="1"/>
    </xf>
    <xf numFmtId="0" fontId="28" fillId="2" borderId="1" xfId="22" quotePrefix="1" applyFont="1" applyFill="1" applyBorder="1" applyAlignment="1">
      <alignment vertical="center" wrapText="1"/>
    </xf>
    <xf numFmtId="0" fontId="28" fillId="2" borderId="1" xfId="22" quotePrefix="1" applyFont="1" applyFill="1" applyBorder="1" applyAlignment="1">
      <alignment vertical="center" wrapText="1"/>
    </xf>
    <xf numFmtId="0" fontId="28" fillId="2" borderId="1" xfId="22" quotePrefix="1" applyFont="1" applyFill="1" applyBorder="1" applyAlignment="1">
      <alignment vertical="center" wrapText="1"/>
    </xf>
    <xf numFmtId="0" fontId="29" fillId="2" borderId="1" xfId="22" applyFont="1" applyFill="1" applyBorder="1" applyAlignment="1">
      <alignment vertical="center" wrapText="1"/>
    </xf>
    <xf numFmtId="0" fontId="28" fillId="2" borderId="1" xfId="23" quotePrefix="1" applyFont="1" applyFill="1" applyBorder="1" applyAlignment="1">
      <alignment vertical="center" wrapText="1"/>
    </xf>
    <xf numFmtId="0" fontId="28" fillId="2" borderId="1" xfId="23" quotePrefix="1" applyFont="1" applyFill="1" applyBorder="1" applyAlignment="1">
      <alignment vertical="center" wrapText="1"/>
    </xf>
    <xf numFmtId="0" fontId="19" fillId="0" borderId="0" xfId="0" applyFont="1" applyFill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19" fillId="2" borderId="6" xfId="0" applyFont="1" applyFill="1" applyBorder="1" applyAlignment="1">
      <alignment horizontal="center" vertical="center" wrapText="1"/>
    </xf>
    <xf numFmtId="0" fontId="19" fillId="2" borderId="7" xfId="0" applyFont="1" applyFill="1" applyBorder="1" applyAlignment="1">
      <alignment horizontal="center" vertical="center" wrapText="1"/>
    </xf>
    <xf numFmtId="0" fontId="19" fillId="2" borderId="8" xfId="0" applyFont="1" applyFill="1" applyBorder="1" applyAlignment="1">
      <alignment horizontal="center" vertical="center" wrapText="1"/>
    </xf>
    <xf numFmtId="49" fontId="18" fillId="2" borderId="2" xfId="1" applyNumberFormat="1" applyFont="1" applyFill="1" applyBorder="1" applyAlignment="1" applyProtection="1">
      <alignment horizontal="center" vertical="center" wrapText="1"/>
    </xf>
    <xf numFmtId="49" fontId="18" fillId="2" borderId="3" xfId="1" applyNumberFormat="1" applyFont="1" applyFill="1" applyBorder="1" applyAlignment="1" applyProtection="1">
      <alignment horizontal="center" vertical="center" wrapText="1"/>
    </xf>
    <xf numFmtId="49" fontId="18" fillId="2" borderId="4" xfId="1" applyNumberFormat="1" applyFont="1" applyFill="1" applyBorder="1" applyAlignment="1" applyProtection="1">
      <alignment horizontal="center" vertical="center" wrapText="1"/>
    </xf>
    <xf numFmtId="49" fontId="18" fillId="2" borderId="1" xfId="1" applyNumberFormat="1" applyFont="1" applyFill="1" applyBorder="1" applyAlignment="1" applyProtection="1">
      <alignment horizontal="center" vertical="center" wrapText="1"/>
    </xf>
    <xf numFmtId="0" fontId="18" fillId="2" borderId="1" xfId="1" applyNumberFormat="1" applyFont="1" applyFill="1" applyBorder="1" applyAlignment="1" applyProtection="1">
      <alignment horizontal="center" vertical="center" wrapText="1"/>
    </xf>
    <xf numFmtId="3" fontId="19" fillId="2" borderId="1" xfId="2" applyNumberFormat="1" applyFont="1" applyFill="1" applyBorder="1" applyAlignment="1">
      <alignment horizontal="center" vertical="center" wrapText="1"/>
    </xf>
    <xf numFmtId="166" fontId="19" fillId="2" borderId="1" xfId="2" applyNumberFormat="1" applyFont="1" applyFill="1" applyBorder="1" applyAlignment="1">
      <alignment horizontal="center" vertical="center"/>
    </xf>
    <xf numFmtId="3" fontId="19" fillId="2" borderId="1" xfId="0" applyNumberFormat="1" applyFont="1" applyFill="1" applyBorder="1" applyAlignment="1">
      <alignment horizontal="center" vertical="center"/>
    </xf>
    <xf numFmtId="3" fontId="19" fillId="2" borderId="1" xfId="2" applyNumberFormat="1" applyFont="1" applyFill="1" applyBorder="1" applyAlignment="1">
      <alignment horizontal="center" vertical="center"/>
    </xf>
    <xf numFmtId="3" fontId="18" fillId="2" borderId="1" xfId="2" applyNumberFormat="1" applyFont="1" applyFill="1" applyBorder="1" applyAlignment="1">
      <alignment horizontal="center" vertical="center"/>
    </xf>
    <xf numFmtId="166" fontId="18" fillId="2" borderId="1" xfId="2" applyNumberFormat="1" applyFont="1" applyFill="1" applyBorder="1" applyAlignment="1">
      <alignment horizontal="center" vertical="center"/>
    </xf>
    <xf numFmtId="3" fontId="18" fillId="2" borderId="1" xfId="0" applyNumberFormat="1" applyFont="1" applyFill="1" applyBorder="1" applyAlignment="1">
      <alignment horizontal="center" vertical="center"/>
    </xf>
    <xf numFmtId="3" fontId="20" fillId="2" borderId="1" xfId="2" applyNumberFormat="1" applyFont="1" applyFill="1" applyBorder="1" applyAlignment="1">
      <alignment horizontal="center" vertical="center"/>
    </xf>
    <xf numFmtId="166" fontId="20" fillId="2" borderId="1" xfId="2" applyNumberFormat="1" applyFont="1" applyFill="1" applyBorder="1" applyAlignment="1">
      <alignment horizontal="center" vertical="center"/>
    </xf>
    <xf numFmtId="3" fontId="20" fillId="2" borderId="1" xfId="0" applyNumberFormat="1" applyFont="1" applyFill="1" applyBorder="1" applyAlignment="1">
      <alignment horizontal="center" vertical="center"/>
    </xf>
    <xf numFmtId="49" fontId="21" fillId="2" borderId="1" xfId="18" applyNumberFormat="1" applyFont="1" applyFill="1" applyBorder="1" applyAlignment="1">
      <alignment horizontal="center" vertical="center" wrapText="1"/>
    </xf>
    <xf numFmtId="0" fontId="21" fillId="2" borderId="1" xfId="18" applyFont="1" applyFill="1" applyBorder="1" applyAlignment="1">
      <alignment horizontal="center" vertical="center" wrapText="1"/>
    </xf>
    <xf numFmtId="49" fontId="21" fillId="2" borderId="1" xfId="22" applyNumberFormat="1" applyFont="1" applyFill="1" applyBorder="1" applyAlignment="1">
      <alignment horizontal="center" vertical="center" wrapText="1"/>
    </xf>
    <xf numFmtId="0" fontId="21" fillId="2" borderId="1" xfId="22" applyFont="1" applyFill="1" applyBorder="1" applyAlignment="1">
      <alignment horizontal="center" vertical="center" wrapText="1"/>
    </xf>
    <xf numFmtId="49" fontId="18" fillId="2" borderId="1" xfId="22" applyNumberFormat="1" applyFont="1" applyFill="1" applyBorder="1" applyAlignment="1">
      <alignment horizontal="center" vertical="center"/>
    </xf>
    <xf numFmtId="49" fontId="18" fillId="2" borderId="1" xfId="18" applyNumberFormat="1" applyFont="1" applyFill="1" applyBorder="1" applyAlignment="1">
      <alignment horizontal="center" vertical="center"/>
    </xf>
    <xf numFmtId="49" fontId="21" fillId="2" borderId="1" xfId="19" applyNumberFormat="1" applyFont="1" applyFill="1" applyBorder="1" applyAlignment="1">
      <alignment horizontal="center" vertical="center" wrapText="1"/>
    </xf>
    <xf numFmtId="0" fontId="21" fillId="2" borderId="1" xfId="20" applyFont="1" applyFill="1" applyBorder="1" applyAlignment="1">
      <alignment horizontal="center" vertical="center" wrapText="1"/>
    </xf>
    <xf numFmtId="49" fontId="21" fillId="2" borderId="1" xfId="20" applyNumberFormat="1" applyFont="1" applyFill="1" applyBorder="1" applyAlignment="1">
      <alignment horizontal="center" vertical="center" wrapText="1"/>
    </xf>
    <xf numFmtId="49" fontId="21" fillId="2" borderId="1" xfId="21" applyNumberFormat="1" applyFont="1" applyFill="1" applyBorder="1" applyAlignment="1">
      <alignment horizontal="center" vertical="center" wrapText="1"/>
    </xf>
    <xf numFmtId="0" fontId="21" fillId="2" borderId="1" xfId="21" applyFont="1" applyFill="1" applyBorder="1" applyAlignment="1">
      <alignment horizontal="center" vertical="center" wrapText="1"/>
    </xf>
    <xf numFmtId="49" fontId="21" fillId="2" borderId="1" xfId="23" applyNumberFormat="1" applyFont="1" applyFill="1" applyBorder="1" applyAlignment="1">
      <alignment horizontal="center" vertical="center" wrapText="1"/>
    </xf>
    <xf numFmtId="0" fontId="21" fillId="2" borderId="1" xfId="23" applyFont="1" applyFill="1" applyBorder="1" applyAlignment="1">
      <alignment horizontal="center" vertical="center" wrapText="1"/>
    </xf>
    <xf numFmtId="0" fontId="21" fillId="2" borderId="1" xfId="19" quotePrefix="1" applyFont="1" applyFill="1" applyBorder="1" applyAlignment="1">
      <alignment vertical="center" wrapText="1"/>
    </xf>
    <xf numFmtId="3" fontId="19" fillId="2" borderId="0" xfId="0" applyNumberFormat="1" applyFont="1" applyFill="1" applyAlignment="1">
      <alignment vertical="center"/>
    </xf>
    <xf numFmtId="49" fontId="30" fillId="2" borderId="0" xfId="0" applyNumberFormat="1" applyFont="1" applyFill="1" applyAlignment="1">
      <alignment wrapText="1"/>
    </xf>
    <xf numFmtId="0" fontId="21" fillId="2" borderId="1" xfId="15" applyFont="1" applyFill="1" applyBorder="1" applyAlignment="1">
      <alignment vertical="center" wrapText="1"/>
    </xf>
  </cellXfs>
  <cellStyles count="24">
    <cellStyle name="Гарний 2" xfId="9"/>
    <cellStyle name="Звичайний" xfId="0" builtinId="0"/>
    <cellStyle name="Звичайний 10" xfId="16"/>
    <cellStyle name="Звичайний 11" xfId="17"/>
    <cellStyle name="Звичайний 12" xfId="18"/>
    <cellStyle name="Звичайний 13" xfId="19"/>
    <cellStyle name="Звичайний 14" xfId="20"/>
    <cellStyle name="Звичайний 15" xfId="21"/>
    <cellStyle name="Звичайний 16" xfId="22"/>
    <cellStyle name="Звичайний 17" xfId="23"/>
    <cellStyle name="Звичайний 2" xfId="4"/>
    <cellStyle name="Звичайний 3" xfId="6"/>
    <cellStyle name="Звичайний 4" xfId="7"/>
    <cellStyle name="Звичайний 5" xfId="10"/>
    <cellStyle name="Звичайний 6" xfId="11"/>
    <cellStyle name="Звичайний 7" xfId="12"/>
    <cellStyle name="Звичайний 8" xfId="13"/>
    <cellStyle name="Звичайний 9" xfId="14"/>
    <cellStyle name="Обычный 2" xfId="5"/>
    <cellStyle name="Обычный 2 2" xfId="8"/>
    <cellStyle name="Обычный 3" xfId="1"/>
    <cellStyle name="Обычный 9" xfId="15"/>
    <cellStyle name="Обычный_дод 2" xfId="3"/>
    <cellStyle name="Обычный_дод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06"/>
  <sheetViews>
    <sheetView showZeros="0" tabSelected="1" view="pageBreakPreview" zoomScale="50" zoomScaleNormal="75" zoomScaleSheetLayoutView="50" workbookViewId="0">
      <pane xSplit="4" ySplit="7" topLeftCell="E93" activePane="bottomRight" state="frozen"/>
      <selection pane="topRight" activeCell="E1" sqref="E1"/>
      <selection pane="bottomLeft" activeCell="A9" sqref="A9"/>
      <selection pane="bottomRight" activeCell="J93" sqref="J93"/>
    </sheetView>
  </sheetViews>
  <sheetFormatPr defaultColWidth="8.88671875" defaultRowHeight="18"/>
  <cols>
    <col min="1" max="1" width="15.33203125" style="28" customWidth="1"/>
    <col min="2" max="2" width="11.44140625" style="2" customWidth="1"/>
    <col min="3" max="3" width="14.33203125" style="2" customWidth="1"/>
    <col min="4" max="4" width="53.33203125" style="1" customWidth="1"/>
    <col min="5" max="5" width="17.5546875" style="1" customWidth="1"/>
    <col min="6" max="6" width="16.33203125" style="1" customWidth="1"/>
    <col min="7" max="7" width="17.77734375" style="1" customWidth="1"/>
    <col min="8" max="8" width="19.6640625" style="1" customWidth="1"/>
    <col min="9" max="9" width="22.44140625" style="1" customWidth="1"/>
    <col min="10" max="10" width="19.6640625" style="1" customWidth="1"/>
    <col min="11" max="11" width="19.109375" style="1" customWidth="1"/>
    <col min="12" max="12" width="21.5546875" style="1" customWidth="1"/>
    <col min="13" max="13" width="14.109375" style="1" customWidth="1"/>
    <col min="14" max="14" width="14.5546875" style="1" customWidth="1"/>
    <col min="15" max="15" width="18.88671875" style="1" customWidth="1"/>
    <col min="16" max="16" width="19.6640625" style="1" customWidth="1"/>
    <col min="17" max="17" width="21.109375" style="1" customWidth="1"/>
    <col min="18" max="18" width="20.109375" style="1" customWidth="1"/>
    <col min="19" max="19" width="19.109375" style="1" customWidth="1"/>
    <col min="20" max="20" width="20" style="1" customWidth="1"/>
    <col min="21" max="21" width="14.33203125" style="1" bestFit="1" customWidth="1"/>
    <col min="22" max="16384" width="8.88671875" style="1"/>
  </cols>
  <sheetData>
    <row r="1" spans="1:21" ht="59.25" customHeight="1">
      <c r="A1" s="100" t="s">
        <v>367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</row>
    <row r="2" spans="1:21" ht="20.399999999999999" customHeight="1">
      <c r="A2" s="106" t="s">
        <v>165</v>
      </c>
      <c r="B2" s="106" t="s">
        <v>166</v>
      </c>
      <c r="C2" s="109" t="s">
        <v>167</v>
      </c>
      <c r="D2" s="110" t="s">
        <v>168</v>
      </c>
      <c r="E2" s="103" t="s">
        <v>359</v>
      </c>
      <c r="F2" s="104"/>
      <c r="G2" s="104"/>
      <c r="H2" s="105"/>
      <c r="I2" s="103" t="s">
        <v>360</v>
      </c>
      <c r="J2" s="104"/>
      <c r="K2" s="104"/>
      <c r="L2" s="105"/>
      <c r="M2" s="103" t="s">
        <v>183</v>
      </c>
      <c r="N2" s="104"/>
      <c r="O2" s="104"/>
      <c r="P2" s="105"/>
      <c r="Q2" s="103" t="s">
        <v>250</v>
      </c>
      <c r="R2" s="104"/>
      <c r="S2" s="104"/>
      <c r="T2" s="105"/>
    </row>
    <row r="3" spans="1:21" ht="25.5" customHeight="1">
      <c r="A3" s="107"/>
      <c r="B3" s="107"/>
      <c r="C3" s="109"/>
      <c r="D3" s="110"/>
      <c r="E3" s="101" t="s">
        <v>296</v>
      </c>
      <c r="F3" s="101" t="s">
        <v>182</v>
      </c>
      <c r="G3" s="101"/>
      <c r="H3" s="101"/>
      <c r="I3" s="101" t="s">
        <v>296</v>
      </c>
      <c r="J3" s="101" t="s">
        <v>182</v>
      </c>
      <c r="K3" s="101"/>
      <c r="L3" s="101"/>
      <c r="M3" s="101" t="s">
        <v>296</v>
      </c>
      <c r="N3" s="101" t="s">
        <v>182</v>
      </c>
      <c r="O3" s="101"/>
      <c r="P3" s="101"/>
      <c r="Q3" s="101" t="s">
        <v>296</v>
      </c>
      <c r="R3" s="101" t="s">
        <v>182</v>
      </c>
      <c r="S3" s="101"/>
      <c r="T3" s="101"/>
    </row>
    <row r="4" spans="1:21" ht="15" customHeight="1">
      <c r="A4" s="107"/>
      <c r="B4" s="107"/>
      <c r="C4" s="109"/>
      <c r="D4" s="110"/>
      <c r="E4" s="101"/>
      <c r="F4" s="101" t="s">
        <v>180</v>
      </c>
      <c r="G4" s="101" t="s">
        <v>179</v>
      </c>
      <c r="H4" s="101"/>
      <c r="I4" s="101"/>
      <c r="J4" s="101" t="s">
        <v>180</v>
      </c>
      <c r="K4" s="101" t="s">
        <v>179</v>
      </c>
      <c r="L4" s="101"/>
      <c r="M4" s="101"/>
      <c r="N4" s="101" t="s">
        <v>180</v>
      </c>
      <c r="O4" s="101" t="s">
        <v>179</v>
      </c>
      <c r="P4" s="101"/>
      <c r="Q4" s="101"/>
      <c r="R4" s="101" t="s">
        <v>180</v>
      </c>
      <c r="S4" s="101" t="s">
        <v>179</v>
      </c>
      <c r="T4" s="101"/>
    </row>
    <row r="5" spans="1:21" ht="24" customHeight="1">
      <c r="A5" s="107"/>
      <c r="B5" s="107"/>
      <c r="C5" s="109"/>
      <c r="D5" s="110"/>
      <c r="E5" s="101"/>
      <c r="F5" s="102"/>
      <c r="G5" s="101" t="s">
        <v>297</v>
      </c>
      <c r="H5" s="35" t="s">
        <v>181</v>
      </c>
      <c r="I5" s="101"/>
      <c r="J5" s="102"/>
      <c r="K5" s="101" t="s">
        <v>297</v>
      </c>
      <c r="L5" s="35" t="s">
        <v>181</v>
      </c>
      <c r="M5" s="101"/>
      <c r="N5" s="102"/>
      <c r="O5" s="101" t="s">
        <v>297</v>
      </c>
      <c r="P5" s="35" t="s">
        <v>181</v>
      </c>
      <c r="Q5" s="101"/>
      <c r="R5" s="102"/>
      <c r="S5" s="101" t="s">
        <v>297</v>
      </c>
      <c r="T5" s="35" t="s">
        <v>181</v>
      </c>
    </row>
    <row r="6" spans="1:21" ht="168.75" customHeight="1">
      <c r="A6" s="108"/>
      <c r="B6" s="108"/>
      <c r="C6" s="109"/>
      <c r="D6" s="110"/>
      <c r="E6" s="101"/>
      <c r="F6" s="102"/>
      <c r="G6" s="101"/>
      <c r="H6" s="35" t="s">
        <v>0</v>
      </c>
      <c r="I6" s="101"/>
      <c r="J6" s="102"/>
      <c r="K6" s="101"/>
      <c r="L6" s="35" t="s">
        <v>0</v>
      </c>
      <c r="M6" s="101"/>
      <c r="N6" s="102"/>
      <c r="O6" s="101"/>
      <c r="P6" s="35" t="s">
        <v>0</v>
      </c>
      <c r="Q6" s="101"/>
      <c r="R6" s="102"/>
      <c r="S6" s="101"/>
      <c r="T6" s="35" t="s">
        <v>0</v>
      </c>
    </row>
    <row r="7" spans="1:21">
      <c r="A7" s="23">
        <v>1</v>
      </c>
      <c r="B7" s="23">
        <v>2</v>
      </c>
      <c r="C7" s="23">
        <v>3</v>
      </c>
      <c r="D7" s="8">
        <v>4</v>
      </c>
      <c r="E7" s="8">
        <v>5</v>
      </c>
      <c r="F7" s="8">
        <v>6</v>
      </c>
      <c r="G7" s="8">
        <v>7</v>
      </c>
      <c r="H7" s="8">
        <v>8</v>
      </c>
      <c r="I7" s="8">
        <v>9</v>
      </c>
      <c r="J7" s="8">
        <v>10</v>
      </c>
      <c r="K7" s="8">
        <v>11</v>
      </c>
      <c r="L7" s="8">
        <v>12</v>
      </c>
      <c r="M7" s="8">
        <v>13</v>
      </c>
      <c r="N7" s="8">
        <v>14</v>
      </c>
      <c r="O7" s="8">
        <v>15</v>
      </c>
      <c r="P7" s="8">
        <v>16</v>
      </c>
      <c r="Q7" s="9">
        <v>17</v>
      </c>
      <c r="R7" s="9">
        <v>18</v>
      </c>
      <c r="S7" s="9">
        <v>19</v>
      </c>
      <c r="T7" s="9">
        <v>20</v>
      </c>
    </row>
    <row r="8" spans="1:21" s="30" customFormat="1" ht="52.2">
      <c r="A8" s="25" t="s">
        <v>63</v>
      </c>
      <c r="B8" s="25"/>
      <c r="C8" s="25"/>
      <c r="D8" s="10" t="s">
        <v>208</v>
      </c>
      <c r="E8" s="111">
        <f t="shared" ref="E8:L8" si="0">E9</f>
        <v>148913126.70999998</v>
      </c>
      <c r="F8" s="111">
        <f t="shared" si="0"/>
        <v>145808492.41999999</v>
      </c>
      <c r="G8" s="111">
        <f t="shared" si="0"/>
        <v>3104634.29</v>
      </c>
      <c r="H8" s="111">
        <f t="shared" si="0"/>
        <v>2731075.96</v>
      </c>
      <c r="I8" s="111">
        <f t="shared" si="0"/>
        <v>178702193.60000002</v>
      </c>
      <c r="J8" s="111">
        <f t="shared" si="0"/>
        <v>164057299.87000003</v>
      </c>
      <c r="K8" s="111">
        <f t="shared" si="0"/>
        <v>14644893.729999999</v>
      </c>
      <c r="L8" s="111">
        <f t="shared" si="0"/>
        <v>7852908.7699999996</v>
      </c>
      <c r="M8" s="112">
        <f>IFERROR((I8/E8),"")</f>
        <v>1.2000432570864796</v>
      </c>
      <c r="N8" s="112">
        <f t="shared" ref="N8" si="1">IFERROR((J8/F8),"")</f>
        <v>1.125155998440986</v>
      </c>
      <c r="O8" s="112" t="s">
        <v>358</v>
      </c>
      <c r="P8" s="112" t="s">
        <v>356</v>
      </c>
      <c r="Q8" s="113">
        <f>I8-E8</f>
        <v>29789066.890000045</v>
      </c>
      <c r="R8" s="113">
        <f>J8-F8</f>
        <v>18248807.450000048</v>
      </c>
      <c r="S8" s="113">
        <f t="shared" ref="S8:T8" si="2">K8-G8</f>
        <v>11540259.439999998</v>
      </c>
      <c r="T8" s="113">
        <f t="shared" si="2"/>
        <v>5121832.8099999996</v>
      </c>
    </row>
    <row r="9" spans="1:21" s="30" customFormat="1" ht="52.2">
      <c r="A9" s="25" t="s">
        <v>64</v>
      </c>
      <c r="B9" s="25"/>
      <c r="C9" s="25"/>
      <c r="D9" s="10" t="s">
        <v>209</v>
      </c>
      <c r="E9" s="114">
        <f>F9+G9</f>
        <v>148913126.70999998</v>
      </c>
      <c r="F9" s="114">
        <f>F10+F15+F16+F17+F18+F19+F20+F22+F23+F35+F38+F36+F42+F34+F37+F21+F39+F40+F28+F31+F27+F29+F30+F33+F32+F41</f>
        <v>145808492.41999999</v>
      </c>
      <c r="G9" s="114">
        <f t="shared" ref="G9:H9" si="3">G10+G15+G16+G17+G18+G19+G20+G22+G23+G35+G38+G36+G42+G34+G37+G21+G39+G40+G28+G31+G27+G29+G30+G33+G32+G41</f>
        <v>3104634.29</v>
      </c>
      <c r="H9" s="114">
        <f t="shared" si="3"/>
        <v>2731075.96</v>
      </c>
      <c r="I9" s="114">
        <f>J9+K9</f>
        <v>178702193.60000002</v>
      </c>
      <c r="J9" s="114">
        <f>J10+J15+J16+J17+J18+J19+J20+J22+J23+J35+J38+J36+J42+J34+J37+J21+J39+J40+J28+J31+J27+J29+J30+J33+J32+J41</f>
        <v>164057299.87000003</v>
      </c>
      <c r="K9" s="114">
        <f t="shared" ref="K9:L9" si="4">K10+K15+K16+K17+K18+K19+K20+K22+K23+K35+K38+K36+K42+K34+K37+K21+K39+K40+K28+K31+K27+K29+K30+K33+K32+K41</f>
        <v>14644893.729999999</v>
      </c>
      <c r="L9" s="114">
        <f t="shared" si="4"/>
        <v>7852908.7699999996</v>
      </c>
      <c r="M9" s="112">
        <f t="shared" ref="M9" si="5">IFERROR((I9/E9),"")</f>
        <v>1.2000432570864796</v>
      </c>
      <c r="N9" s="112">
        <f t="shared" ref="N9" si="6">IFERROR((J9/F9),"")</f>
        <v>1.125155998440986</v>
      </c>
      <c r="O9" s="112" t="s">
        <v>355</v>
      </c>
      <c r="P9" s="112" t="s">
        <v>356</v>
      </c>
      <c r="Q9" s="113">
        <f t="shared" ref="Q9" si="7">I9-E9</f>
        <v>29789066.890000045</v>
      </c>
      <c r="R9" s="113">
        <f t="shared" ref="R9" si="8">J9-F9</f>
        <v>18248807.450000048</v>
      </c>
      <c r="S9" s="113">
        <f t="shared" ref="S9" si="9">K9-G9</f>
        <v>11540259.439999998</v>
      </c>
      <c r="T9" s="113">
        <f t="shared" ref="T9" si="10">L9-H9</f>
        <v>5121832.8099999996</v>
      </c>
    </row>
    <row r="10" spans="1:21" s="40" customFormat="1" ht="90">
      <c r="A10" s="23" t="s">
        <v>65</v>
      </c>
      <c r="B10" s="23" t="s">
        <v>52</v>
      </c>
      <c r="C10" s="23" t="s">
        <v>3</v>
      </c>
      <c r="D10" s="24" t="s">
        <v>53</v>
      </c>
      <c r="E10" s="115">
        <f>F10+G10</f>
        <v>62149267.850000001</v>
      </c>
      <c r="F10" s="115">
        <f>F11+F12+F13+F14</f>
        <v>60842977.640000001</v>
      </c>
      <c r="G10" s="115">
        <f>G11+G12+G13+G14</f>
        <v>1306290.21</v>
      </c>
      <c r="H10" s="115">
        <f>H11+H12+H13+H14</f>
        <v>932731.88</v>
      </c>
      <c r="I10" s="115">
        <f>J10+K10</f>
        <v>82639567.290000007</v>
      </c>
      <c r="J10" s="115">
        <f>J11+J12+J13+J14</f>
        <v>74797582.330000013</v>
      </c>
      <c r="K10" s="115">
        <f>K11+K12+K13+K14</f>
        <v>7841984.959999999</v>
      </c>
      <c r="L10" s="115">
        <f>L11+L12+L13+L14</f>
        <v>1100000</v>
      </c>
      <c r="M10" s="116">
        <f t="shared" ref="M10:M88" si="11">IFERROR((I10/E10),"")</f>
        <v>1.3296949449099584</v>
      </c>
      <c r="N10" s="116">
        <f t="shared" ref="N10:N88" si="12">IFERROR((J10/F10),"")</f>
        <v>1.2293544009724113</v>
      </c>
      <c r="O10" s="116" t="s">
        <v>357</v>
      </c>
      <c r="P10" s="116">
        <f t="shared" ref="P10:P88" si="13">IFERROR((L10/H10),"")</f>
        <v>1.1793314065774185</v>
      </c>
      <c r="Q10" s="117">
        <f t="shared" ref="Q10:Q88" si="14">I10-E10</f>
        <v>20490299.440000005</v>
      </c>
      <c r="R10" s="117">
        <f t="shared" ref="R10:R88" si="15">J10-F10</f>
        <v>13954604.690000013</v>
      </c>
      <c r="S10" s="117">
        <f t="shared" ref="S10:S88" si="16">K10-G10</f>
        <v>6535694.7499999991</v>
      </c>
      <c r="T10" s="117">
        <f t="shared" ref="T10:T88" si="17">L10-H10</f>
        <v>167268.12</v>
      </c>
      <c r="U10" s="31"/>
    </row>
    <row r="11" spans="1:21" s="32" customFormat="1" ht="36">
      <c r="A11" s="26"/>
      <c r="B11" s="26"/>
      <c r="C11" s="26"/>
      <c r="D11" s="11" t="s">
        <v>209</v>
      </c>
      <c r="E11" s="118">
        <f>F11+G11</f>
        <v>55733146.840000004</v>
      </c>
      <c r="F11" s="118">
        <v>54608177.170000002</v>
      </c>
      <c r="G11" s="118">
        <f>160912.26+204174.53+759882.88</f>
        <v>1124969.67</v>
      </c>
      <c r="H11" s="118">
        <v>759882.88</v>
      </c>
      <c r="I11" s="118">
        <f>J11+K11</f>
        <v>73472215.820000008</v>
      </c>
      <c r="J11" s="118">
        <v>66732280.880000003</v>
      </c>
      <c r="K11" s="118">
        <f>53199.14+6686735.8</f>
        <v>6739934.9399999995</v>
      </c>
      <c r="L11" s="118"/>
      <c r="M11" s="119">
        <f t="shared" si="11"/>
        <v>1.3182857955414886</v>
      </c>
      <c r="N11" s="119">
        <f t="shared" si="12"/>
        <v>1.2220199306828465</v>
      </c>
      <c r="O11" s="119" t="s">
        <v>357</v>
      </c>
      <c r="P11" s="119">
        <f t="shared" si="13"/>
        <v>0</v>
      </c>
      <c r="Q11" s="120">
        <f t="shared" si="14"/>
        <v>17739068.980000004</v>
      </c>
      <c r="R11" s="120">
        <f t="shared" si="15"/>
        <v>12124103.710000001</v>
      </c>
      <c r="S11" s="120">
        <f t="shared" si="16"/>
        <v>5614965.2699999996</v>
      </c>
      <c r="T11" s="120">
        <f t="shared" si="17"/>
        <v>-759882.88</v>
      </c>
    </row>
    <row r="12" spans="1:21" s="32" customFormat="1" ht="54">
      <c r="A12" s="26"/>
      <c r="B12" s="26"/>
      <c r="C12" s="26"/>
      <c r="D12" s="11" t="s">
        <v>216</v>
      </c>
      <c r="E12" s="118">
        <f t="shared" ref="E12:E14" si="18">F12+G12</f>
        <v>2474256.9500000002</v>
      </c>
      <c r="F12" s="118">
        <v>2422407.41</v>
      </c>
      <c r="G12" s="118">
        <f>1950.54+49899</f>
        <v>51849.54</v>
      </c>
      <c r="H12" s="118">
        <v>49899</v>
      </c>
      <c r="I12" s="118">
        <f t="shared" ref="I12:I13" si="19">J12+K12</f>
        <v>4433065.18</v>
      </c>
      <c r="J12" s="118">
        <v>3331015.16</v>
      </c>
      <c r="K12" s="118">
        <f>2050.02+1100000</f>
        <v>1102050.02</v>
      </c>
      <c r="L12" s="118">
        <v>1100000</v>
      </c>
      <c r="M12" s="119">
        <f t="shared" si="11"/>
        <v>1.7916753472188891</v>
      </c>
      <c r="N12" s="119">
        <f t="shared" si="12"/>
        <v>1.3750846146891533</v>
      </c>
      <c r="O12" s="119" t="s">
        <v>433</v>
      </c>
      <c r="P12" s="119" t="s">
        <v>434</v>
      </c>
      <c r="Q12" s="120">
        <f t="shared" si="14"/>
        <v>1958808.2299999995</v>
      </c>
      <c r="R12" s="120">
        <f t="shared" si="15"/>
        <v>908607.75</v>
      </c>
      <c r="S12" s="120">
        <f t="shared" si="16"/>
        <v>1050200.48</v>
      </c>
      <c r="T12" s="120">
        <f t="shared" si="17"/>
        <v>1050101</v>
      </c>
    </row>
    <row r="13" spans="1:21" s="32" customFormat="1" ht="54">
      <c r="A13" s="26"/>
      <c r="B13" s="26"/>
      <c r="C13" s="26"/>
      <c r="D13" s="11" t="s">
        <v>217</v>
      </c>
      <c r="E13" s="118">
        <f t="shared" si="18"/>
        <v>1754878.86</v>
      </c>
      <c r="F13" s="118">
        <v>1672288.86</v>
      </c>
      <c r="G13" s="118">
        <v>82590</v>
      </c>
      <c r="H13" s="118">
        <v>82590</v>
      </c>
      <c r="I13" s="118">
        <f t="shared" si="19"/>
        <v>2069967.34</v>
      </c>
      <c r="J13" s="118">
        <v>2069967.34</v>
      </c>
      <c r="K13" s="118"/>
      <c r="L13" s="118"/>
      <c r="M13" s="119">
        <f t="shared" si="11"/>
        <v>1.1795499889946819</v>
      </c>
      <c r="N13" s="119">
        <f t="shared" si="12"/>
        <v>1.2378048969362865</v>
      </c>
      <c r="O13" s="119">
        <f t="shared" ref="O13" si="20">IFERROR((K13/G13),"")</f>
        <v>0</v>
      </c>
      <c r="P13" s="119">
        <f t="shared" ref="P13" si="21">IFERROR((L13/H13),"")</f>
        <v>0</v>
      </c>
      <c r="Q13" s="120">
        <f t="shared" si="14"/>
        <v>315088.48</v>
      </c>
      <c r="R13" s="120">
        <f t="shared" si="15"/>
        <v>397678.48</v>
      </c>
      <c r="S13" s="120">
        <f t="shared" si="16"/>
        <v>-82590</v>
      </c>
      <c r="T13" s="120">
        <f t="shared" si="17"/>
        <v>-82590</v>
      </c>
    </row>
    <row r="14" spans="1:21" s="32" customFormat="1" ht="54">
      <c r="A14" s="26"/>
      <c r="B14" s="26"/>
      <c r="C14" s="26"/>
      <c r="D14" s="11" t="s">
        <v>218</v>
      </c>
      <c r="E14" s="118">
        <f t="shared" si="18"/>
        <v>2186985.2000000002</v>
      </c>
      <c r="F14" s="118">
        <v>2140104.2000000002</v>
      </c>
      <c r="G14" s="118">
        <f>6521+40360</f>
        <v>46881</v>
      </c>
      <c r="H14" s="118">
        <v>40360</v>
      </c>
      <c r="I14" s="118">
        <f t="shared" ref="I14:I80" si="22">J14+K14</f>
        <v>2664318.9500000002</v>
      </c>
      <c r="J14" s="118">
        <v>2664318.9500000002</v>
      </c>
      <c r="K14" s="118"/>
      <c r="L14" s="118"/>
      <c r="M14" s="119">
        <f t="shared" si="11"/>
        <v>1.2182610792244959</v>
      </c>
      <c r="N14" s="119">
        <f t="shared" si="12"/>
        <v>1.2449482366325901</v>
      </c>
      <c r="O14" s="119">
        <f t="shared" ref="O14:O15" si="23">IFERROR((K14/G14),"")</f>
        <v>0</v>
      </c>
      <c r="P14" s="119">
        <f t="shared" ref="P14:P15" si="24">IFERROR((L14/H14),"")</f>
        <v>0</v>
      </c>
      <c r="Q14" s="120">
        <f t="shared" si="14"/>
        <v>477333.75</v>
      </c>
      <c r="R14" s="120">
        <f t="shared" si="15"/>
        <v>524214.75</v>
      </c>
      <c r="S14" s="120">
        <f t="shared" si="16"/>
        <v>-46881</v>
      </c>
      <c r="T14" s="120">
        <f t="shared" si="17"/>
        <v>-40360</v>
      </c>
    </row>
    <row r="15" spans="1:21" s="40" customFormat="1" ht="54">
      <c r="A15" s="23" t="s">
        <v>116</v>
      </c>
      <c r="B15" s="23" t="s">
        <v>117</v>
      </c>
      <c r="C15" s="23" t="s">
        <v>118</v>
      </c>
      <c r="D15" s="24" t="s">
        <v>119</v>
      </c>
      <c r="E15" s="115">
        <f>F15</f>
        <v>8840</v>
      </c>
      <c r="F15" s="115">
        <v>8840</v>
      </c>
      <c r="G15" s="115"/>
      <c r="H15" s="115"/>
      <c r="I15" s="115">
        <f t="shared" si="22"/>
        <v>22200</v>
      </c>
      <c r="J15" s="115">
        <v>22200</v>
      </c>
      <c r="K15" s="115"/>
      <c r="L15" s="115"/>
      <c r="M15" s="116">
        <f t="shared" si="11"/>
        <v>2.5113122171945701</v>
      </c>
      <c r="N15" s="116">
        <f t="shared" si="12"/>
        <v>2.5113122171945701</v>
      </c>
      <c r="O15" s="116" t="str">
        <f t="shared" si="23"/>
        <v/>
      </c>
      <c r="P15" s="116" t="str">
        <f t="shared" si="24"/>
        <v/>
      </c>
      <c r="Q15" s="117">
        <f t="shared" si="14"/>
        <v>13360</v>
      </c>
      <c r="R15" s="117">
        <f t="shared" si="15"/>
        <v>13360</v>
      </c>
      <c r="S15" s="117">
        <f t="shared" si="16"/>
        <v>0</v>
      </c>
      <c r="T15" s="117">
        <f t="shared" si="17"/>
        <v>0</v>
      </c>
    </row>
    <row r="16" spans="1:21" s="40" customFormat="1" ht="36">
      <c r="A16" s="23" t="s">
        <v>120</v>
      </c>
      <c r="B16" s="23" t="s">
        <v>8</v>
      </c>
      <c r="C16" s="23" t="s">
        <v>6</v>
      </c>
      <c r="D16" s="24" t="s">
        <v>121</v>
      </c>
      <c r="E16" s="115">
        <f t="shared" ref="E16:E35" si="25">F16+G16</f>
        <v>1002095.1</v>
      </c>
      <c r="F16" s="115">
        <v>1002095.1</v>
      </c>
      <c r="G16" s="115"/>
      <c r="H16" s="115"/>
      <c r="I16" s="115">
        <f t="shared" si="22"/>
        <v>1215052.06</v>
      </c>
      <c r="J16" s="115">
        <v>1215052.06</v>
      </c>
      <c r="K16" s="115"/>
      <c r="L16" s="115"/>
      <c r="M16" s="116">
        <f t="shared" si="11"/>
        <v>1.2125117266814298</v>
      </c>
      <c r="N16" s="116">
        <f t="shared" si="12"/>
        <v>1.2125117266814298</v>
      </c>
      <c r="O16" s="116" t="str">
        <f t="shared" ref="O16:O88" si="26">IFERROR((K16/G16),"")</f>
        <v/>
      </c>
      <c r="P16" s="116" t="str">
        <f t="shared" si="13"/>
        <v/>
      </c>
      <c r="Q16" s="117">
        <f t="shared" si="14"/>
        <v>212956.96000000008</v>
      </c>
      <c r="R16" s="117">
        <f t="shared" si="15"/>
        <v>212956.96000000008</v>
      </c>
      <c r="S16" s="117">
        <f t="shared" si="16"/>
        <v>0</v>
      </c>
      <c r="T16" s="117">
        <f t="shared" si="17"/>
        <v>0</v>
      </c>
    </row>
    <row r="17" spans="1:21" s="40" customFormat="1" ht="36">
      <c r="A17" s="23" t="s">
        <v>66</v>
      </c>
      <c r="B17" s="23" t="s">
        <v>28</v>
      </c>
      <c r="C17" s="23" t="s">
        <v>29</v>
      </c>
      <c r="D17" s="38" t="s">
        <v>160</v>
      </c>
      <c r="E17" s="115">
        <f t="shared" si="25"/>
        <v>31307006.539999999</v>
      </c>
      <c r="F17" s="115">
        <v>31207015.039999999</v>
      </c>
      <c r="G17" s="115">
        <v>99991.5</v>
      </c>
      <c r="H17" s="115">
        <f>G17</f>
        <v>99991.5</v>
      </c>
      <c r="I17" s="115">
        <f t="shared" si="22"/>
        <v>27237283.219999999</v>
      </c>
      <c r="J17" s="115">
        <v>24566760.969999999</v>
      </c>
      <c r="K17" s="115">
        <v>2670522.25</v>
      </c>
      <c r="L17" s="115">
        <v>2670522.25</v>
      </c>
      <c r="M17" s="116">
        <f t="shared" si="11"/>
        <v>0.87000599003931467</v>
      </c>
      <c r="N17" s="116">
        <f t="shared" si="12"/>
        <v>0.78721918576676531</v>
      </c>
      <c r="O17" s="116" t="s">
        <v>435</v>
      </c>
      <c r="P17" s="116" t="s">
        <v>435</v>
      </c>
      <c r="Q17" s="117">
        <f t="shared" si="14"/>
        <v>-4069723.3200000003</v>
      </c>
      <c r="R17" s="117">
        <f t="shared" si="15"/>
        <v>-6640254.0700000003</v>
      </c>
      <c r="S17" s="117">
        <f t="shared" si="16"/>
        <v>2570530.75</v>
      </c>
      <c r="T17" s="117">
        <f t="shared" si="17"/>
        <v>2570530.75</v>
      </c>
      <c r="U17" s="31"/>
    </row>
    <row r="18" spans="1:21" s="40" customFormat="1" ht="30" customHeight="1">
      <c r="A18" s="23" t="s">
        <v>67</v>
      </c>
      <c r="B18" s="23" t="s">
        <v>54</v>
      </c>
      <c r="C18" s="23" t="s">
        <v>30</v>
      </c>
      <c r="D18" s="38" t="s">
        <v>222</v>
      </c>
      <c r="E18" s="115">
        <f t="shared" si="25"/>
        <v>6999942.8300000001</v>
      </c>
      <c r="F18" s="115">
        <v>6972642.8300000001</v>
      </c>
      <c r="G18" s="115">
        <v>27300</v>
      </c>
      <c r="H18" s="115">
        <f>G18</f>
        <v>27300</v>
      </c>
      <c r="I18" s="115">
        <f t="shared" si="22"/>
        <v>10155424.43</v>
      </c>
      <c r="J18" s="115">
        <v>9287244.4299999997</v>
      </c>
      <c r="K18" s="115">
        <v>868180</v>
      </c>
      <c r="L18" s="115">
        <v>868180</v>
      </c>
      <c r="M18" s="116">
        <f t="shared" si="11"/>
        <v>1.4507867673542127</v>
      </c>
      <c r="N18" s="116">
        <f t="shared" si="12"/>
        <v>1.3319547059030987</v>
      </c>
      <c r="O18" s="116" t="s">
        <v>436</v>
      </c>
      <c r="P18" s="116" t="s">
        <v>436</v>
      </c>
      <c r="Q18" s="117">
        <f t="shared" si="14"/>
        <v>3155481.5999999996</v>
      </c>
      <c r="R18" s="117">
        <f t="shared" si="15"/>
        <v>2314601.5999999996</v>
      </c>
      <c r="S18" s="117">
        <f t="shared" si="16"/>
        <v>840880</v>
      </c>
      <c r="T18" s="117">
        <f t="shared" si="17"/>
        <v>840880</v>
      </c>
    </row>
    <row r="19" spans="1:21" s="40" customFormat="1" ht="54">
      <c r="A19" s="21" t="s">
        <v>237</v>
      </c>
      <c r="B19" s="21">
        <v>2111</v>
      </c>
      <c r="C19" s="21" t="s">
        <v>238</v>
      </c>
      <c r="D19" s="68" t="s">
        <v>239</v>
      </c>
      <c r="E19" s="115">
        <f t="shared" si="25"/>
        <v>2954330.28</v>
      </c>
      <c r="F19" s="115">
        <v>2885430.28</v>
      </c>
      <c r="G19" s="115">
        <v>68900</v>
      </c>
      <c r="H19" s="115">
        <f>G19</f>
        <v>68900</v>
      </c>
      <c r="I19" s="115">
        <f t="shared" si="22"/>
        <v>12366977.35</v>
      </c>
      <c r="J19" s="115">
        <v>11485292.83</v>
      </c>
      <c r="K19" s="115">
        <v>881684.52</v>
      </c>
      <c r="L19" s="115">
        <v>881684.52</v>
      </c>
      <c r="M19" s="116" t="s">
        <v>358</v>
      </c>
      <c r="N19" s="116" t="s">
        <v>358</v>
      </c>
      <c r="O19" s="116" t="s">
        <v>437</v>
      </c>
      <c r="P19" s="116" t="s">
        <v>437</v>
      </c>
      <c r="Q19" s="117">
        <f t="shared" si="14"/>
        <v>9412647.0700000003</v>
      </c>
      <c r="R19" s="117">
        <f t="shared" si="15"/>
        <v>8599862.5500000007</v>
      </c>
      <c r="S19" s="117">
        <f t="shared" si="16"/>
        <v>812784.52</v>
      </c>
      <c r="T19" s="117">
        <f t="shared" si="17"/>
        <v>812784.52</v>
      </c>
    </row>
    <row r="20" spans="1:21" s="40" customFormat="1" ht="36">
      <c r="A20" s="21" t="s">
        <v>240</v>
      </c>
      <c r="B20" s="21" t="s">
        <v>188</v>
      </c>
      <c r="C20" s="21" t="s">
        <v>128</v>
      </c>
      <c r="D20" s="68" t="s">
        <v>241</v>
      </c>
      <c r="E20" s="115">
        <f t="shared" si="25"/>
        <v>1402479.88</v>
      </c>
      <c r="F20" s="115">
        <f>523369.15+879110.73</f>
        <v>1402479.88</v>
      </c>
      <c r="G20" s="115"/>
      <c r="H20" s="115"/>
      <c r="I20" s="115">
        <f t="shared" si="22"/>
        <v>1463650.26</v>
      </c>
      <c r="J20" s="115">
        <f>213687.47+1249962.79</f>
        <v>1463650.26</v>
      </c>
      <c r="K20" s="115"/>
      <c r="L20" s="115"/>
      <c r="M20" s="116">
        <f t="shared" si="11"/>
        <v>1.0436158699118023</v>
      </c>
      <c r="N20" s="116">
        <f t="shared" si="12"/>
        <v>1.0436158699118023</v>
      </c>
      <c r="O20" s="116" t="str">
        <f t="shared" si="26"/>
        <v/>
      </c>
      <c r="P20" s="116" t="str">
        <f t="shared" si="13"/>
        <v/>
      </c>
      <c r="Q20" s="117">
        <f t="shared" si="14"/>
        <v>61170.380000000121</v>
      </c>
      <c r="R20" s="117">
        <f t="shared" si="15"/>
        <v>61170.380000000121</v>
      </c>
      <c r="S20" s="117">
        <f t="shared" si="16"/>
        <v>0</v>
      </c>
      <c r="T20" s="117">
        <f t="shared" si="17"/>
        <v>0</v>
      </c>
    </row>
    <row r="21" spans="1:21" s="40" customFormat="1" ht="36">
      <c r="A21" s="23" t="s">
        <v>298</v>
      </c>
      <c r="B21" s="23" t="s">
        <v>34</v>
      </c>
      <c r="C21" s="23" t="s">
        <v>17</v>
      </c>
      <c r="D21" s="38" t="s">
        <v>43</v>
      </c>
      <c r="E21" s="115">
        <f t="shared" si="25"/>
        <v>36000</v>
      </c>
      <c r="F21" s="115">
        <v>36000</v>
      </c>
      <c r="G21" s="115"/>
      <c r="H21" s="115"/>
      <c r="I21" s="115">
        <f t="shared" si="22"/>
        <v>0</v>
      </c>
      <c r="J21" s="115"/>
      <c r="K21" s="115"/>
      <c r="L21" s="115"/>
      <c r="M21" s="116">
        <f t="shared" ref="M21" si="27">IFERROR((I21/E21),"")</f>
        <v>0</v>
      </c>
      <c r="N21" s="116">
        <f t="shared" ref="N21" si="28">IFERROR((J21/F21),"")</f>
        <v>0</v>
      </c>
      <c r="O21" s="116" t="str">
        <f t="shared" si="26"/>
        <v/>
      </c>
      <c r="P21" s="116" t="str">
        <f t="shared" si="13"/>
        <v/>
      </c>
      <c r="Q21" s="117">
        <f t="shared" si="14"/>
        <v>-36000</v>
      </c>
      <c r="R21" s="117">
        <f t="shared" si="15"/>
        <v>-36000</v>
      </c>
      <c r="S21" s="117">
        <f t="shared" si="16"/>
        <v>0</v>
      </c>
      <c r="T21" s="117">
        <f t="shared" si="17"/>
        <v>0</v>
      </c>
    </row>
    <row r="22" spans="1:21" s="40" customFormat="1" ht="36">
      <c r="A22" s="23" t="s">
        <v>149</v>
      </c>
      <c r="B22" s="23" t="s">
        <v>147</v>
      </c>
      <c r="C22" s="23" t="s">
        <v>4</v>
      </c>
      <c r="D22" s="24" t="s">
        <v>148</v>
      </c>
      <c r="E22" s="115">
        <f t="shared" si="25"/>
        <v>3758000</v>
      </c>
      <c r="F22" s="115">
        <v>3758000</v>
      </c>
      <c r="G22" s="115"/>
      <c r="H22" s="115"/>
      <c r="I22" s="115">
        <f t="shared" si="22"/>
        <v>3694000</v>
      </c>
      <c r="J22" s="115">
        <f>3694000</f>
        <v>3694000</v>
      </c>
      <c r="K22" s="115"/>
      <c r="L22" s="115"/>
      <c r="M22" s="116">
        <f t="shared" si="11"/>
        <v>0.98296966471527403</v>
      </c>
      <c r="N22" s="116">
        <f t="shared" si="12"/>
        <v>0.98296966471527403</v>
      </c>
      <c r="O22" s="116" t="str">
        <f t="shared" si="26"/>
        <v/>
      </c>
      <c r="P22" s="116" t="str">
        <f t="shared" si="13"/>
        <v/>
      </c>
      <c r="Q22" s="117">
        <f t="shared" si="14"/>
        <v>-64000</v>
      </c>
      <c r="R22" s="117">
        <f t="shared" si="15"/>
        <v>-64000</v>
      </c>
      <c r="S22" s="117">
        <f t="shared" si="16"/>
        <v>0</v>
      </c>
      <c r="T22" s="117">
        <f t="shared" si="17"/>
        <v>0</v>
      </c>
    </row>
    <row r="23" spans="1:21" s="40" customFormat="1" ht="33.6" customHeight="1">
      <c r="A23" s="23" t="s">
        <v>68</v>
      </c>
      <c r="B23" s="23" t="s">
        <v>40</v>
      </c>
      <c r="C23" s="23" t="s">
        <v>7</v>
      </c>
      <c r="D23" s="24" t="s">
        <v>55</v>
      </c>
      <c r="E23" s="115">
        <f t="shared" si="25"/>
        <v>7510447.9800000004</v>
      </c>
      <c r="F23" s="115">
        <f>F24+F25+F26</f>
        <v>7401936.4000000004</v>
      </c>
      <c r="G23" s="115">
        <f t="shared" ref="G23:L23" si="29">G24+G25+G26</f>
        <v>108511.58</v>
      </c>
      <c r="H23" s="115">
        <f t="shared" si="29"/>
        <v>108511.58</v>
      </c>
      <c r="I23" s="115">
        <f t="shared" si="22"/>
        <v>10832543.399999999</v>
      </c>
      <c r="J23" s="115">
        <f>J24+J25+J26</f>
        <v>10832543.399999999</v>
      </c>
      <c r="K23" s="115">
        <f t="shared" si="29"/>
        <v>0</v>
      </c>
      <c r="L23" s="115">
        <f t="shared" si="29"/>
        <v>0</v>
      </c>
      <c r="M23" s="116">
        <f t="shared" si="11"/>
        <v>1.442329862192854</v>
      </c>
      <c r="N23" s="116">
        <f t="shared" si="12"/>
        <v>1.4634742606002393</v>
      </c>
      <c r="O23" s="116">
        <f t="shared" si="26"/>
        <v>0</v>
      </c>
      <c r="P23" s="116">
        <f t="shared" si="13"/>
        <v>0</v>
      </c>
      <c r="Q23" s="117">
        <f t="shared" si="14"/>
        <v>3322095.4199999981</v>
      </c>
      <c r="R23" s="117">
        <f t="shared" si="15"/>
        <v>3430606.9999999981</v>
      </c>
      <c r="S23" s="117">
        <f t="shared" si="16"/>
        <v>-108511.58</v>
      </c>
      <c r="T23" s="117">
        <f t="shared" si="17"/>
        <v>-108511.58</v>
      </c>
    </row>
    <row r="24" spans="1:21" s="32" customFormat="1" ht="54">
      <c r="A24" s="26"/>
      <c r="B24" s="26"/>
      <c r="C24" s="26"/>
      <c r="D24" s="11" t="s">
        <v>216</v>
      </c>
      <c r="E24" s="118">
        <f t="shared" si="25"/>
        <v>4166922.22</v>
      </c>
      <c r="F24" s="118">
        <v>4166922.22</v>
      </c>
      <c r="G24" s="118"/>
      <c r="H24" s="118"/>
      <c r="I24" s="118">
        <f t="shared" si="22"/>
        <v>7502109.3099999996</v>
      </c>
      <c r="J24" s="118">
        <v>7502109.3099999996</v>
      </c>
      <c r="K24" s="118"/>
      <c r="L24" s="118"/>
      <c r="M24" s="119">
        <f t="shared" si="11"/>
        <v>1.8003958110837979</v>
      </c>
      <c r="N24" s="119">
        <f t="shared" si="12"/>
        <v>1.8003958110837979</v>
      </c>
      <c r="O24" s="119" t="str">
        <f t="shared" si="26"/>
        <v/>
      </c>
      <c r="P24" s="119" t="str">
        <f t="shared" si="13"/>
        <v/>
      </c>
      <c r="Q24" s="120">
        <f t="shared" si="14"/>
        <v>3335187.0899999994</v>
      </c>
      <c r="R24" s="120">
        <f t="shared" si="15"/>
        <v>3335187.0899999994</v>
      </c>
      <c r="S24" s="120">
        <f t="shared" si="16"/>
        <v>0</v>
      </c>
      <c r="T24" s="120">
        <f t="shared" si="17"/>
        <v>0</v>
      </c>
    </row>
    <row r="25" spans="1:21" s="32" customFormat="1" ht="54">
      <c r="A25" s="26"/>
      <c r="B25" s="26"/>
      <c r="C25" s="26"/>
      <c r="D25" s="11" t="s">
        <v>217</v>
      </c>
      <c r="E25" s="118">
        <f t="shared" si="25"/>
        <v>1289575.24</v>
      </c>
      <c r="F25" s="118">
        <v>1230732.82</v>
      </c>
      <c r="G25" s="118">
        <v>58842.42</v>
      </c>
      <c r="H25" s="118">
        <f>G25</f>
        <v>58842.42</v>
      </c>
      <c r="I25" s="118">
        <f t="shared" si="22"/>
        <v>805766.75</v>
      </c>
      <c r="J25" s="118">
        <v>805766.75</v>
      </c>
      <c r="K25" s="118"/>
      <c r="L25" s="118"/>
      <c r="M25" s="119">
        <f t="shared" si="11"/>
        <v>0.62483112656536433</v>
      </c>
      <c r="N25" s="119">
        <f t="shared" si="12"/>
        <v>0.65470485299969494</v>
      </c>
      <c r="O25" s="119">
        <f t="shared" si="26"/>
        <v>0</v>
      </c>
      <c r="P25" s="119">
        <f t="shared" si="13"/>
        <v>0</v>
      </c>
      <c r="Q25" s="120">
        <f t="shared" si="14"/>
        <v>-483808.49</v>
      </c>
      <c r="R25" s="120">
        <f t="shared" si="15"/>
        <v>-424966.07000000007</v>
      </c>
      <c r="S25" s="120">
        <f t="shared" si="16"/>
        <v>-58842.42</v>
      </c>
      <c r="T25" s="120">
        <f t="shared" si="17"/>
        <v>-58842.42</v>
      </c>
    </row>
    <row r="26" spans="1:21" s="32" customFormat="1" ht="54">
      <c r="A26" s="26"/>
      <c r="B26" s="26"/>
      <c r="C26" s="26"/>
      <c r="D26" s="11" t="s">
        <v>218</v>
      </c>
      <c r="E26" s="118">
        <f t="shared" si="25"/>
        <v>2053950.52</v>
      </c>
      <c r="F26" s="118">
        <v>2004281.36</v>
      </c>
      <c r="G26" s="118">
        <v>49669.16</v>
      </c>
      <c r="H26" s="118">
        <f>G26</f>
        <v>49669.16</v>
      </c>
      <c r="I26" s="118">
        <f t="shared" si="22"/>
        <v>2524667.34</v>
      </c>
      <c r="J26" s="118">
        <v>2524667.34</v>
      </c>
      <c r="K26" s="118"/>
      <c r="L26" s="118"/>
      <c r="M26" s="119">
        <f t="shared" si="11"/>
        <v>1.2291763192036387</v>
      </c>
      <c r="N26" s="119">
        <f t="shared" si="12"/>
        <v>1.2596371898604095</v>
      </c>
      <c r="O26" s="119">
        <f t="shared" si="26"/>
        <v>0</v>
      </c>
      <c r="P26" s="119">
        <f t="shared" si="13"/>
        <v>0</v>
      </c>
      <c r="Q26" s="120">
        <f t="shared" si="14"/>
        <v>470716.81999999983</v>
      </c>
      <c r="R26" s="120">
        <f t="shared" si="15"/>
        <v>520385.97999999975</v>
      </c>
      <c r="S26" s="120">
        <f t="shared" si="16"/>
        <v>-49669.16</v>
      </c>
      <c r="T26" s="120">
        <f t="shared" si="17"/>
        <v>-49669.16</v>
      </c>
    </row>
    <row r="27" spans="1:21" s="32" customFormat="1" ht="31.95" customHeight="1">
      <c r="A27" s="69" t="s">
        <v>348</v>
      </c>
      <c r="B27" s="70">
        <v>7130</v>
      </c>
      <c r="C27" s="69" t="s">
        <v>349</v>
      </c>
      <c r="D27" s="71" t="s">
        <v>350</v>
      </c>
      <c r="E27" s="118">
        <f t="shared" si="25"/>
        <v>0</v>
      </c>
      <c r="F27" s="118"/>
      <c r="G27" s="118"/>
      <c r="H27" s="118"/>
      <c r="I27" s="118">
        <f t="shared" si="22"/>
        <v>3000</v>
      </c>
      <c r="J27" s="118">
        <v>3000</v>
      </c>
      <c r="K27" s="118"/>
      <c r="L27" s="118"/>
      <c r="M27" s="119" t="str">
        <f t="shared" ref="M27" si="30">IFERROR((I27/E27),"")</f>
        <v/>
      </c>
      <c r="N27" s="119" t="str">
        <f t="shared" ref="N27" si="31">IFERROR((J27/F27),"")</f>
        <v/>
      </c>
      <c r="O27" s="116" t="str">
        <f t="shared" si="26"/>
        <v/>
      </c>
      <c r="P27" s="116" t="str">
        <f t="shared" si="13"/>
        <v/>
      </c>
      <c r="Q27" s="120">
        <f t="shared" ref="Q27:Q30" si="32">I27-E27</f>
        <v>3000</v>
      </c>
      <c r="R27" s="120">
        <f t="shared" ref="R27:R30" si="33">J27-F27</f>
        <v>3000</v>
      </c>
      <c r="S27" s="120">
        <f t="shared" ref="S27:S30" si="34">K27-G27</f>
        <v>0</v>
      </c>
      <c r="T27" s="120">
        <f t="shared" ref="T27:T30" si="35">L27-H27</f>
        <v>0</v>
      </c>
    </row>
    <row r="28" spans="1:21" s="32" customFormat="1" ht="36">
      <c r="A28" s="51" t="s">
        <v>324</v>
      </c>
      <c r="B28" s="52">
        <v>7350</v>
      </c>
      <c r="C28" s="51" t="s">
        <v>269</v>
      </c>
      <c r="D28" s="42" t="s">
        <v>270</v>
      </c>
      <c r="E28" s="118">
        <f t="shared" si="25"/>
        <v>0</v>
      </c>
      <c r="F28" s="118"/>
      <c r="G28" s="118"/>
      <c r="H28" s="118"/>
      <c r="I28" s="118">
        <f t="shared" si="22"/>
        <v>259999</v>
      </c>
      <c r="J28" s="118"/>
      <c r="K28" s="118">
        <v>259999</v>
      </c>
      <c r="L28" s="118">
        <v>259999</v>
      </c>
      <c r="M28" s="116" t="str">
        <f t="shared" si="11"/>
        <v/>
      </c>
      <c r="N28" s="116" t="str">
        <f t="shared" si="12"/>
        <v/>
      </c>
      <c r="O28" s="116" t="str">
        <f t="shared" si="26"/>
        <v/>
      </c>
      <c r="P28" s="116" t="str">
        <f t="shared" si="13"/>
        <v/>
      </c>
      <c r="Q28" s="120">
        <f t="shared" si="32"/>
        <v>259999</v>
      </c>
      <c r="R28" s="120">
        <f t="shared" si="33"/>
        <v>0</v>
      </c>
      <c r="S28" s="120">
        <f t="shared" si="34"/>
        <v>259999</v>
      </c>
      <c r="T28" s="120">
        <f t="shared" si="35"/>
        <v>259999</v>
      </c>
    </row>
    <row r="29" spans="1:21" s="32" customFormat="1" ht="54">
      <c r="A29" s="22" t="s">
        <v>361</v>
      </c>
      <c r="B29" s="22">
        <v>7351</v>
      </c>
      <c r="C29" s="22" t="s">
        <v>269</v>
      </c>
      <c r="D29" s="81" t="s">
        <v>362</v>
      </c>
      <c r="E29" s="118">
        <f t="shared" si="25"/>
        <v>1740000</v>
      </c>
      <c r="F29" s="118">
        <v>1740000</v>
      </c>
      <c r="G29" s="118"/>
      <c r="H29" s="118"/>
      <c r="I29" s="118">
        <f t="shared" si="22"/>
        <v>0</v>
      </c>
      <c r="J29" s="118"/>
      <c r="K29" s="118"/>
      <c r="L29" s="118"/>
      <c r="M29" s="116">
        <f t="shared" ref="M29" si="36">IFERROR((I29/E29),"")</f>
        <v>0</v>
      </c>
      <c r="N29" s="116">
        <f t="shared" ref="N29" si="37">IFERROR((J29/F29),"")</f>
        <v>0</v>
      </c>
      <c r="O29" s="116" t="str">
        <f t="shared" ref="O29" si="38">IFERROR((K29/G29),"")</f>
        <v/>
      </c>
      <c r="P29" s="116" t="str">
        <f t="shared" ref="P29" si="39">IFERROR((L29/H29),"")</f>
        <v/>
      </c>
      <c r="Q29" s="120">
        <f t="shared" si="32"/>
        <v>-1740000</v>
      </c>
      <c r="R29" s="120">
        <f t="shared" si="33"/>
        <v>-1740000</v>
      </c>
      <c r="S29" s="120">
        <f t="shared" si="34"/>
        <v>0</v>
      </c>
      <c r="T29" s="120">
        <f t="shared" si="35"/>
        <v>0</v>
      </c>
    </row>
    <row r="30" spans="1:21" s="32" customFormat="1" ht="72">
      <c r="A30" s="22" t="s">
        <v>363</v>
      </c>
      <c r="B30" s="22" t="s">
        <v>364</v>
      </c>
      <c r="C30" s="22" t="s">
        <v>20</v>
      </c>
      <c r="D30" s="81" t="s">
        <v>365</v>
      </c>
      <c r="E30" s="118">
        <f t="shared" ref="E30" si="40">F30+G30</f>
        <v>143718</v>
      </c>
      <c r="F30" s="118">
        <v>143718</v>
      </c>
      <c r="G30" s="118"/>
      <c r="H30" s="118"/>
      <c r="I30" s="118">
        <f t="shared" si="22"/>
        <v>0</v>
      </c>
      <c r="J30" s="118"/>
      <c r="K30" s="118"/>
      <c r="L30" s="118"/>
      <c r="M30" s="116">
        <f t="shared" ref="M30" si="41">IFERROR((I30/E30),"")</f>
        <v>0</v>
      </c>
      <c r="N30" s="116">
        <f t="shared" ref="N30" si="42">IFERROR((J30/F30),"")</f>
        <v>0</v>
      </c>
      <c r="O30" s="116" t="str">
        <f t="shared" ref="O30" si="43">IFERROR((K30/G30),"")</f>
        <v/>
      </c>
      <c r="P30" s="116" t="str">
        <f t="shared" ref="P30" si="44">IFERROR((L30/H30),"")</f>
        <v/>
      </c>
      <c r="Q30" s="120">
        <f t="shared" si="32"/>
        <v>-143718</v>
      </c>
      <c r="R30" s="120">
        <f t="shared" si="33"/>
        <v>-143718</v>
      </c>
      <c r="S30" s="120">
        <f t="shared" si="34"/>
        <v>0</v>
      </c>
      <c r="T30" s="120">
        <f t="shared" si="35"/>
        <v>0</v>
      </c>
    </row>
    <row r="31" spans="1:21" s="32" customFormat="1" ht="36">
      <c r="A31" s="22" t="s">
        <v>332</v>
      </c>
      <c r="B31" s="22" t="s">
        <v>233</v>
      </c>
      <c r="C31" s="22" t="s">
        <v>20</v>
      </c>
      <c r="D31" s="68" t="s">
        <v>234</v>
      </c>
      <c r="E31" s="118">
        <f t="shared" si="25"/>
        <v>38865</v>
      </c>
      <c r="F31" s="118">
        <v>38865</v>
      </c>
      <c r="G31" s="118"/>
      <c r="H31" s="118"/>
      <c r="I31" s="118">
        <f t="shared" si="22"/>
        <v>0</v>
      </c>
      <c r="J31" s="118"/>
      <c r="K31" s="118"/>
      <c r="L31" s="118"/>
      <c r="M31" s="116">
        <f t="shared" si="11"/>
        <v>0</v>
      </c>
      <c r="N31" s="116">
        <f t="shared" si="12"/>
        <v>0</v>
      </c>
      <c r="O31" s="116" t="str">
        <f t="shared" si="26"/>
        <v/>
      </c>
      <c r="P31" s="116" t="str">
        <f t="shared" si="13"/>
        <v/>
      </c>
      <c r="Q31" s="117">
        <f t="shared" si="14"/>
        <v>-38865</v>
      </c>
      <c r="R31" s="117">
        <f t="shared" si="15"/>
        <v>-38865</v>
      </c>
      <c r="S31" s="117">
        <f t="shared" si="16"/>
        <v>0</v>
      </c>
      <c r="T31" s="117">
        <f t="shared" si="17"/>
        <v>0</v>
      </c>
    </row>
    <row r="32" spans="1:21" s="32" customFormat="1">
      <c r="A32" s="121" t="s">
        <v>399</v>
      </c>
      <c r="B32" s="122">
        <v>7520</v>
      </c>
      <c r="C32" s="121" t="s">
        <v>400</v>
      </c>
      <c r="D32" s="85" t="s">
        <v>401</v>
      </c>
      <c r="E32" s="118">
        <f t="shared" ref="E32" si="45">F32+G32</f>
        <v>0</v>
      </c>
      <c r="F32" s="118"/>
      <c r="G32" s="118"/>
      <c r="H32" s="118"/>
      <c r="I32" s="118">
        <f t="shared" ref="I32" si="46">J32+K32</f>
        <v>1419494.96</v>
      </c>
      <c r="J32" s="118">
        <f>220800+107667.96+40300+753450</f>
        <v>1122217.96</v>
      </c>
      <c r="K32" s="118">
        <f>104400+58100+59180+75597</f>
        <v>297277</v>
      </c>
      <c r="L32" s="118">
        <f>104400+58100+59180+75597</f>
        <v>297277</v>
      </c>
      <c r="M32" s="116" t="str">
        <f t="shared" ref="M32" si="47">IFERROR((I32/E32),"")</f>
        <v/>
      </c>
      <c r="N32" s="116" t="str">
        <f t="shared" ref="N32" si="48">IFERROR((J32/F32),"")</f>
        <v/>
      </c>
      <c r="O32" s="116" t="str">
        <f t="shared" ref="O32" si="49">IFERROR((K32/G32),"")</f>
        <v/>
      </c>
      <c r="P32" s="116" t="str">
        <f t="shared" ref="P32" si="50">IFERROR((L32/H32),"")</f>
        <v/>
      </c>
      <c r="Q32" s="117">
        <f t="shared" ref="Q32" si="51">I32-E32</f>
        <v>1419494.96</v>
      </c>
      <c r="R32" s="117">
        <f t="shared" ref="R32" si="52">J32-F32</f>
        <v>1122217.96</v>
      </c>
      <c r="S32" s="117">
        <f t="shared" ref="S32" si="53">K32-G32</f>
        <v>297277</v>
      </c>
      <c r="T32" s="117">
        <f t="shared" ref="T32" si="54">L32-H32</f>
        <v>297277</v>
      </c>
    </row>
    <row r="33" spans="1:20" s="32" customFormat="1">
      <c r="A33" s="22" t="s">
        <v>366</v>
      </c>
      <c r="B33" s="22" t="s">
        <v>272</v>
      </c>
      <c r="C33" s="22" t="s">
        <v>273</v>
      </c>
      <c r="D33" s="81" t="s">
        <v>274</v>
      </c>
      <c r="E33" s="118">
        <f t="shared" ref="E33" si="55">F33+G33</f>
        <v>70000</v>
      </c>
      <c r="F33" s="118"/>
      <c r="G33" s="118">
        <v>70000</v>
      </c>
      <c r="H33" s="118">
        <v>70000</v>
      </c>
      <c r="I33" s="118">
        <f t="shared" ref="I33" si="56">J33+K33</f>
        <v>180000</v>
      </c>
      <c r="J33" s="118"/>
      <c r="K33" s="118">
        <v>180000</v>
      </c>
      <c r="L33" s="118">
        <v>180000</v>
      </c>
      <c r="M33" s="116">
        <f t="shared" ref="M33" si="57">IFERROR((I33/E33),"")</f>
        <v>2.5714285714285716</v>
      </c>
      <c r="N33" s="116" t="str">
        <f t="shared" ref="N33" si="58">IFERROR((J33/F33),"")</f>
        <v/>
      </c>
      <c r="O33" s="116">
        <f t="shared" ref="O33" si="59">IFERROR((K33/G33),"")</f>
        <v>2.5714285714285716</v>
      </c>
      <c r="P33" s="116">
        <f t="shared" ref="P33" si="60">IFERROR((L33/H33),"")</f>
        <v>2.5714285714285716</v>
      </c>
      <c r="Q33" s="117">
        <f t="shared" ref="Q33" si="61">I33-E33</f>
        <v>110000</v>
      </c>
      <c r="R33" s="117">
        <f t="shared" ref="R33" si="62">J33-F33</f>
        <v>0</v>
      </c>
      <c r="S33" s="117">
        <f t="shared" ref="S33" si="63">K33-G33</f>
        <v>110000</v>
      </c>
      <c r="T33" s="117">
        <f t="shared" ref="T33" si="64">L33-H33</f>
        <v>110000</v>
      </c>
    </row>
    <row r="34" spans="1:20" s="32" customFormat="1" ht="36">
      <c r="A34" s="21" t="s">
        <v>265</v>
      </c>
      <c r="B34" s="21" t="s">
        <v>266</v>
      </c>
      <c r="C34" s="21" t="s">
        <v>20</v>
      </c>
      <c r="D34" s="68" t="s">
        <v>267</v>
      </c>
      <c r="E34" s="115">
        <f t="shared" si="25"/>
        <v>70700</v>
      </c>
      <c r="F34" s="115">
        <v>70700</v>
      </c>
      <c r="G34" s="115"/>
      <c r="H34" s="115"/>
      <c r="I34" s="115">
        <f t="shared" si="22"/>
        <v>113295</v>
      </c>
      <c r="J34" s="115">
        <v>113295</v>
      </c>
      <c r="K34" s="115"/>
      <c r="L34" s="115"/>
      <c r="M34" s="116">
        <f t="shared" si="11"/>
        <v>1.6024752475247526</v>
      </c>
      <c r="N34" s="116">
        <f t="shared" si="12"/>
        <v>1.6024752475247526</v>
      </c>
      <c r="O34" s="116" t="str">
        <f t="shared" si="26"/>
        <v/>
      </c>
      <c r="P34" s="116" t="str">
        <f t="shared" si="13"/>
        <v/>
      </c>
      <c r="Q34" s="117">
        <f t="shared" si="14"/>
        <v>42595</v>
      </c>
      <c r="R34" s="117">
        <f t="shared" si="15"/>
        <v>42595</v>
      </c>
      <c r="S34" s="117">
        <f t="shared" si="16"/>
        <v>0</v>
      </c>
      <c r="T34" s="117">
        <f t="shared" si="17"/>
        <v>0</v>
      </c>
    </row>
    <row r="35" spans="1:20" s="40" customFormat="1" ht="54">
      <c r="A35" s="22" t="s">
        <v>101</v>
      </c>
      <c r="B35" s="21">
        <v>8110</v>
      </c>
      <c r="C35" s="22" t="s">
        <v>5</v>
      </c>
      <c r="D35" s="68" t="s">
        <v>136</v>
      </c>
      <c r="E35" s="115">
        <f t="shared" si="25"/>
        <v>346764.2</v>
      </c>
      <c r="F35" s="115">
        <f>199000+114150.8+16806.7+16806.7</f>
        <v>346764.2</v>
      </c>
      <c r="G35" s="115"/>
      <c r="H35" s="115"/>
      <c r="I35" s="115">
        <f t="shared" si="22"/>
        <v>167259.1</v>
      </c>
      <c r="J35" s="115">
        <f>58442.1+16817</f>
        <v>75259.100000000006</v>
      </c>
      <c r="K35" s="115">
        <f>92000</f>
        <v>92000</v>
      </c>
      <c r="L35" s="115">
        <f>92000</f>
        <v>92000</v>
      </c>
      <c r="M35" s="116">
        <f t="shared" si="11"/>
        <v>0.48234246787874874</v>
      </c>
      <c r="N35" s="116">
        <f t="shared" si="12"/>
        <v>0.21703249643417633</v>
      </c>
      <c r="O35" s="116" t="str">
        <f t="shared" si="26"/>
        <v/>
      </c>
      <c r="P35" s="116" t="str">
        <f t="shared" si="13"/>
        <v/>
      </c>
      <c r="Q35" s="117">
        <f t="shared" si="14"/>
        <v>-179505.1</v>
      </c>
      <c r="R35" s="117">
        <f t="shared" si="15"/>
        <v>-271505.09999999998</v>
      </c>
      <c r="S35" s="117">
        <f t="shared" si="16"/>
        <v>92000</v>
      </c>
      <c r="T35" s="117">
        <f t="shared" si="17"/>
        <v>92000</v>
      </c>
    </row>
    <row r="36" spans="1:20" s="40" customFormat="1" ht="36">
      <c r="A36" s="23" t="s">
        <v>185</v>
      </c>
      <c r="B36" s="23" t="s">
        <v>186</v>
      </c>
      <c r="C36" s="23" t="s">
        <v>5</v>
      </c>
      <c r="D36" s="38" t="s">
        <v>187</v>
      </c>
      <c r="E36" s="115">
        <f t="shared" ref="E36:E42" si="65">F36+G36</f>
        <v>21374237.010000002</v>
      </c>
      <c r="F36" s="115">
        <v>20504117.010000002</v>
      </c>
      <c r="G36" s="115">
        <v>870120</v>
      </c>
      <c r="H36" s="115">
        <v>870120</v>
      </c>
      <c r="I36" s="115">
        <f t="shared" ref="I36:I42" si="66">J36+K36</f>
        <v>20709305.449999999</v>
      </c>
      <c r="J36" s="115">
        <v>20673355.449999999</v>
      </c>
      <c r="K36" s="115">
        <f>35950</f>
        <v>35950</v>
      </c>
      <c r="L36" s="115">
        <f>35950</f>
        <v>35950</v>
      </c>
      <c r="M36" s="116">
        <f t="shared" si="11"/>
        <v>0.96889098031013166</v>
      </c>
      <c r="N36" s="116">
        <f t="shared" si="12"/>
        <v>1.0082538760346256</v>
      </c>
      <c r="O36" s="116">
        <f t="shared" si="26"/>
        <v>4.1316140302487016E-2</v>
      </c>
      <c r="P36" s="116">
        <f t="shared" si="13"/>
        <v>4.1316140302487016E-2</v>
      </c>
      <c r="Q36" s="117">
        <f t="shared" si="14"/>
        <v>-664931.56000000238</v>
      </c>
      <c r="R36" s="117">
        <f t="shared" si="15"/>
        <v>169238.43999999762</v>
      </c>
      <c r="S36" s="117">
        <f t="shared" si="16"/>
        <v>-834170</v>
      </c>
      <c r="T36" s="117">
        <f t="shared" si="17"/>
        <v>-834170</v>
      </c>
    </row>
    <row r="37" spans="1:20" s="40" customFormat="1" ht="36">
      <c r="A37" s="22" t="s">
        <v>275</v>
      </c>
      <c r="B37" s="21">
        <v>8220</v>
      </c>
      <c r="C37" s="21" t="s">
        <v>221</v>
      </c>
      <c r="D37" s="68" t="s">
        <v>276</v>
      </c>
      <c r="E37" s="115">
        <f t="shared" si="65"/>
        <v>374160.04</v>
      </c>
      <c r="F37" s="115">
        <v>374160.04</v>
      </c>
      <c r="G37" s="115"/>
      <c r="H37" s="115"/>
      <c r="I37" s="115">
        <f t="shared" si="66"/>
        <v>256019.92</v>
      </c>
      <c r="J37" s="115">
        <v>256019.92</v>
      </c>
      <c r="K37" s="115"/>
      <c r="L37" s="115"/>
      <c r="M37" s="116">
        <f t="shared" si="11"/>
        <v>0.68425243914342115</v>
      </c>
      <c r="N37" s="116">
        <f t="shared" si="12"/>
        <v>0.68425243914342115</v>
      </c>
      <c r="O37" s="116" t="str">
        <f t="shared" si="26"/>
        <v/>
      </c>
      <c r="P37" s="116" t="str">
        <f t="shared" si="13"/>
        <v/>
      </c>
      <c r="Q37" s="117">
        <f t="shared" si="14"/>
        <v>-118140.11999999997</v>
      </c>
      <c r="R37" s="117">
        <f t="shared" si="15"/>
        <v>-118140.11999999997</v>
      </c>
      <c r="S37" s="117">
        <f t="shared" si="16"/>
        <v>0</v>
      </c>
      <c r="T37" s="117">
        <f t="shared" si="17"/>
        <v>0</v>
      </c>
    </row>
    <row r="38" spans="1:20" s="40" customFormat="1" ht="26.4" customHeight="1">
      <c r="A38" s="23" t="s">
        <v>230</v>
      </c>
      <c r="B38" s="23" t="s">
        <v>231</v>
      </c>
      <c r="C38" s="23" t="s">
        <v>221</v>
      </c>
      <c r="D38" s="24" t="s">
        <v>232</v>
      </c>
      <c r="E38" s="115">
        <f t="shared" si="65"/>
        <v>7367272</v>
      </c>
      <c r="F38" s="115">
        <v>6883751</v>
      </c>
      <c r="G38" s="115">
        <v>483521</v>
      </c>
      <c r="H38" s="115">
        <f>G38</f>
        <v>483521</v>
      </c>
      <c r="I38" s="115">
        <f t="shared" si="66"/>
        <v>2982428.4</v>
      </c>
      <c r="J38" s="115">
        <v>2791632.4</v>
      </c>
      <c r="K38" s="115">
        <v>190796</v>
      </c>
      <c r="L38" s="115">
        <v>190796</v>
      </c>
      <c r="M38" s="116">
        <f t="shared" si="11"/>
        <v>0.40482126898531773</v>
      </c>
      <c r="N38" s="116">
        <f t="shared" si="12"/>
        <v>0.40553942174840429</v>
      </c>
      <c r="O38" s="116">
        <f t="shared" si="26"/>
        <v>0.39459713228587795</v>
      </c>
      <c r="P38" s="116">
        <f t="shared" si="13"/>
        <v>0.39459713228587795</v>
      </c>
      <c r="Q38" s="117">
        <f t="shared" si="14"/>
        <v>-4384843.5999999996</v>
      </c>
      <c r="R38" s="117">
        <f t="shared" si="15"/>
        <v>-4092118.6</v>
      </c>
      <c r="S38" s="117">
        <f t="shared" si="16"/>
        <v>-292725</v>
      </c>
      <c r="T38" s="117">
        <f t="shared" si="17"/>
        <v>-292725</v>
      </c>
    </row>
    <row r="39" spans="1:20" s="40" customFormat="1" ht="25.95" customHeight="1">
      <c r="A39" s="51" t="s">
        <v>326</v>
      </c>
      <c r="B39" s="52">
        <v>8240</v>
      </c>
      <c r="C39" s="51" t="s">
        <v>221</v>
      </c>
      <c r="D39" s="42" t="s">
        <v>245</v>
      </c>
      <c r="E39" s="115">
        <f t="shared" si="65"/>
        <v>259000</v>
      </c>
      <c r="F39" s="115">
        <v>189000</v>
      </c>
      <c r="G39" s="115">
        <v>70000</v>
      </c>
      <c r="H39" s="115">
        <f>G39</f>
        <v>70000</v>
      </c>
      <c r="I39" s="115">
        <f t="shared" si="66"/>
        <v>2270041.4900000002</v>
      </c>
      <c r="J39" s="115">
        <f>216764.85+640000+46406.36+90370.28</f>
        <v>993541.49</v>
      </c>
      <c r="K39" s="115">
        <v>1276500</v>
      </c>
      <c r="L39" s="115">
        <v>1276500</v>
      </c>
      <c r="M39" s="116" t="s">
        <v>354</v>
      </c>
      <c r="N39" s="116" t="s">
        <v>355</v>
      </c>
      <c r="O39" s="116" t="s">
        <v>438</v>
      </c>
      <c r="P39" s="116" t="s">
        <v>438</v>
      </c>
      <c r="Q39" s="117">
        <f t="shared" si="14"/>
        <v>2011041.4900000002</v>
      </c>
      <c r="R39" s="117">
        <f t="shared" si="15"/>
        <v>804541.49</v>
      </c>
      <c r="S39" s="117">
        <f t="shared" si="16"/>
        <v>1206500</v>
      </c>
      <c r="T39" s="117">
        <f t="shared" si="17"/>
        <v>1206500</v>
      </c>
    </row>
    <row r="40" spans="1:20" s="40" customFormat="1" ht="36">
      <c r="A40" s="51" t="s">
        <v>325</v>
      </c>
      <c r="B40" s="52">
        <v>8340</v>
      </c>
      <c r="C40" s="52" t="s">
        <v>291</v>
      </c>
      <c r="D40" s="42" t="s">
        <v>292</v>
      </c>
      <c r="E40" s="115">
        <f t="shared" si="65"/>
        <v>0</v>
      </c>
      <c r="F40" s="115"/>
      <c r="G40" s="115"/>
      <c r="H40" s="115"/>
      <c r="I40" s="115">
        <f t="shared" si="66"/>
        <v>50000</v>
      </c>
      <c r="J40" s="115"/>
      <c r="K40" s="115">
        <v>50000</v>
      </c>
      <c r="L40" s="115"/>
      <c r="M40" s="116" t="str">
        <f t="shared" si="11"/>
        <v/>
      </c>
      <c r="N40" s="116" t="str">
        <f t="shared" si="12"/>
        <v/>
      </c>
      <c r="O40" s="116" t="str">
        <f t="shared" si="26"/>
        <v/>
      </c>
      <c r="P40" s="116" t="str">
        <f t="shared" si="13"/>
        <v/>
      </c>
      <c r="Q40" s="117">
        <f t="shared" si="14"/>
        <v>50000</v>
      </c>
      <c r="R40" s="117">
        <f t="shared" si="15"/>
        <v>0</v>
      </c>
      <c r="S40" s="117">
        <f t="shared" si="16"/>
        <v>50000</v>
      </c>
      <c r="T40" s="117">
        <f t="shared" si="17"/>
        <v>0</v>
      </c>
    </row>
    <row r="41" spans="1:20" s="40" customFormat="1" ht="62.4">
      <c r="A41" s="121" t="s">
        <v>402</v>
      </c>
      <c r="B41" s="122">
        <v>8721</v>
      </c>
      <c r="C41" s="121" t="s">
        <v>128</v>
      </c>
      <c r="D41" s="86" t="s">
        <v>403</v>
      </c>
      <c r="E41" s="115">
        <f t="shared" ref="E41" si="67">F41+G41</f>
        <v>0</v>
      </c>
      <c r="F41" s="115"/>
      <c r="G41" s="115"/>
      <c r="H41" s="115"/>
      <c r="I41" s="115">
        <f t="shared" ref="I41" si="68">J41+K41</f>
        <v>133394.5</v>
      </c>
      <c r="J41" s="115">
        <f>133394.5</f>
        <v>133394.5</v>
      </c>
      <c r="K41" s="115"/>
      <c r="L41" s="115"/>
      <c r="M41" s="116" t="str">
        <f t="shared" ref="M41" si="69">IFERROR((I41/E41),"")</f>
        <v/>
      </c>
      <c r="N41" s="116" t="str">
        <f t="shared" ref="N41" si="70">IFERROR((J41/F41),"")</f>
        <v/>
      </c>
      <c r="O41" s="116" t="str">
        <f t="shared" ref="O41" si="71">IFERROR((K41/G41),"")</f>
        <v/>
      </c>
      <c r="P41" s="116" t="str">
        <f t="shared" ref="P41" si="72">IFERROR((L41/H41),"")</f>
        <v/>
      </c>
      <c r="Q41" s="117">
        <f t="shared" ref="Q41" si="73">I41-E41</f>
        <v>133394.5</v>
      </c>
      <c r="R41" s="117">
        <f t="shared" ref="R41" si="74">J41-F41</f>
        <v>133394.5</v>
      </c>
      <c r="S41" s="117">
        <f t="shared" ref="S41" si="75">K41-G41</f>
        <v>0</v>
      </c>
      <c r="T41" s="117">
        <f t="shared" ref="T41" si="76">L41-H41</f>
        <v>0</v>
      </c>
    </row>
    <row r="42" spans="1:20" s="40" customFormat="1" ht="36">
      <c r="A42" s="53" t="s">
        <v>312</v>
      </c>
      <c r="B42" s="54">
        <v>8775</v>
      </c>
      <c r="C42" s="53" t="s">
        <v>6</v>
      </c>
      <c r="D42" s="43" t="s">
        <v>313</v>
      </c>
      <c r="E42" s="115">
        <f t="shared" si="65"/>
        <v>0</v>
      </c>
      <c r="F42" s="115"/>
      <c r="G42" s="115"/>
      <c r="H42" s="115"/>
      <c r="I42" s="115">
        <f t="shared" si="66"/>
        <v>531257.77</v>
      </c>
      <c r="J42" s="115">
        <v>531257.77</v>
      </c>
      <c r="K42" s="115"/>
      <c r="L42" s="115"/>
      <c r="M42" s="116" t="str">
        <f t="shared" si="11"/>
        <v/>
      </c>
      <c r="N42" s="116" t="str">
        <f t="shared" si="12"/>
        <v/>
      </c>
      <c r="O42" s="116" t="str">
        <f t="shared" si="26"/>
        <v/>
      </c>
      <c r="P42" s="116" t="str">
        <f t="shared" si="13"/>
        <v/>
      </c>
      <c r="Q42" s="117">
        <f t="shared" si="14"/>
        <v>531257.77</v>
      </c>
      <c r="R42" s="117">
        <f t="shared" si="15"/>
        <v>531257.77</v>
      </c>
      <c r="S42" s="117">
        <f t="shared" si="16"/>
        <v>0</v>
      </c>
      <c r="T42" s="117">
        <f t="shared" si="17"/>
        <v>0</v>
      </c>
    </row>
    <row r="43" spans="1:20" s="30" customFormat="1" ht="34.799999999999997">
      <c r="A43" s="25" t="s">
        <v>56</v>
      </c>
      <c r="B43" s="25"/>
      <c r="C43" s="25"/>
      <c r="D43" s="10" t="s">
        <v>259</v>
      </c>
      <c r="E43" s="114">
        <f t="shared" ref="E43:L43" si="77">E44</f>
        <v>363963572.21000004</v>
      </c>
      <c r="F43" s="114">
        <f t="shared" si="77"/>
        <v>352531668.30000001</v>
      </c>
      <c r="G43" s="114">
        <f t="shared" si="77"/>
        <v>11431903.91</v>
      </c>
      <c r="H43" s="114">
        <f t="shared" si="77"/>
        <v>3490749.3000000003</v>
      </c>
      <c r="I43" s="114">
        <f t="shared" si="77"/>
        <v>442418685.16000003</v>
      </c>
      <c r="J43" s="114">
        <f t="shared" si="77"/>
        <v>405384811.26000005</v>
      </c>
      <c r="K43" s="114">
        <f t="shared" si="77"/>
        <v>37033873.899999999</v>
      </c>
      <c r="L43" s="114">
        <f t="shared" si="77"/>
        <v>18365293.210000001</v>
      </c>
      <c r="M43" s="112">
        <f t="shared" si="11"/>
        <v>1.215557596804586</v>
      </c>
      <c r="N43" s="112">
        <f t="shared" si="12"/>
        <v>1.1499245251210246</v>
      </c>
      <c r="O43" s="112" t="s">
        <v>356</v>
      </c>
      <c r="P43" s="112" t="s">
        <v>357</v>
      </c>
      <c r="Q43" s="113">
        <f t="shared" si="14"/>
        <v>78455112.949999988</v>
      </c>
      <c r="R43" s="113">
        <f t="shared" si="15"/>
        <v>52853142.960000038</v>
      </c>
      <c r="S43" s="113">
        <f t="shared" si="16"/>
        <v>25601969.989999998</v>
      </c>
      <c r="T43" s="113">
        <f t="shared" si="17"/>
        <v>14874543.91</v>
      </c>
    </row>
    <row r="44" spans="1:20" s="30" customFormat="1" ht="34.799999999999997">
      <c r="A44" s="25" t="s">
        <v>57</v>
      </c>
      <c r="B44" s="25"/>
      <c r="C44" s="25"/>
      <c r="D44" s="10" t="s">
        <v>260</v>
      </c>
      <c r="E44" s="114">
        <f t="shared" ref="E44:E49" si="78">F44+G44</f>
        <v>363963572.21000004</v>
      </c>
      <c r="F44" s="114">
        <f>F45+F46+F47+F48+F49+F50+F51+F52+F54+F55+F56+F61+F69+F70+F58+F53+F68+F73+F57+F62+F63+F64+F71+F74+F67+F72+F59+F60+F65+F66</f>
        <v>352531668.30000001</v>
      </c>
      <c r="G44" s="114">
        <f t="shared" ref="G44:H44" si="79">G45+G46+G47+G48+G49+G50+G51+G52+G54+G55+G56+G61+G69+G70+G58+G53+G68+G73+G57+G62+G63+G64+G71+G74+G67+G72+G59+G60+G65+G66</f>
        <v>11431903.91</v>
      </c>
      <c r="H44" s="114">
        <f t="shared" si="79"/>
        <v>3490749.3000000003</v>
      </c>
      <c r="I44" s="114">
        <f t="shared" si="22"/>
        <v>442418685.16000003</v>
      </c>
      <c r="J44" s="114">
        <f>J45+J46+J47+J48+J49+J50+J51+J52+J54+J55+J56+J61+J69+J70+J58+J53+J68+J73+J57+J62+J63+J64+J71+J74+J72+J67+J59+J60+J65+J66</f>
        <v>405384811.26000005</v>
      </c>
      <c r="K44" s="114">
        <f t="shared" ref="K44:L44" si="80">K45+K46+K47+K48+K49+K50+K51+K52+K54+K55+K56+K61+K69+K70+K58+K53+K68+K73+K57+K62+K63+K64+K71+K74+K72+K67+K59+K60+K65+K66</f>
        <v>37033873.899999999</v>
      </c>
      <c r="L44" s="114">
        <f t="shared" si="80"/>
        <v>18365293.210000001</v>
      </c>
      <c r="M44" s="112">
        <f t="shared" si="11"/>
        <v>1.215557596804586</v>
      </c>
      <c r="N44" s="112">
        <f t="shared" si="12"/>
        <v>1.1499245251210246</v>
      </c>
      <c r="O44" s="112" t="s">
        <v>356</v>
      </c>
      <c r="P44" s="112" t="s">
        <v>357</v>
      </c>
      <c r="Q44" s="113">
        <f t="shared" si="14"/>
        <v>78455112.949999988</v>
      </c>
      <c r="R44" s="113">
        <f t="shared" si="15"/>
        <v>52853142.960000038</v>
      </c>
      <c r="S44" s="113">
        <f t="shared" si="16"/>
        <v>25601969.989999998</v>
      </c>
      <c r="T44" s="113">
        <f t="shared" si="17"/>
        <v>14874543.91</v>
      </c>
    </row>
    <row r="45" spans="1:20" s="40" customFormat="1" ht="54">
      <c r="A45" s="23" t="s">
        <v>59</v>
      </c>
      <c r="B45" s="23" t="s">
        <v>58</v>
      </c>
      <c r="C45" s="23" t="s">
        <v>3</v>
      </c>
      <c r="D45" s="19" t="s">
        <v>235</v>
      </c>
      <c r="E45" s="115">
        <f t="shared" si="78"/>
        <v>3393140.38</v>
      </c>
      <c r="F45" s="115">
        <v>3393140.38</v>
      </c>
      <c r="G45" s="115"/>
      <c r="H45" s="115"/>
      <c r="I45" s="115">
        <f>J45+K45</f>
        <v>4861500.38</v>
      </c>
      <c r="J45" s="115">
        <v>4861500.38</v>
      </c>
      <c r="K45" s="115"/>
      <c r="L45" s="115"/>
      <c r="M45" s="116">
        <f t="shared" si="11"/>
        <v>1.4327436638504181</v>
      </c>
      <c r="N45" s="116">
        <f t="shared" si="12"/>
        <v>1.4327436638504181</v>
      </c>
      <c r="O45" s="116" t="str">
        <f t="shared" si="26"/>
        <v/>
      </c>
      <c r="P45" s="116" t="str">
        <f t="shared" si="13"/>
        <v/>
      </c>
      <c r="Q45" s="117">
        <f t="shared" si="14"/>
        <v>1468360</v>
      </c>
      <c r="R45" s="117">
        <f t="shared" si="15"/>
        <v>1468360</v>
      </c>
      <c r="S45" s="117">
        <f t="shared" si="16"/>
        <v>0</v>
      </c>
      <c r="T45" s="117">
        <f t="shared" si="17"/>
        <v>0</v>
      </c>
    </row>
    <row r="46" spans="1:20" s="40" customFormat="1" ht="36">
      <c r="A46" s="23" t="s">
        <v>227</v>
      </c>
      <c r="B46" s="23" t="s">
        <v>8</v>
      </c>
      <c r="C46" s="23" t="s">
        <v>6</v>
      </c>
      <c r="D46" s="19" t="s">
        <v>121</v>
      </c>
      <c r="E46" s="115">
        <f t="shared" si="78"/>
        <v>134476.5</v>
      </c>
      <c r="F46" s="115">
        <v>134476.5</v>
      </c>
      <c r="G46" s="115"/>
      <c r="H46" s="115"/>
      <c r="I46" s="115">
        <f t="shared" si="22"/>
        <v>49900</v>
      </c>
      <c r="J46" s="115">
        <v>49900</v>
      </c>
      <c r="K46" s="115"/>
      <c r="L46" s="115"/>
      <c r="M46" s="116">
        <f t="shared" si="11"/>
        <v>0.37106855101077141</v>
      </c>
      <c r="N46" s="116">
        <f t="shared" si="12"/>
        <v>0.37106855101077141</v>
      </c>
      <c r="O46" s="116" t="str">
        <f t="shared" si="26"/>
        <v/>
      </c>
      <c r="P46" s="116" t="str">
        <f t="shared" si="13"/>
        <v/>
      </c>
      <c r="Q46" s="117">
        <f t="shared" si="14"/>
        <v>-84576.5</v>
      </c>
      <c r="R46" s="117">
        <f t="shared" si="15"/>
        <v>-84576.5</v>
      </c>
      <c r="S46" s="117">
        <f t="shared" si="16"/>
        <v>0</v>
      </c>
      <c r="T46" s="117">
        <f t="shared" si="17"/>
        <v>0</v>
      </c>
    </row>
    <row r="47" spans="1:20" s="40" customFormat="1" ht="33" customHeight="1">
      <c r="A47" s="23" t="s">
        <v>60</v>
      </c>
      <c r="B47" s="23" t="s">
        <v>9</v>
      </c>
      <c r="C47" s="23" t="s">
        <v>10</v>
      </c>
      <c r="D47" s="38" t="s">
        <v>61</v>
      </c>
      <c r="E47" s="115">
        <f t="shared" si="78"/>
        <v>83791823.599999994</v>
      </c>
      <c r="F47" s="115">
        <v>82022331.959999993</v>
      </c>
      <c r="G47" s="115">
        <f>343697.25+645284+780510.39</f>
        <v>1769491.6400000001</v>
      </c>
      <c r="H47" s="117">
        <v>780510.39</v>
      </c>
      <c r="I47" s="115">
        <f t="shared" si="22"/>
        <v>91536417.150000006</v>
      </c>
      <c r="J47" s="115">
        <v>84351862.620000005</v>
      </c>
      <c r="K47" s="115">
        <f>2284255.22+429115.85+4471183.46</f>
        <v>7184554.5300000003</v>
      </c>
      <c r="L47" s="115">
        <v>4471183.46</v>
      </c>
      <c r="M47" s="116">
        <f t="shared" si="11"/>
        <v>1.092426602229958</v>
      </c>
      <c r="N47" s="116">
        <f t="shared" si="12"/>
        <v>1.0284011756839109</v>
      </c>
      <c r="O47" s="116" t="s">
        <v>358</v>
      </c>
      <c r="P47" s="116" t="s">
        <v>355</v>
      </c>
      <c r="Q47" s="117">
        <f t="shared" si="14"/>
        <v>7744593.5500000119</v>
      </c>
      <c r="R47" s="117">
        <f t="shared" si="15"/>
        <v>2329530.6600000113</v>
      </c>
      <c r="S47" s="117">
        <f t="shared" si="16"/>
        <v>5415062.8900000006</v>
      </c>
      <c r="T47" s="117">
        <f t="shared" si="17"/>
        <v>3690673.07</v>
      </c>
    </row>
    <row r="48" spans="1:20" s="40" customFormat="1" ht="54">
      <c r="A48" s="23" t="s">
        <v>189</v>
      </c>
      <c r="B48" s="23" t="s">
        <v>191</v>
      </c>
      <c r="C48" s="23" t="s">
        <v>12</v>
      </c>
      <c r="D48" s="19" t="s">
        <v>255</v>
      </c>
      <c r="E48" s="115">
        <f t="shared" si="78"/>
        <v>77909811.379999995</v>
      </c>
      <c r="F48" s="115">
        <v>71411903.709999993</v>
      </c>
      <c r="G48" s="117">
        <f>36858.89+4034459.87+2426588.91</f>
        <v>6497907.6699999999</v>
      </c>
      <c r="H48" s="117">
        <v>2426588.91</v>
      </c>
      <c r="I48" s="115">
        <f t="shared" si="22"/>
        <v>85708924.859999999</v>
      </c>
      <c r="J48" s="115">
        <v>77992334.459999993</v>
      </c>
      <c r="K48" s="117">
        <f>56579.1+4242031.3+3417980</f>
        <v>7716590.3999999994</v>
      </c>
      <c r="L48" s="117">
        <v>3417980</v>
      </c>
      <c r="M48" s="116">
        <f t="shared" si="11"/>
        <v>1.1001043814874656</v>
      </c>
      <c r="N48" s="116">
        <f t="shared" si="12"/>
        <v>1.0921475329480472</v>
      </c>
      <c r="O48" s="116">
        <f t="shared" si="26"/>
        <v>1.1875500225444107</v>
      </c>
      <c r="P48" s="116">
        <f t="shared" si="13"/>
        <v>1.4085533754458639</v>
      </c>
      <c r="Q48" s="117">
        <f t="shared" si="14"/>
        <v>7799113.4800000042</v>
      </c>
      <c r="R48" s="117">
        <f t="shared" si="15"/>
        <v>6580430.75</v>
      </c>
      <c r="S48" s="117">
        <f t="shared" si="16"/>
        <v>1218682.7299999995</v>
      </c>
      <c r="T48" s="117">
        <f t="shared" si="17"/>
        <v>991391.08999999985</v>
      </c>
    </row>
    <row r="49" spans="1:20" s="40" customFormat="1" ht="90">
      <c r="A49" s="23" t="s">
        <v>190</v>
      </c>
      <c r="B49" s="23" t="s">
        <v>192</v>
      </c>
      <c r="C49" s="23" t="s">
        <v>14</v>
      </c>
      <c r="D49" s="19" t="s">
        <v>256</v>
      </c>
      <c r="E49" s="115">
        <f t="shared" si="78"/>
        <v>5511885.9399999995</v>
      </c>
      <c r="F49" s="115">
        <v>5260528.34</v>
      </c>
      <c r="G49" s="117">
        <f>251357.6</f>
        <v>251357.6</v>
      </c>
      <c r="H49" s="117"/>
      <c r="I49" s="115">
        <f t="shared" si="22"/>
        <v>11582832.379999999</v>
      </c>
      <c r="J49" s="115">
        <v>11009832.85</v>
      </c>
      <c r="K49" s="117">
        <f>3900+569099.53</f>
        <v>572999.53</v>
      </c>
      <c r="L49" s="117"/>
      <c r="M49" s="116">
        <f t="shared" si="11"/>
        <v>2.1014281692483645</v>
      </c>
      <c r="N49" s="116">
        <f t="shared" si="12"/>
        <v>2.0929138935120726</v>
      </c>
      <c r="O49" s="116" t="s">
        <v>439</v>
      </c>
      <c r="P49" s="116" t="str">
        <f t="shared" si="13"/>
        <v/>
      </c>
      <c r="Q49" s="117">
        <f t="shared" si="14"/>
        <v>6070946.4399999995</v>
      </c>
      <c r="R49" s="117">
        <f t="shared" si="15"/>
        <v>5749304.5099999998</v>
      </c>
      <c r="S49" s="117">
        <f t="shared" si="16"/>
        <v>321641.93000000005</v>
      </c>
      <c r="T49" s="117">
        <f t="shared" si="17"/>
        <v>0</v>
      </c>
    </row>
    <row r="50" spans="1:20" s="40" customFormat="1" ht="54">
      <c r="A50" s="23" t="s">
        <v>196</v>
      </c>
      <c r="B50" s="23" t="s">
        <v>197</v>
      </c>
      <c r="C50" s="23" t="s">
        <v>12</v>
      </c>
      <c r="D50" s="19" t="s">
        <v>257</v>
      </c>
      <c r="E50" s="115">
        <f t="shared" ref="E50:E51" si="81">F50+G50</f>
        <v>117414500</v>
      </c>
      <c r="F50" s="115">
        <v>117414500</v>
      </c>
      <c r="G50" s="117"/>
      <c r="H50" s="117"/>
      <c r="I50" s="115">
        <f t="shared" si="22"/>
        <v>146821677.94</v>
      </c>
      <c r="J50" s="115">
        <f>146592900+228777.94</f>
        <v>146821677.94</v>
      </c>
      <c r="K50" s="117"/>
      <c r="L50" s="117"/>
      <c r="M50" s="116">
        <f t="shared" si="11"/>
        <v>1.2504561015888156</v>
      </c>
      <c r="N50" s="116">
        <f t="shared" si="12"/>
        <v>1.2504561015888156</v>
      </c>
      <c r="O50" s="116" t="str">
        <f t="shared" si="26"/>
        <v/>
      </c>
      <c r="P50" s="116" t="str">
        <f t="shared" si="13"/>
        <v/>
      </c>
      <c r="Q50" s="117">
        <f t="shared" si="14"/>
        <v>29407177.939999998</v>
      </c>
      <c r="R50" s="117">
        <f t="shared" si="15"/>
        <v>29407177.939999998</v>
      </c>
      <c r="S50" s="117">
        <f t="shared" si="16"/>
        <v>0</v>
      </c>
      <c r="T50" s="117">
        <f t="shared" si="17"/>
        <v>0</v>
      </c>
    </row>
    <row r="51" spans="1:20" s="40" customFormat="1" ht="90">
      <c r="A51" s="23" t="s">
        <v>198</v>
      </c>
      <c r="B51" s="23" t="s">
        <v>199</v>
      </c>
      <c r="C51" s="23" t="s">
        <v>14</v>
      </c>
      <c r="D51" s="19" t="s">
        <v>258</v>
      </c>
      <c r="E51" s="115">
        <f t="shared" si="81"/>
        <v>9500000</v>
      </c>
      <c r="F51" s="115">
        <v>9500000</v>
      </c>
      <c r="G51" s="117"/>
      <c r="H51" s="117"/>
      <c r="I51" s="115">
        <f t="shared" si="22"/>
        <v>12600000</v>
      </c>
      <c r="J51" s="115">
        <f>12600000</f>
        <v>12600000</v>
      </c>
      <c r="K51" s="117"/>
      <c r="L51" s="117"/>
      <c r="M51" s="116">
        <f t="shared" si="11"/>
        <v>1.3263157894736841</v>
      </c>
      <c r="N51" s="116">
        <f t="shared" si="12"/>
        <v>1.3263157894736841</v>
      </c>
      <c r="O51" s="116" t="str">
        <f t="shared" si="26"/>
        <v/>
      </c>
      <c r="P51" s="116" t="str">
        <f t="shared" si="13"/>
        <v/>
      </c>
      <c r="Q51" s="117">
        <f t="shared" si="14"/>
        <v>3100000</v>
      </c>
      <c r="R51" s="117">
        <f t="shared" si="15"/>
        <v>3100000</v>
      </c>
      <c r="S51" s="117">
        <f t="shared" si="16"/>
        <v>0</v>
      </c>
      <c r="T51" s="117">
        <f t="shared" si="17"/>
        <v>0</v>
      </c>
    </row>
    <row r="52" spans="1:20" s="40" customFormat="1" ht="54">
      <c r="A52" s="23" t="s">
        <v>62</v>
      </c>
      <c r="B52" s="23" t="s">
        <v>32</v>
      </c>
      <c r="C52" s="23" t="s">
        <v>15</v>
      </c>
      <c r="D52" s="19" t="s">
        <v>226</v>
      </c>
      <c r="E52" s="115">
        <f t="shared" ref="E52:E73" si="82">F52+G52</f>
        <v>20201727.620000001</v>
      </c>
      <c r="F52" s="115">
        <v>19796294.620000001</v>
      </c>
      <c r="G52" s="117">
        <f>174123+231310</f>
        <v>405433</v>
      </c>
      <c r="H52" s="117"/>
      <c r="I52" s="115">
        <f t="shared" si="22"/>
        <v>20585371.41</v>
      </c>
      <c r="J52" s="115">
        <v>20380674.920000002</v>
      </c>
      <c r="K52" s="117">
        <f>57908+146788.49</f>
        <v>204696.49</v>
      </c>
      <c r="L52" s="117"/>
      <c r="M52" s="116">
        <f t="shared" si="11"/>
        <v>1.0189906426428692</v>
      </c>
      <c r="N52" s="116">
        <f t="shared" si="12"/>
        <v>1.0295196808906657</v>
      </c>
      <c r="O52" s="116">
        <f t="shared" si="26"/>
        <v>0.50488364292003851</v>
      </c>
      <c r="P52" s="116" t="str">
        <f t="shared" si="13"/>
        <v/>
      </c>
      <c r="Q52" s="117">
        <f t="shared" si="14"/>
        <v>383643.78999999911</v>
      </c>
      <c r="R52" s="117">
        <f t="shared" si="15"/>
        <v>584380.30000000075</v>
      </c>
      <c r="S52" s="117">
        <f t="shared" si="16"/>
        <v>-200736.51</v>
      </c>
      <c r="T52" s="117">
        <f t="shared" si="17"/>
        <v>0</v>
      </c>
    </row>
    <row r="53" spans="1:20" s="40" customFormat="1" ht="36">
      <c r="A53" s="21" t="s">
        <v>277</v>
      </c>
      <c r="B53" s="21" t="s">
        <v>278</v>
      </c>
      <c r="C53" s="21" t="s">
        <v>279</v>
      </c>
      <c r="D53" s="68" t="s">
        <v>280</v>
      </c>
      <c r="E53" s="115">
        <f t="shared" si="82"/>
        <v>3900</v>
      </c>
      <c r="F53" s="115">
        <v>3900</v>
      </c>
      <c r="G53" s="117"/>
      <c r="H53" s="117"/>
      <c r="I53" s="115">
        <f t="shared" si="22"/>
        <v>17460</v>
      </c>
      <c r="J53" s="115">
        <v>17460</v>
      </c>
      <c r="K53" s="117"/>
      <c r="L53" s="117"/>
      <c r="M53" s="116" t="s">
        <v>358</v>
      </c>
      <c r="N53" s="116" t="s">
        <v>358</v>
      </c>
      <c r="O53" s="116" t="str">
        <f t="shared" si="26"/>
        <v/>
      </c>
      <c r="P53" s="116" t="str">
        <f t="shared" si="13"/>
        <v/>
      </c>
      <c r="Q53" s="117">
        <f t="shared" si="14"/>
        <v>13560</v>
      </c>
      <c r="R53" s="117">
        <f t="shared" si="15"/>
        <v>13560</v>
      </c>
      <c r="S53" s="117">
        <f t="shared" si="16"/>
        <v>0</v>
      </c>
      <c r="T53" s="117">
        <f t="shared" si="17"/>
        <v>0</v>
      </c>
    </row>
    <row r="54" spans="1:20" s="40" customFormat="1" ht="43.95" customHeight="1">
      <c r="A54" s="23" t="s">
        <v>200</v>
      </c>
      <c r="B54" s="23" t="s">
        <v>201</v>
      </c>
      <c r="C54" s="23" t="s">
        <v>16</v>
      </c>
      <c r="D54" s="19" t="s">
        <v>153</v>
      </c>
      <c r="E54" s="115">
        <f t="shared" si="82"/>
        <v>18222349.609999999</v>
      </c>
      <c r="F54" s="115">
        <v>16437553.609999999</v>
      </c>
      <c r="G54" s="117">
        <f>1784796</f>
        <v>1784796</v>
      </c>
      <c r="H54" s="117"/>
      <c r="I54" s="115">
        <f t="shared" si="22"/>
        <v>30769723.77</v>
      </c>
      <c r="J54" s="115">
        <v>18725169.57</v>
      </c>
      <c r="K54" s="117">
        <f>7444554.2+4600000</f>
        <v>12044554.199999999</v>
      </c>
      <c r="L54" s="117">
        <v>4600000</v>
      </c>
      <c r="M54" s="116">
        <f t="shared" si="11"/>
        <v>1.688570597565217</v>
      </c>
      <c r="N54" s="116">
        <f t="shared" si="12"/>
        <v>1.1391700988040154</v>
      </c>
      <c r="O54" s="116" t="s">
        <v>357</v>
      </c>
      <c r="P54" s="116" t="str">
        <f t="shared" si="13"/>
        <v/>
      </c>
      <c r="Q54" s="117">
        <f t="shared" si="14"/>
        <v>12547374.16</v>
      </c>
      <c r="R54" s="117">
        <f t="shared" si="15"/>
        <v>2287615.9600000009</v>
      </c>
      <c r="S54" s="117">
        <f t="shared" si="16"/>
        <v>10259758.199999999</v>
      </c>
      <c r="T54" s="117">
        <f t="shared" si="17"/>
        <v>4600000</v>
      </c>
    </row>
    <row r="55" spans="1:20" s="40" customFormat="1" ht="64.2" customHeight="1">
      <c r="A55" s="23" t="s">
        <v>202</v>
      </c>
      <c r="B55" s="23" t="s">
        <v>203</v>
      </c>
      <c r="C55" s="23" t="s">
        <v>16</v>
      </c>
      <c r="D55" s="19" t="s">
        <v>204</v>
      </c>
      <c r="E55" s="115">
        <f t="shared" si="82"/>
        <v>651213.61</v>
      </c>
      <c r="F55" s="115">
        <v>601213.61</v>
      </c>
      <c r="G55" s="117">
        <f>50000</f>
        <v>50000</v>
      </c>
      <c r="H55" s="117"/>
      <c r="I55" s="115">
        <f t="shared" si="22"/>
        <v>476832.44</v>
      </c>
      <c r="J55" s="115">
        <v>476832.44</v>
      </c>
      <c r="K55" s="117"/>
      <c r="L55" s="117"/>
      <c r="M55" s="116">
        <f t="shared" si="11"/>
        <v>0.73222124457748972</v>
      </c>
      <c r="N55" s="116">
        <f t="shared" si="12"/>
        <v>0.79311650978759451</v>
      </c>
      <c r="O55" s="116">
        <f t="shared" si="26"/>
        <v>0</v>
      </c>
      <c r="P55" s="116" t="str">
        <f t="shared" si="13"/>
        <v/>
      </c>
      <c r="Q55" s="117">
        <f t="shared" si="14"/>
        <v>-174381.16999999998</v>
      </c>
      <c r="R55" s="117">
        <f t="shared" si="15"/>
        <v>-124381.16999999998</v>
      </c>
      <c r="S55" s="117">
        <f t="shared" si="16"/>
        <v>-50000</v>
      </c>
      <c r="T55" s="117">
        <f t="shared" si="17"/>
        <v>0</v>
      </c>
    </row>
    <row r="56" spans="1:20" s="40" customFormat="1" ht="54">
      <c r="A56" s="23" t="s">
        <v>205</v>
      </c>
      <c r="B56" s="23" t="s">
        <v>206</v>
      </c>
      <c r="C56" s="23" t="s">
        <v>16</v>
      </c>
      <c r="D56" s="19" t="s">
        <v>207</v>
      </c>
      <c r="E56" s="115">
        <f t="shared" si="82"/>
        <v>2049601.01</v>
      </c>
      <c r="F56" s="115">
        <v>2049601.01</v>
      </c>
      <c r="G56" s="117"/>
      <c r="H56" s="117"/>
      <c r="I56" s="115">
        <f t="shared" si="22"/>
        <v>2146641.73</v>
      </c>
      <c r="J56" s="115">
        <v>2146641.73</v>
      </c>
      <c r="K56" s="117"/>
      <c r="L56" s="117"/>
      <c r="M56" s="116">
        <f t="shared" si="11"/>
        <v>1.0473461515321951</v>
      </c>
      <c r="N56" s="116">
        <f t="shared" si="12"/>
        <v>1.0473461515321951</v>
      </c>
      <c r="O56" s="116" t="str">
        <f t="shared" si="26"/>
        <v/>
      </c>
      <c r="P56" s="116" t="str">
        <f t="shared" si="13"/>
        <v/>
      </c>
      <c r="Q56" s="117">
        <f t="shared" si="14"/>
        <v>97040.719999999972</v>
      </c>
      <c r="R56" s="117">
        <f t="shared" si="15"/>
        <v>97040.719999999972</v>
      </c>
      <c r="S56" s="117">
        <f t="shared" si="16"/>
        <v>0</v>
      </c>
      <c r="T56" s="117">
        <f t="shared" si="17"/>
        <v>0</v>
      </c>
    </row>
    <row r="57" spans="1:20" s="40" customFormat="1" ht="126">
      <c r="A57" s="55" t="s">
        <v>314</v>
      </c>
      <c r="B57" s="56">
        <v>1154</v>
      </c>
      <c r="C57" s="55" t="s">
        <v>16</v>
      </c>
      <c r="D57" s="44" t="s">
        <v>315</v>
      </c>
      <c r="E57" s="115">
        <f t="shared" si="82"/>
        <v>0</v>
      </c>
      <c r="F57" s="115"/>
      <c r="G57" s="117"/>
      <c r="H57" s="117"/>
      <c r="I57" s="115">
        <f t="shared" si="22"/>
        <v>245454.99</v>
      </c>
      <c r="J57" s="115">
        <v>245454.99</v>
      </c>
      <c r="K57" s="117"/>
      <c r="L57" s="117"/>
      <c r="M57" s="116" t="str">
        <f t="shared" si="11"/>
        <v/>
      </c>
      <c r="N57" s="116" t="str">
        <f t="shared" si="12"/>
        <v/>
      </c>
      <c r="O57" s="116" t="str">
        <f t="shared" si="26"/>
        <v/>
      </c>
      <c r="P57" s="116" t="str">
        <f t="shared" si="13"/>
        <v/>
      </c>
      <c r="Q57" s="117">
        <f t="shared" si="14"/>
        <v>245454.99</v>
      </c>
      <c r="R57" s="117">
        <f t="shared" si="15"/>
        <v>245454.99</v>
      </c>
      <c r="S57" s="117">
        <f t="shared" si="16"/>
        <v>0</v>
      </c>
      <c r="T57" s="117">
        <f t="shared" si="17"/>
        <v>0</v>
      </c>
    </row>
    <row r="58" spans="1:20" s="40" customFormat="1" ht="36">
      <c r="A58" s="22" t="s">
        <v>295</v>
      </c>
      <c r="B58" s="22">
        <v>1160</v>
      </c>
      <c r="C58" s="21" t="s">
        <v>16</v>
      </c>
      <c r="D58" s="68" t="s">
        <v>251</v>
      </c>
      <c r="E58" s="115">
        <f t="shared" ref="E58" si="83">F58+G58</f>
        <v>3508954.39</v>
      </c>
      <c r="F58" s="115">
        <v>3508954.39</v>
      </c>
      <c r="G58" s="117"/>
      <c r="H58" s="117"/>
      <c r="I58" s="115">
        <f t="shared" si="22"/>
        <v>3833555.43</v>
      </c>
      <c r="J58" s="115">
        <v>3833555.43</v>
      </c>
      <c r="K58" s="117"/>
      <c r="L58" s="117"/>
      <c r="M58" s="116">
        <f t="shared" si="11"/>
        <v>1.0925064859563478</v>
      </c>
      <c r="N58" s="116">
        <f t="shared" si="12"/>
        <v>1.0925064859563478</v>
      </c>
      <c r="O58" s="116" t="str">
        <f t="shared" si="26"/>
        <v/>
      </c>
      <c r="P58" s="116" t="str">
        <f t="shared" si="13"/>
        <v/>
      </c>
      <c r="Q58" s="117">
        <f t="shared" si="14"/>
        <v>324601.04000000004</v>
      </c>
      <c r="R58" s="117">
        <f t="shared" si="15"/>
        <v>324601.04000000004</v>
      </c>
      <c r="S58" s="117">
        <f t="shared" si="16"/>
        <v>0</v>
      </c>
      <c r="T58" s="117">
        <f t="shared" si="17"/>
        <v>0</v>
      </c>
    </row>
    <row r="59" spans="1:20" s="40" customFormat="1" ht="78">
      <c r="A59" s="123" t="s">
        <v>419</v>
      </c>
      <c r="B59" s="123" t="s">
        <v>420</v>
      </c>
      <c r="C59" s="123" t="s">
        <v>16</v>
      </c>
      <c r="D59" s="94" t="s">
        <v>421</v>
      </c>
      <c r="E59" s="115">
        <f t="shared" ref="E59" si="84">F59+G59</f>
        <v>0</v>
      </c>
      <c r="F59" s="115"/>
      <c r="G59" s="117"/>
      <c r="H59" s="117"/>
      <c r="I59" s="115">
        <f t="shared" ref="I59" si="85">J59+K59</f>
        <v>1011672</v>
      </c>
      <c r="J59" s="115"/>
      <c r="K59" s="117">
        <v>1011672</v>
      </c>
      <c r="L59" s="117">
        <v>1011672</v>
      </c>
      <c r="M59" s="116" t="str">
        <f t="shared" ref="M59" si="86">IFERROR((I59/E59),"")</f>
        <v/>
      </c>
      <c r="N59" s="116" t="str">
        <f t="shared" ref="N59" si="87">IFERROR((J59/F59),"")</f>
        <v/>
      </c>
      <c r="O59" s="116" t="str">
        <f t="shared" ref="O59" si="88">IFERROR((K59/G59),"")</f>
        <v/>
      </c>
      <c r="P59" s="116" t="str">
        <f t="shared" ref="P59" si="89">IFERROR((L59/H59),"")</f>
        <v/>
      </c>
      <c r="Q59" s="117">
        <f t="shared" ref="Q59" si="90">I59-E59</f>
        <v>1011672</v>
      </c>
      <c r="R59" s="117">
        <f t="shared" ref="R59" si="91">J59-F59</f>
        <v>0</v>
      </c>
      <c r="S59" s="117">
        <f t="shared" ref="S59" si="92">K59-G59</f>
        <v>1011672</v>
      </c>
      <c r="T59" s="117">
        <f t="shared" ref="T59" si="93">L59-H59</f>
        <v>1011672</v>
      </c>
    </row>
    <row r="60" spans="1:20" s="40" customFormat="1" ht="62.4">
      <c r="A60" s="123" t="s">
        <v>422</v>
      </c>
      <c r="B60" s="123" t="s">
        <v>423</v>
      </c>
      <c r="C60" s="123" t="s">
        <v>16</v>
      </c>
      <c r="D60" s="95" t="s">
        <v>424</v>
      </c>
      <c r="E60" s="115">
        <f t="shared" ref="E60" si="94">F60+G60</f>
        <v>0</v>
      </c>
      <c r="F60" s="115"/>
      <c r="G60" s="117"/>
      <c r="H60" s="117"/>
      <c r="I60" s="115">
        <f t="shared" ref="I60" si="95">J60+K60</f>
        <v>2361528</v>
      </c>
      <c r="J60" s="115"/>
      <c r="K60" s="117">
        <v>2361528</v>
      </c>
      <c r="L60" s="117">
        <v>2361528</v>
      </c>
      <c r="M60" s="116" t="str">
        <f t="shared" ref="M60" si="96">IFERROR((I60/E60),"")</f>
        <v/>
      </c>
      <c r="N60" s="116" t="str">
        <f t="shared" ref="N60" si="97">IFERROR((J60/F60),"")</f>
        <v/>
      </c>
      <c r="O60" s="116" t="str">
        <f t="shared" ref="O60" si="98">IFERROR((K60/G60),"")</f>
        <v/>
      </c>
      <c r="P60" s="116" t="str">
        <f t="shared" ref="P60" si="99">IFERROR((L60/H60),"")</f>
        <v/>
      </c>
      <c r="Q60" s="117">
        <f t="shared" ref="Q60" si="100">I60-E60</f>
        <v>2361528</v>
      </c>
      <c r="R60" s="117">
        <f t="shared" ref="R60" si="101">J60-F60</f>
        <v>0</v>
      </c>
      <c r="S60" s="117">
        <f t="shared" ref="S60" si="102">K60-G60</f>
        <v>2361528</v>
      </c>
      <c r="T60" s="117">
        <f t="shared" ref="T60" si="103">L60-H60</f>
        <v>2361528</v>
      </c>
    </row>
    <row r="61" spans="1:20" s="40" customFormat="1" ht="72">
      <c r="A61" s="23" t="s">
        <v>223</v>
      </c>
      <c r="B61" s="23" t="s">
        <v>224</v>
      </c>
      <c r="C61" s="23" t="s">
        <v>16</v>
      </c>
      <c r="D61" s="24" t="s">
        <v>225</v>
      </c>
      <c r="E61" s="115">
        <f t="shared" si="82"/>
        <v>351372</v>
      </c>
      <c r="F61" s="115">
        <v>351372</v>
      </c>
      <c r="G61" s="115"/>
      <c r="H61" s="115"/>
      <c r="I61" s="115">
        <f t="shared" si="22"/>
        <v>430630</v>
      </c>
      <c r="J61" s="115">
        <v>430630</v>
      </c>
      <c r="K61" s="115"/>
      <c r="L61" s="115"/>
      <c r="M61" s="116">
        <f t="shared" si="11"/>
        <v>1.2255672051273294</v>
      </c>
      <c r="N61" s="116">
        <f t="shared" si="12"/>
        <v>1.2255672051273294</v>
      </c>
      <c r="O61" s="116" t="str">
        <f t="shared" si="26"/>
        <v/>
      </c>
      <c r="P61" s="116" t="str">
        <f t="shared" si="13"/>
        <v/>
      </c>
      <c r="Q61" s="117">
        <f t="shared" si="14"/>
        <v>79258</v>
      </c>
      <c r="R61" s="117">
        <f t="shared" si="15"/>
        <v>79258</v>
      </c>
      <c r="S61" s="117">
        <f t="shared" si="16"/>
        <v>0</v>
      </c>
      <c r="T61" s="117">
        <f t="shared" si="17"/>
        <v>0</v>
      </c>
    </row>
    <row r="62" spans="1:20" s="40" customFormat="1" ht="90">
      <c r="A62" s="57" t="s">
        <v>316</v>
      </c>
      <c r="B62" s="57" t="s">
        <v>317</v>
      </c>
      <c r="C62" s="57" t="s">
        <v>16</v>
      </c>
      <c r="D62" s="45" t="s">
        <v>318</v>
      </c>
      <c r="E62" s="115">
        <f t="shared" si="82"/>
        <v>111396.79</v>
      </c>
      <c r="F62" s="115">
        <v>111396.79</v>
      </c>
      <c r="G62" s="115"/>
      <c r="H62" s="115"/>
      <c r="I62" s="115">
        <f t="shared" si="22"/>
        <v>367454</v>
      </c>
      <c r="J62" s="115">
        <v>367454</v>
      </c>
      <c r="K62" s="115"/>
      <c r="L62" s="115"/>
      <c r="M62" s="116">
        <f t="shared" si="11"/>
        <v>3.2986049238941266</v>
      </c>
      <c r="N62" s="116">
        <f t="shared" si="12"/>
        <v>3.2986049238941266</v>
      </c>
      <c r="O62" s="116" t="str">
        <f t="shared" si="26"/>
        <v/>
      </c>
      <c r="P62" s="116" t="str">
        <f t="shared" si="13"/>
        <v/>
      </c>
      <c r="Q62" s="117">
        <f t="shared" si="14"/>
        <v>256057.21000000002</v>
      </c>
      <c r="R62" s="117">
        <f t="shared" si="15"/>
        <v>256057.21000000002</v>
      </c>
      <c r="S62" s="117">
        <f t="shared" si="16"/>
        <v>0</v>
      </c>
      <c r="T62" s="117">
        <f t="shared" si="17"/>
        <v>0</v>
      </c>
    </row>
    <row r="63" spans="1:20" s="40" customFormat="1" ht="72">
      <c r="A63" s="22" t="s">
        <v>368</v>
      </c>
      <c r="B63" s="22" t="s">
        <v>369</v>
      </c>
      <c r="C63" s="22" t="s">
        <v>16</v>
      </c>
      <c r="D63" s="24" t="s">
        <v>370</v>
      </c>
      <c r="E63" s="115">
        <f t="shared" ref="E63:E64" si="104">F63+G63</f>
        <v>166826</v>
      </c>
      <c r="F63" s="115">
        <v>166826</v>
      </c>
      <c r="G63" s="117"/>
      <c r="H63" s="115"/>
      <c r="I63" s="115">
        <f t="shared" ref="I63:I64" si="105">J63+K63</f>
        <v>0</v>
      </c>
      <c r="J63" s="115"/>
      <c r="K63" s="115"/>
      <c r="L63" s="115"/>
      <c r="M63" s="116">
        <f t="shared" ref="M63:M64" si="106">IFERROR((I63/E63),"")</f>
        <v>0</v>
      </c>
      <c r="N63" s="116">
        <f t="shared" ref="N63:N64" si="107">IFERROR((J63/F63),"")</f>
        <v>0</v>
      </c>
      <c r="O63" s="116" t="str">
        <f t="shared" ref="O63:O64" si="108">IFERROR((K63/G63),"")</f>
        <v/>
      </c>
      <c r="P63" s="116" t="str">
        <f t="shared" ref="P63:P64" si="109">IFERROR((L63/H63),"")</f>
        <v/>
      </c>
      <c r="Q63" s="117">
        <f t="shared" ref="Q63:Q64" si="110">I63-E63</f>
        <v>-166826</v>
      </c>
      <c r="R63" s="117">
        <f t="shared" ref="R63:R64" si="111">J63-F63</f>
        <v>-166826</v>
      </c>
      <c r="S63" s="117">
        <f t="shared" ref="S63:S64" si="112">K63-G63</f>
        <v>0</v>
      </c>
      <c r="T63" s="117">
        <f t="shared" ref="T63:T64" si="113">L63-H63</f>
        <v>0</v>
      </c>
    </row>
    <row r="64" spans="1:20" s="40" customFormat="1" ht="72">
      <c r="A64" s="22" t="s">
        <v>371</v>
      </c>
      <c r="B64" s="22" t="s">
        <v>372</v>
      </c>
      <c r="C64" s="22" t="s">
        <v>16</v>
      </c>
      <c r="D64" s="82" t="s">
        <v>373</v>
      </c>
      <c r="E64" s="115">
        <f t="shared" si="104"/>
        <v>389268</v>
      </c>
      <c r="F64" s="115"/>
      <c r="G64" s="117">
        <v>389268</v>
      </c>
      <c r="H64" s="115"/>
      <c r="I64" s="115">
        <f t="shared" si="105"/>
        <v>0</v>
      </c>
      <c r="J64" s="115"/>
      <c r="K64" s="115"/>
      <c r="L64" s="115"/>
      <c r="M64" s="116">
        <f t="shared" si="106"/>
        <v>0</v>
      </c>
      <c r="N64" s="116" t="str">
        <f t="shared" si="107"/>
        <v/>
      </c>
      <c r="O64" s="116">
        <f t="shared" si="108"/>
        <v>0</v>
      </c>
      <c r="P64" s="116" t="str">
        <f t="shared" si="109"/>
        <v/>
      </c>
      <c r="Q64" s="117">
        <f t="shared" si="110"/>
        <v>-389268</v>
      </c>
      <c r="R64" s="117">
        <f t="shared" si="111"/>
        <v>0</v>
      </c>
      <c r="S64" s="117">
        <f t="shared" si="112"/>
        <v>-389268</v>
      </c>
      <c r="T64" s="117">
        <f t="shared" si="113"/>
        <v>0</v>
      </c>
    </row>
    <row r="65" spans="1:21" s="40" customFormat="1" ht="109.2">
      <c r="A65" s="123" t="s">
        <v>425</v>
      </c>
      <c r="B65" s="124">
        <v>1291</v>
      </c>
      <c r="C65" s="125" t="s">
        <v>16</v>
      </c>
      <c r="D65" s="96" t="s">
        <v>426</v>
      </c>
      <c r="E65" s="115">
        <f t="shared" ref="E65" si="114">F65+G65</f>
        <v>0</v>
      </c>
      <c r="F65" s="115"/>
      <c r="G65" s="117"/>
      <c r="H65" s="115"/>
      <c r="I65" s="115">
        <f t="shared" ref="I65" si="115">J65+K65</f>
        <v>1439753</v>
      </c>
      <c r="J65" s="115"/>
      <c r="K65" s="115">
        <v>1439753</v>
      </c>
      <c r="L65" s="115">
        <v>1439753</v>
      </c>
      <c r="M65" s="116" t="str">
        <f t="shared" ref="M65" si="116">IFERROR((I65/E65),"")</f>
        <v/>
      </c>
      <c r="N65" s="116" t="str">
        <f t="shared" ref="N65" si="117">IFERROR((J65/F65),"")</f>
        <v/>
      </c>
      <c r="O65" s="116" t="str">
        <f t="shared" ref="O65" si="118">IFERROR((K65/G65),"")</f>
        <v/>
      </c>
      <c r="P65" s="116" t="str">
        <f t="shared" ref="P65" si="119">IFERROR((L65/H65),"")</f>
        <v/>
      </c>
      <c r="Q65" s="117">
        <f t="shared" ref="Q65" si="120">I65-E65</f>
        <v>1439753</v>
      </c>
      <c r="R65" s="117">
        <f t="shared" ref="R65" si="121">J65-F65</f>
        <v>0</v>
      </c>
      <c r="S65" s="117">
        <f t="shared" ref="S65" si="122">K65-G65</f>
        <v>1439753</v>
      </c>
      <c r="T65" s="117">
        <f t="shared" ref="T65" si="123">L65-H65</f>
        <v>1439753</v>
      </c>
    </row>
    <row r="66" spans="1:21" s="40" customFormat="1" ht="93.6">
      <c r="A66" s="125" t="s">
        <v>427</v>
      </c>
      <c r="B66" s="125" t="s">
        <v>428</v>
      </c>
      <c r="C66" s="125" t="s">
        <v>16</v>
      </c>
      <c r="D66" s="97" t="s">
        <v>429</v>
      </c>
      <c r="E66" s="115">
        <f t="shared" ref="E66" si="124">F66+G66</f>
        <v>0</v>
      </c>
      <c r="F66" s="115"/>
      <c r="G66" s="117"/>
      <c r="H66" s="115"/>
      <c r="I66" s="115">
        <f t="shared" ref="I66" si="125">J66+K66</f>
        <v>3364219</v>
      </c>
      <c r="J66" s="115"/>
      <c r="K66" s="115">
        <v>3364219</v>
      </c>
      <c r="L66" s="115"/>
      <c r="M66" s="116" t="str">
        <f t="shared" ref="M66" si="126">IFERROR((I66/E66),"")</f>
        <v/>
      </c>
      <c r="N66" s="116" t="str">
        <f t="shared" ref="N66" si="127">IFERROR((J66/F66),"")</f>
        <v/>
      </c>
      <c r="O66" s="116" t="str">
        <f t="shared" ref="O66" si="128">IFERROR((K66/G66),"")</f>
        <v/>
      </c>
      <c r="P66" s="116" t="str">
        <f t="shared" ref="P66" si="129">IFERROR((L66/H66),"")</f>
        <v/>
      </c>
      <c r="Q66" s="117">
        <f t="shared" ref="Q66" si="130">I66-E66</f>
        <v>3364219</v>
      </c>
      <c r="R66" s="117">
        <f t="shared" ref="R66" si="131">J66-F66</f>
        <v>0</v>
      </c>
      <c r="S66" s="117">
        <f t="shared" ref="S66" si="132">K66-G66</f>
        <v>3364219</v>
      </c>
      <c r="T66" s="117">
        <f t="shared" ref="T66" si="133">L66-H66</f>
        <v>0</v>
      </c>
    </row>
    <row r="67" spans="1:21" s="40" customFormat="1" ht="46.8">
      <c r="A67" s="126" t="s">
        <v>404</v>
      </c>
      <c r="B67" s="126" t="s">
        <v>405</v>
      </c>
      <c r="C67" s="126" t="s">
        <v>16</v>
      </c>
      <c r="D67" s="87" t="s">
        <v>406</v>
      </c>
      <c r="E67" s="115">
        <f t="shared" ref="E67" si="134">F67+G67</f>
        <v>0</v>
      </c>
      <c r="F67" s="115"/>
      <c r="G67" s="117"/>
      <c r="H67" s="115"/>
      <c r="I67" s="115">
        <f t="shared" ref="I67" si="135">J67+K67</f>
        <v>2989998.09</v>
      </c>
      <c r="J67" s="115">
        <v>2989998.09</v>
      </c>
      <c r="K67" s="115"/>
      <c r="L67" s="115"/>
      <c r="M67" s="116" t="str">
        <f t="shared" ref="M67" si="136">IFERROR((I67/E67),"")</f>
        <v/>
      </c>
      <c r="N67" s="116" t="str">
        <f t="shared" ref="N67" si="137">IFERROR((J67/F67),"")</f>
        <v/>
      </c>
      <c r="O67" s="116" t="str">
        <f t="shared" ref="O67" si="138">IFERROR((K67/G67),"")</f>
        <v/>
      </c>
      <c r="P67" s="116" t="str">
        <f t="shared" ref="P67" si="139">IFERROR((L67/H67),"")</f>
        <v/>
      </c>
      <c r="Q67" s="117">
        <f t="shared" ref="Q67" si="140">I67-E67</f>
        <v>2989998.09</v>
      </c>
      <c r="R67" s="117">
        <f t="shared" ref="R67" si="141">J67-F67</f>
        <v>2989998.09</v>
      </c>
      <c r="S67" s="117">
        <f t="shared" ref="S67" si="142">K67-G67</f>
        <v>0</v>
      </c>
      <c r="T67" s="117">
        <f t="shared" ref="T67" si="143">L67-H67</f>
        <v>0</v>
      </c>
    </row>
    <row r="68" spans="1:21" s="40" customFormat="1" ht="90">
      <c r="A68" s="21" t="s">
        <v>299</v>
      </c>
      <c r="B68" s="21" t="s">
        <v>300</v>
      </c>
      <c r="C68" s="21" t="s">
        <v>17</v>
      </c>
      <c r="D68" s="68" t="s">
        <v>301</v>
      </c>
      <c r="E68" s="115">
        <f t="shared" si="82"/>
        <v>2256288.38</v>
      </c>
      <c r="F68" s="115">
        <v>2256288.38</v>
      </c>
      <c r="G68" s="115"/>
      <c r="H68" s="115"/>
      <c r="I68" s="115">
        <f t="shared" si="22"/>
        <v>3690753.47</v>
      </c>
      <c r="J68" s="115">
        <f>3690753.47</f>
        <v>3690753.47</v>
      </c>
      <c r="K68" s="115"/>
      <c r="L68" s="115"/>
      <c r="M68" s="116">
        <f t="shared" si="11"/>
        <v>1.6357631864416198</v>
      </c>
      <c r="N68" s="116">
        <f t="shared" si="12"/>
        <v>1.6357631864416198</v>
      </c>
      <c r="O68" s="116" t="str">
        <f t="shared" si="26"/>
        <v/>
      </c>
      <c r="P68" s="116" t="str">
        <f t="shared" si="13"/>
        <v/>
      </c>
      <c r="Q68" s="117">
        <f t="shared" si="14"/>
        <v>1434465.0900000003</v>
      </c>
      <c r="R68" s="117">
        <f t="shared" si="15"/>
        <v>1434465.0900000003</v>
      </c>
      <c r="S68" s="117">
        <f t="shared" si="16"/>
        <v>0</v>
      </c>
      <c r="T68" s="117">
        <f t="shared" si="17"/>
        <v>0</v>
      </c>
    </row>
    <row r="69" spans="1:21" s="40" customFormat="1" ht="45.6" customHeight="1">
      <c r="A69" s="23" t="s">
        <v>150</v>
      </c>
      <c r="B69" s="23" t="s">
        <v>147</v>
      </c>
      <c r="C69" s="23" t="s">
        <v>4</v>
      </c>
      <c r="D69" s="19" t="s">
        <v>148</v>
      </c>
      <c r="E69" s="115">
        <f t="shared" si="82"/>
        <v>7730473.0899999999</v>
      </c>
      <c r="F69" s="115">
        <v>7730473.0899999999</v>
      </c>
      <c r="G69" s="115"/>
      <c r="H69" s="115"/>
      <c r="I69" s="115">
        <f t="shared" si="22"/>
        <v>2968205.12</v>
      </c>
      <c r="J69" s="115">
        <f>2968205.12</f>
        <v>2968205.12</v>
      </c>
      <c r="K69" s="115"/>
      <c r="L69" s="115"/>
      <c r="M69" s="116">
        <f t="shared" si="11"/>
        <v>0.38396163927400723</v>
      </c>
      <c r="N69" s="116">
        <f t="shared" si="12"/>
        <v>0.38396163927400723</v>
      </c>
      <c r="O69" s="116" t="str">
        <f t="shared" si="26"/>
        <v/>
      </c>
      <c r="P69" s="116" t="str">
        <f t="shared" si="13"/>
        <v/>
      </c>
      <c r="Q69" s="117">
        <f t="shared" si="14"/>
        <v>-4762267.97</v>
      </c>
      <c r="R69" s="117">
        <f t="shared" si="15"/>
        <v>-4762267.97</v>
      </c>
      <c r="S69" s="117">
        <f t="shared" si="16"/>
        <v>0</v>
      </c>
      <c r="T69" s="117">
        <f t="shared" si="17"/>
        <v>0</v>
      </c>
    </row>
    <row r="70" spans="1:21" s="40" customFormat="1" ht="54">
      <c r="A70" s="23" t="s">
        <v>69</v>
      </c>
      <c r="B70" s="23" t="s">
        <v>47</v>
      </c>
      <c r="C70" s="23" t="s">
        <v>18</v>
      </c>
      <c r="D70" s="38" t="s">
        <v>19</v>
      </c>
      <c r="E70" s="115">
        <f t="shared" si="82"/>
        <v>8732432.8499999996</v>
      </c>
      <c r="F70" s="115">
        <v>8732432.8499999996</v>
      </c>
      <c r="G70" s="117"/>
      <c r="H70" s="117"/>
      <c r="I70" s="115">
        <f t="shared" si="22"/>
        <v>10587557.810000001</v>
      </c>
      <c r="J70" s="115">
        <v>10517427.810000001</v>
      </c>
      <c r="K70" s="117">
        <f>70030+100</f>
        <v>70130</v>
      </c>
      <c r="L70" s="117"/>
      <c r="M70" s="116">
        <f t="shared" si="11"/>
        <v>1.2124407930603212</v>
      </c>
      <c r="N70" s="116">
        <f t="shared" si="12"/>
        <v>1.2044098123239506</v>
      </c>
      <c r="O70" s="116" t="str">
        <f t="shared" si="26"/>
        <v/>
      </c>
      <c r="P70" s="116" t="str">
        <f t="shared" si="13"/>
        <v/>
      </c>
      <c r="Q70" s="117">
        <f t="shared" si="14"/>
        <v>1855124.9600000009</v>
      </c>
      <c r="R70" s="117">
        <f t="shared" si="15"/>
        <v>1784994.9600000009</v>
      </c>
      <c r="S70" s="117">
        <f t="shared" si="16"/>
        <v>70130</v>
      </c>
      <c r="T70" s="117">
        <f t="shared" si="17"/>
        <v>0</v>
      </c>
    </row>
    <row r="71" spans="1:21" s="40" customFormat="1" ht="72">
      <c r="A71" s="22" t="s">
        <v>374</v>
      </c>
      <c r="B71" s="21">
        <v>7372</v>
      </c>
      <c r="C71" s="22" t="s">
        <v>20</v>
      </c>
      <c r="D71" s="68" t="s">
        <v>375</v>
      </c>
      <c r="E71" s="115">
        <f t="shared" ref="E71" si="144">F71+G71</f>
        <v>283650</v>
      </c>
      <c r="F71" s="115"/>
      <c r="G71" s="117">
        <v>283650</v>
      </c>
      <c r="H71" s="117">
        <f>G71</f>
        <v>283650</v>
      </c>
      <c r="I71" s="115">
        <f t="shared" ref="I71" si="145">J71+K71</f>
        <v>0</v>
      </c>
      <c r="J71" s="115"/>
      <c r="K71" s="117"/>
      <c r="L71" s="117"/>
      <c r="M71" s="116">
        <f t="shared" ref="M71" si="146">IFERROR((I71/E71),"")</f>
        <v>0</v>
      </c>
      <c r="N71" s="116" t="str">
        <f t="shared" ref="N71" si="147">IFERROR((J71/F71),"")</f>
        <v/>
      </c>
      <c r="O71" s="116">
        <f t="shared" ref="O71" si="148">IFERROR((K71/G71),"")</f>
        <v>0</v>
      </c>
      <c r="P71" s="116">
        <f t="shared" ref="P71" si="149">IFERROR((L71/H71),"")</f>
        <v>0</v>
      </c>
      <c r="Q71" s="117">
        <f t="shared" ref="Q71" si="150">I71-E71</f>
        <v>-283650</v>
      </c>
      <c r="R71" s="117">
        <f t="shared" ref="R71" si="151">J71-F71</f>
        <v>0</v>
      </c>
      <c r="S71" s="117">
        <f t="shared" ref="S71" si="152">K71-G71</f>
        <v>-283650</v>
      </c>
      <c r="T71" s="117">
        <f t="shared" ref="T71" si="153">L71-H71</f>
        <v>-283650</v>
      </c>
    </row>
    <row r="72" spans="1:21" s="40" customFormat="1">
      <c r="A72" s="121" t="s">
        <v>407</v>
      </c>
      <c r="B72" s="122">
        <v>7520</v>
      </c>
      <c r="C72" s="121" t="s">
        <v>400</v>
      </c>
      <c r="D72" s="88" t="s">
        <v>401</v>
      </c>
      <c r="E72" s="115">
        <f t="shared" ref="E72" si="154">F72+G72</f>
        <v>0</v>
      </c>
      <c r="F72" s="115"/>
      <c r="G72" s="117"/>
      <c r="H72" s="117"/>
      <c r="I72" s="115">
        <f t="shared" ref="I72" si="155">J72+K72</f>
        <v>499860</v>
      </c>
      <c r="J72" s="115">
        <v>294960</v>
      </c>
      <c r="K72" s="117">
        <v>204900</v>
      </c>
      <c r="L72" s="117">
        <v>204900</v>
      </c>
      <c r="M72" s="116" t="str">
        <f t="shared" ref="M72" si="156">IFERROR((I72/E72),"")</f>
        <v/>
      </c>
      <c r="N72" s="116" t="str">
        <f t="shared" ref="N72" si="157">IFERROR((J72/F72),"")</f>
        <v/>
      </c>
      <c r="O72" s="116" t="str">
        <f t="shared" ref="O72" si="158">IFERROR((K72/G72),"")</f>
        <v/>
      </c>
      <c r="P72" s="116" t="str">
        <f t="shared" ref="P72" si="159">IFERROR((L72/H72),"")</f>
        <v/>
      </c>
      <c r="Q72" s="117">
        <f t="shared" ref="Q72" si="160">I72-E72</f>
        <v>499860</v>
      </c>
      <c r="R72" s="117">
        <f t="shared" ref="R72" si="161">J72-F72</f>
        <v>294960</v>
      </c>
      <c r="S72" s="117">
        <f t="shared" ref="S72" si="162">K72-G72</f>
        <v>204900</v>
      </c>
      <c r="T72" s="117">
        <f t="shared" ref="T72" si="163">L72-H72</f>
        <v>204900</v>
      </c>
    </row>
    <row r="73" spans="1:21" s="40" customFormat="1" ht="54">
      <c r="A73" s="22" t="s">
        <v>302</v>
      </c>
      <c r="B73" s="21">
        <v>8110</v>
      </c>
      <c r="C73" s="22" t="s">
        <v>5</v>
      </c>
      <c r="D73" s="68" t="s">
        <v>136</v>
      </c>
      <c r="E73" s="115">
        <f t="shared" si="82"/>
        <v>1551481.06</v>
      </c>
      <c r="F73" s="115">
        <v>1551481.06</v>
      </c>
      <c r="G73" s="117"/>
      <c r="H73" s="117"/>
      <c r="I73" s="115">
        <f t="shared" si="22"/>
        <v>1470762.19</v>
      </c>
      <c r="J73" s="115">
        <f>612485.44</f>
        <v>612485.43999999994</v>
      </c>
      <c r="K73" s="117">
        <v>858276.75</v>
      </c>
      <c r="L73" s="117">
        <v>858276.75</v>
      </c>
      <c r="M73" s="116">
        <f t="shared" si="11"/>
        <v>0.94797302262909988</v>
      </c>
      <c r="N73" s="116">
        <f t="shared" si="12"/>
        <v>0.39477468065256299</v>
      </c>
      <c r="O73" s="116" t="str">
        <f t="shared" si="26"/>
        <v/>
      </c>
      <c r="P73" s="116" t="str">
        <f t="shared" si="13"/>
        <v/>
      </c>
      <c r="Q73" s="117">
        <f t="shared" si="14"/>
        <v>-80718.870000000112</v>
      </c>
      <c r="R73" s="117">
        <f t="shared" si="15"/>
        <v>-938995.62000000011</v>
      </c>
      <c r="S73" s="117">
        <f t="shared" si="16"/>
        <v>858276.75</v>
      </c>
      <c r="T73" s="117">
        <f t="shared" si="17"/>
        <v>858276.75</v>
      </c>
    </row>
    <row r="74" spans="1:21" s="40" customFormat="1">
      <c r="A74" s="22" t="s">
        <v>376</v>
      </c>
      <c r="B74" s="21" t="s">
        <v>249</v>
      </c>
      <c r="C74" s="22" t="s">
        <v>221</v>
      </c>
      <c r="D74" s="68" t="s">
        <v>245</v>
      </c>
      <c r="E74" s="115">
        <f t="shared" ref="E74" si="164">F74+G74</f>
        <v>97000</v>
      </c>
      <c r="F74" s="115">
        <v>97000</v>
      </c>
      <c r="G74" s="117"/>
      <c r="H74" s="117"/>
      <c r="I74" s="115">
        <f t="shared" ref="I74" si="165">J74+K74</f>
        <v>0</v>
      </c>
      <c r="J74" s="115"/>
      <c r="K74" s="117"/>
      <c r="L74" s="117"/>
      <c r="M74" s="116">
        <f t="shared" ref="M74" si="166">IFERROR((I74/E74),"")</f>
        <v>0</v>
      </c>
      <c r="N74" s="116">
        <f t="shared" ref="N74" si="167">IFERROR((J74/F74),"")</f>
        <v>0</v>
      </c>
      <c r="O74" s="116" t="str">
        <f t="shared" ref="O74" si="168">IFERROR((K74/G74),"")</f>
        <v/>
      </c>
      <c r="P74" s="116" t="str">
        <f t="shared" ref="P74" si="169">IFERROR((L74/H74),"")</f>
        <v/>
      </c>
      <c r="Q74" s="117">
        <f t="shared" ref="Q74" si="170">I74-E74</f>
        <v>-97000</v>
      </c>
      <c r="R74" s="117">
        <f t="shared" ref="R74" si="171">J74-F74</f>
        <v>-97000</v>
      </c>
      <c r="S74" s="117">
        <f t="shared" ref="S74" si="172">K74-G74</f>
        <v>0</v>
      </c>
      <c r="T74" s="117">
        <f t="shared" ref="T74" si="173">L74-H74</f>
        <v>0</v>
      </c>
    </row>
    <row r="75" spans="1:21" s="30" customFormat="1" ht="52.2">
      <c r="A75" s="25" t="s">
        <v>70</v>
      </c>
      <c r="B75" s="25"/>
      <c r="C75" s="25"/>
      <c r="D75" s="10" t="s">
        <v>210</v>
      </c>
      <c r="E75" s="114">
        <f t="shared" ref="E75:L75" si="174">E76</f>
        <v>98056743.249999985</v>
      </c>
      <c r="F75" s="114">
        <f t="shared" si="174"/>
        <v>81090900.699999988</v>
      </c>
      <c r="G75" s="114">
        <f t="shared" si="174"/>
        <v>16965842.550000001</v>
      </c>
      <c r="H75" s="114">
        <f t="shared" si="174"/>
        <v>12038003.359999999</v>
      </c>
      <c r="I75" s="114">
        <f t="shared" si="174"/>
        <v>113073264.38</v>
      </c>
      <c r="J75" s="114">
        <f t="shared" si="174"/>
        <v>93348903.549999997</v>
      </c>
      <c r="K75" s="114">
        <f t="shared" si="174"/>
        <v>19724360.829999998</v>
      </c>
      <c r="L75" s="114">
        <f t="shared" si="174"/>
        <v>19008989.640000001</v>
      </c>
      <c r="M75" s="112">
        <f t="shared" si="11"/>
        <v>1.1531411367774547</v>
      </c>
      <c r="N75" s="112">
        <f t="shared" si="12"/>
        <v>1.1511637279175024</v>
      </c>
      <c r="O75" s="112">
        <f t="shared" si="26"/>
        <v>1.1625924720137166</v>
      </c>
      <c r="P75" s="112">
        <f t="shared" si="13"/>
        <v>1.5790816027816761</v>
      </c>
      <c r="Q75" s="113">
        <f t="shared" si="14"/>
        <v>15016521.13000001</v>
      </c>
      <c r="R75" s="113">
        <f t="shared" si="15"/>
        <v>12258002.850000009</v>
      </c>
      <c r="S75" s="113">
        <f t="shared" si="16"/>
        <v>2758518.2799999975</v>
      </c>
      <c r="T75" s="113">
        <f t="shared" si="17"/>
        <v>6970986.2800000012</v>
      </c>
      <c r="U75" s="135">
        <f>I81+I82+I87+I90+I91+I92+I93+L84</f>
        <v>19575766.59</v>
      </c>
    </row>
    <row r="76" spans="1:21" s="30" customFormat="1" ht="52.2">
      <c r="A76" s="25" t="s">
        <v>71</v>
      </c>
      <c r="B76" s="25"/>
      <c r="C76" s="25"/>
      <c r="D76" s="10" t="s">
        <v>210</v>
      </c>
      <c r="E76" s="114">
        <f t="shared" ref="E76:E86" si="175">F76+G76</f>
        <v>98056743.249999985</v>
      </c>
      <c r="F76" s="114">
        <f>F77+F78+F79+F80+F82+F83+F84+F86+F87+F88+F89+F95+F81+F94+F97+F85+F91+F93+F92+F90+F96</f>
        <v>81090900.699999988</v>
      </c>
      <c r="G76" s="114">
        <f t="shared" ref="G76:H76" si="176">G77+G78+G79+G80+G82+G83+G84+G86+G87+G88+G89+G95+G81+G94+G97+G85+G91+G93+G92+G90+G96</f>
        <v>16965842.550000001</v>
      </c>
      <c r="H76" s="114">
        <f t="shared" si="176"/>
        <v>12038003.359999999</v>
      </c>
      <c r="I76" s="114">
        <f t="shared" ref="I76" si="177">J76+K76</f>
        <v>113073264.38</v>
      </c>
      <c r="J76" s="114">
        <f>J77+J78+J79+J80+J82+J83+J84+J86+J87+J88+J89+J95+J81+J94+J97+J85+J91+J93+J92+J90+J96</f>
        <v>93348903.549999997</v>
      </c>
      <c r="K76" s="114">
        <f t="shared" ref="K76:L76" si="178">K77+K78+K79+K80+K82+K83+K84+K86+K87+K88+K89+K95+K81+K94+K97+K85+K91+K93+K92</f>
        <v>19724360.829999998</v>
      </c>
      <c r="L76" s="114">
        <f t="shared" si="178"/>
        <v>19008989.640000001</v>
      </c>
      <c r="M76" s="112">
        <f t="shared" si="11"/>
        <v>1.1531411367774547</v>
      </c>
      <c r="N76" s="112">
        <f t="shared" si="12"/>
        <v>1.1511637279175024</v>
      </c>
      <c r="O76" s="112">
        <f t="shared" si="26"/>
        <v>1.1625924720137166</v>
      </c>
      <c r="P76" s="112">
        <f t="shared" si="13"/>
        <v>1.5790816027816761</v>
      </c>
      <c r="Q76" s="113">
        <f t="shared" si="14"/>
        <v>15016521.13000001</v>
      </c>
      <c r="R76" s="113">
        <f t="shared" si="15"/>
        <v>12258002.850000009</v>
      </c>
      <c r="S76" s="113">
        <f t="shared" si="16"/>
        <v>2758518.2799999975</v>
      </c>
      <c r="T76" s="113">
        <f t="shared" si="17"/>
        <v>6970986.2800000012</v>
      </c>
    </row>
    <row r="77" spans="1:21" s="40" customFormat="1" ht="54">
      <c r="A77" s="23" t="s">
        <v>72</v>
      </c>
      <c r="B77" s="23" t="s">
        <v>58</v>
      </c>
      <c r="C77" s="23" t="s">
        <v>3</v>
      </c>
      <c r="D77" s="24" t="s">
        <v>235</v>
      </c>
      <c r="E77" s="115">
        <f t="shared" si="175"/>
        <v>13812575.17</v>
      </c>
      <c r="F77" s="115">
        <v>13753115.17</v>
      </c>
      <c r="G77" s="115">
        <v>59460</v>
      </c>
      <c r="H77" s="115">
        <f>G77</f>
        <v>59460</v>
      </c>
      <c r="I77" s="115">
        <f t="shared" si="22"/>
        <v>17574578.870000001</v>
      </c>
      <c r="J77" s="115">
        <v>17574578.870000001</v>
      </c>
      <c r="K77" s="115"/>
      <c r="L77" s="115"/>
      <c r="M77" s="116">
        <f t="shared" si="11"/>
        <v>1.2723607765893521</v>
      </c>
      <c r="N77" s="116">
        <f t="shared" si="12"/>
        <v>1.2778616809910712</v>
      </c>
      <c r="O77" s="116">
        <f t="shared" si="26"/>
        <v>0</v>
      </c>
      <c r="P77" s="116">
        <f t="shared" si="13"/>
        <v>0</v>
      </c>
      <c r="Q77" s="117">
        <f t="shared" si="14"/>
        <v>3762003.7000000011</v>
      </c>
      <c r="R77" s="117">
        <f t="shared" si="15"/>
        <v>3821463.7000000011</v>
      </c>
      <c r="S77" s="117">
        <f t="shared" si="16"/>
        <v>-59460</v>
      </c>
      <c r="T77" s="117">
        <f t="shared" si="17"/>
        <v>-59460</v>
      </c>
    </row>
    <row r="78" spans="1:21" s="40" customFormat="1" ht="36">
      <c r="A78" s="23" t="s">
        <v>164</v>
      </c>
      <c r="B78" s="23" t="s">
        <v>8</v>
      </c>
      <c r="C78" s="23" t="s">
        <v>6</v>
      </c>
      <c r="D78" s="12" t="s">
        <v>108</v>
      </c>
      <c r="E78" s="115">
        <f t="shared" si="175"/>
        <v>272935.40000000002</v>
      </c>
      <c r="F78" s="115">
        <v>272935.40000000002</v>
      </c>
      <c r="G78" s="115"/>
      <c r="H78" s="115"/>
      <c r="I78" s="115">
        <f t="shared" si="22"/>
        <v>94505</v>
      </c>
      <c r="J78" s="115">
        <v>94505</v>
      </c>
      <c r="K78" s="115"/>
      <c r="L78" s="115"/>
      <c r="M78" s="116">
        <f t="shared" si="11"/>
        <v>0.34625409529141327</v>
      </c>
      <c r="N78" s="116">
        <f t="shared" si="12"/>
        <v>0.34625409529141327</v>
      </c>
      <c r="O78" s="116" t="str">
        <f t="shared" si="26"/>
        <v/>
      </c>
      <c r="P78" s="116" t="str">
        <f t="shared" si="13"/>
        <v/>
      </c>
      <c r="Q78" s="117">
        <f t="shared" si="14"/>
        <v>-178430.40000000002</v>
      </c>
      <c r="R78" s="117">
        <f t="shared" si="15"/>
        <v>-178430.40000000002</v>
      </c>
      <c r="S78" s="117">
        <f t="shared" si="16"/>
        <v>0</v>
      </c>
      <c r="T78" s="117">
        <f t="shared" si="17"/>
        <v>0</v>
      </c>
    </row>
    <row r="79" spans="1:21" s="40" customFormat="1" ht="36">
      <c r="A79" s="23" t="s">
        <v>113</v>
      </c>
      <c r="B79" s="23" t="s">
        <v>31</v>
      </c>
      <c r="C79" s="23" t="s">
        <v>13</v>
      </c>
      <c r="D79" s="38" t="s">
        <v>112</v>
      </c>
      <c r="E79" s="115">
        <f t="shared" si="175"/>
        <v>286279.7</v>
      </c>
      <c r="F79" s="115">
        <v>286279.7</v>
      </c>
      <c r="G79" s="115"/>
      <c r="H79" s="115"/>
      <c r="I79" s="115">
        <f t="shared" si="22"/>
        <v>1006014.83</v>
      </c>
      <c r="J79" s="115">
        <v>1006014.83</v>
      </c>
      <c r="K79" s="115"/>
      <c r="L79" s="115"/>
      <c r="M79" s="116" t="s">
        <v>356</v>
      </c>
      <c r="N79" s="116" t="s">
        <v>356</v>
      </c>
      <c r="O79" s="116" t="str">
        <f t="shared" si="26"/>
        <v/>
      </c>
      <c r="P79" s="116" t="str">
        <f t="shared" si="13"/>
        <v/>
      </c>
      <c r="Q79" s="117">
        <f t="shared" si="14"/>
        <v>719735.12999999989</v>
      </c>
      <c r="R79" s="117">
        <f t="shared" si="15"/>
        <v>719735.12999999989</v>
      </c>
      <c r="S79" s="117">
        <f t="shared" si="16"/>
        <v>0</v>
      </c>
      <c r="T79" s="117">
        <f t="shared" si="17"/>
        <v>0</v>
      </c>
    </row>
    <row r="80" spans="1:21" s="40" customFormat="1" ht="36">
      <c r="A80" s="23" t="s">
        <v>114</v>
      </c>
      <c r="B80" s="23" t="s">
        <v>115</v>
      </c>
      <c r="C80" s="23" t="s">
        <v>32</v>
      </c>
      <c r="D80" s="38" t="s">
        <v>33</v>
      </c>
      <c r="E80" s="115">
        <f t="shared" si="175"/>
        <v>10629.45</v>
      </c>
      <c r="F80" s="115">
        <v>10629.45</v>
      </c>
      <c r="G80" s="115"/>
      <c r="H80" s="115"/>
      <c r="I80" s="115">
        <f t="shared" si="22"/>
        <v>4603.3599999999997</v>
      </c>
      <c r="J80" s="115">
        <v>4603.3599999999997</v>
      </c>
      <c r="K80" s="115"/>
      <c r="L80" s="115"/>
      <c r="M80" s="116">
        <f t="shared" si="11"/>
        <v>0.43307602933359668</v>
      </c>
      <c r="N80" s="116">
        <f t="shared" si="12"/>
        <v>0.43307602933359668</v>
      </c>
      <c r="O80" s="116" t="str">
        <f t="shared" si="26"/>
        <v/>
      </c>
      <c r="P80" s="116" t="str">
        <f t="shared" si="13"/>
        <v/>
      </c>
      <c r="Q80" s="117">
        <f t="shared" si="14"/>
        <v>-6026.0900000000011</v>
      </c>
      <c r="R80" s="117">
        <f t="shared" si="15"/>
        <v>-6026.0900000000011</v>
      </c>
      <c r="S80" s="117">
        <f t="shared" si="16"/>
        <v>0</v>
      </c>
      <c r="T80" s="117">
        <f t="shared" si="17"/>
        <v>0</v>
      </c>
    </row>
    <row r="81" spans="1:20" s="40" customFormat="1" ht="54">
      <c r="A81" s="23" t="s">
        <v>171</v>
      </c>
      <c r="B81" s="23" t="s">
        <v>169</v>
      </c>
      <c r="C81" s="23" t="s">
        <v>32</v>
      </c>
      <c r="D81" s="13" t="s">
        <v>170</v>
      </c>
      <c r="E81" s="115">
        <f t="shared" si="175"/>
        <v>276650</v>
      </c>
      <c r="F81" s="115">
        <v>276650</v>
      </c>
      <c r="G81" s="115"/>
      <c r="H81" s="115"/>
      <c r="I81" s="115">
        <f t="shared" ref="I81:I177" si="179">J81+K81</f>
        <v>444119</v>
      </c>
      <c r="J81" s="115">
        <v>444119</v>
      </c>
      <c r="K81" s="115"/>
      <c r="L81" s="115"/>
      <c r="M81" s="116">
        <f t="shared" si="11"/>
        <v>1.6053461051870594</v>
      </c>
      <c r="N81" s="116">
        <f t="shared" si="12"/>
        <v>1.6053461051870594</v>
      </c>
      <c r="O81" s="116" t="str">
        <f t="shared" si="26"/>
        <v/>
      </c>
      <c r="P81" s="116" t="str">
        <f t="shared" si="13"/>
        <v/>
      </c>
      <c r="Q81" s="117">
        <f t="shared" si="14"/>
        <v>167469</v>
      </c>
      <c r="R81" s="117">
        <f t="shared" si="15"/>
        <v>167469</v>
      </c>
      <c r="S81" s="117">
        <f t="shared" si="16"/>
        <v>0</v>
      </c>
      <c r="T81" s="117">
        <f t="shared" si="17"/>
        <v>0</v>
      </c>
    </row>
    <row r="82" spans="1:20" s="40" customFormat="1" ht="36">
      <c r="A82" s="23" t="s">
        <v>172</v>
      </c>
      <c r="B82" s="23" t="s">
        <v>173</v>
      </c>
      <c r="C82" s="23" t="s">
        <v>13</v>
      </c>
      <c r="D82" s="38" t="s">
        <v>174</v>
      </c>
      <c r="E82" s="115">
        <f t="shared" si="175"/>
        <v>127456</v>
      </c>
      <c r="F82" s="117">
        <v>127456</v>
      </c>
      <c r="G82" s="117"/>
      <c r="H82" s="117"/>
      <c r="I82" s="115">
        <f t="shared" si="179"/>
        <v>83422</v>
      </c>
      <c r="J82" s="117">
        <v>83422</v>
      </c>
      <c r="K82" s="117"/>
      <c r="L82" s="117"/>
      <c r="M82" s="116">
        <f t="shared" si="11"/>
        <v>0.65451606829023345</v>
      </c>
      <c r="N82" s="116">
        <f t="shared" si="12"/>
        <v>0.65451606829023345</v>
      </c>
      <c r="O82" s="116" t="str">
        <f t="shared" si="26"/>
        <v/>
      </c>
      <c r="P82" s="116" t="str">
        <f t="shared" si="13"/>
        <v/>
      </c>
      <c r="Q82" s="117">
        <f t="shared" si="14"/>
        <v>-44034</v>
      </c>
      <c r="R82" s="117">
        <f t="shared" si="15"/>
        <v>-44034</v>
      </c>
      <c r="S82" s="117">
        <f t="shared" si="16"/>
        <v>0</v>
      </c>
      <c r="T82" s="117">
        <f t="shared" si="17"/>
        <v>0</v>
      </c>
    </row>
    <row r="83" spans="1:20" s="40" customFormat="1" ht="72">
      <c r="A83" s="23" t="s">
        <v>123</v>
      </c>
      <c r="B83" s="23" t="s">
        <v>122</v>
      </c>
      <c r="C83" s="23" t="s">
        <v>11</v>
      </c>
      <c r="D83" s="38" t="s">
        <v>137</v>
      </c>
      <c r="E83" s="115">
        <f t="shared" si="175"/>
        <v>15994346.34</v>
      </c>
      <c r="F83" s="115">
        <v>15994346.34</v>
      </c>
      <c r="G83" s="115"/>
      <c r="H83" s="115"/>
      <c r="I83" s="115">
        <f t="shared" si="179"/>
        <v>16632293.08</v>
      </c>
      <c r="J83" s="115">
        <v>16609293.08</v>
      </c>
      <c r="K83" s="115">
        <f>23000</f>
        <v>23000</v>
      </c>
      <c r="L83" s="115"/>
      <c r="M83" s="116">
        <f t="shared" si="11"/>
        <v>1.0398857650346467</v>
      </c>
      <c r="N83" s="116">
        <f t="shared" si="12"/>
        <v>1.0384477569090829</v>
      </c>
      <c r="O83" s="116" t="str">
        <f t="shared" si="26"/>
        <v/>
      </c>
      <c r="P83" s="116" t="str">
        <f t="shared" si="13"/>
        <v/>
      </c>
      <c r="Q83" s="117">
        <f t="shared" si="14"/>
        <v>637946.74000000022</v>
      </c>
      <c r="R83" s="117">
        <f t="shared" si="15"/>
        <v>614946.74000000022</v>
      </c>
      <c r="S83" s="117">
        <f t="shared" si="16"/>
        <v>23000</v>
      </c>
      <c r="T83" s="117">
        <f t="shared" si="17"/>
        <v>0</v>
      </c>
    </row>
    <row r="84" spans="1:20" s="40" customFormat="1" ht="36">
      <c r="A84" s="23" t="s">
        <v>74</v>
      </c>
      <c r="B84" s="23" t="s">
        <v>73</v>
      </c>
      <c r="C84" s="23" t="s">
        <v>17</v>
      </c>
      <c r="D84" s="38" t="s">
        <v>75</v>
      </c>
      <c r="E84" s="115">
        <f t="shared" si="175"/>
        <v>6977070.0099999998</v>
      </c>
      <c r="F84" s="115">
        <v>6917070.0099999998</v>
      </c>
      <c r="G84" s="115">
        <f>60000</f>
        <v>60000</v>
      </c>
      <c r="H84" s="115">
        <f>G84</f>
        <v>60000</v>
      </c>
      <c r="I84" s="115">
        <f t="shared" si="179"/>
        <v>10238140.35</v>
      </c>
      <c r="J84" s="115">
        <v>8364153.3499999996</v>
      </c>
      <c r="K84" s="115">
        <f>1852020+21967</f>
        <v>1873987</v>
      </c>
      <c r="L84" s="115">
        <v>1852020</v>
      </c>
      <c r="M84" s="116">
        <f t="shared" si="11"/>
        <v>1.4673982538982722</v>
      </c>
      <c r="N84" s="116">
        <f t="shared" si="12"/>
        <v>1.2092046687264917</v>
      </c>
      <c r="O84" s="116" t="s">
        <v>436</v>
      </c>
      <c r="P84" s="116" t="s">
        <v>436</v>
      </c>
      <c r="Q84" s="117">
        <f t="shared" si="14"/>
        <v>3261070.34</v>
      </c>
      <c r="R84" s="117">
        <f t="shared" si="15"/>
        <v>1447083.3399999999</v>
      </c>
      <c r="S84" s="117">
        <f t="shared" si="16"/>
        <v>1813987</v>
      </c>
      <c r="T84" s="117">
        <f t="shared" si="17"/>
        <v>1792020</v>
      </c>
    </row>
    <row r="85" spans="1:20" s="40" customFormat="1">
      <c r="A85" s="72" t="s">
        <v>333</v>
      </c>
      <c r="B85" s="72" t="s">
        <v>334</v>
      </c>
      <c r="C85" s="72" t="s">
        <v>17</v>
      </c>
      <c r="D85" s="73" t="s">
        <v>335</v>
      </c>
      <c r="E85" s="115">
        <f t="shared" si="175"/>
        <v>548000</v>
      </c>
      <c r="F85" s="115">
        <v>548000</v>
      </c>
      <c r="G85" s="115"/>
      <c r="H85" s="115"/>
      <c r="I85" s="115">
        <f t="shared" si="179"/>
        <v>361500</v>
      </c>
      <c r="J85" s="115">
        <v>361500</v>
      </c>
      <c r="K85" s="115"/>
      <c r="L85" s="115"/>
      <c r="M85" s="116">
        <f t="shared" si="11"/>
        <v>0.65967153284671531</v>
      </c>
      <c r="N85" s="116">
        <f t="shared" si="12"/>
        <v>0.65967153284671531</v>
      </c>
      <c r="O85" s="116" t="str">
        <f t="shared" si="26"/>
        <v/>
      </c>
      <c r="P85" s="116" t="str">
        <f t="shared" si="13"/>
        <v/>
      </c>
      <c r="Q85" s="117">
        <f t="shared" si="14"/>
        <v>-186500</v>
      </c>
      <c r="R85" s="117">
        <f t="shared" si="15"/>
        <v>-186500</v>
      </c>
      <c r="S85" s="117">
        <f t="shared" si="16"/>
        <v>0</v>
      </c>
      <c r="T85" s="117">
        <f t="shared" si="17"/>
        <v>0</v>
      </c>
    </row>
    <row r="86" spans="1:20" s="40" customFormat="1" ht="108">
      <c r="A86" s="23" t="s">
        <v>138</v>
      </c>
      <c r="B86" s="23" t="s">
        <v>139</v>
      </c>
      <c r="C86" s="23" t="s">
        <v>9</v>
      </c>
      <c r="D86" s="38" t="s">
        <v>140</v>
      </c>
      <c r="E86" s="115">
        <f t="shared" si="175"/>
        <v>2332239.64</v>
      </c>
      <c r="F86" s="115">
        <v>2332239.64</v>
      </c>
      <c r="G86" s="115"/>
      <c r="H86" s="115"/>
      <c r="I86" s="115">
        <f t="shared" si="179"/>
        <v>2758807.56</v>
      </c>
      <c r="J86" s="115">
        <v>2758807.56</v>
      </c>
      <c r="K86" s="115"/>
      <c r="L86" s="115"/>
      <c r="M86" s="116">
        <f t="shared" si="11"/>
        <v>1.1829005530495142</v>
      </c>
      <c r="N86" s="116">
        <f t="shared" si="12"/>
        <v>1.1829005530495142</v>
      </c>
      <c r="O86" s="116" t="str">
        <f t="shared" si="26"/>
        <v/>
      </c>
      <c r="P86" s="116" t="str">
        <f t="shared" si="13"/>
        <v/>
      </c>
      <c r="Q86" s="117">
        <f t="shared" si="14"/>
        <v>426567.91999999993</v>
      </c>
      <c r="R86" s="117">
        <f t="shared" si="15"/>
        <v>426567.91999999993</v>
      </c>
      <c r="S86" s="117">
        <f t="shared" si="16"/>
        <v>0</v>
      </c>
      <c r="T86" s="117">
        <f t="shared" si="17"/>
        <v>0</v>
      </c>
    </row>
    <row r="87" spans="1:20" s="40" customFormat="1" ht="72">
      <c r="A87" s="23" t="s">
        <v>175</v>
      </c>
      <c r="B87" s="23" t="s">
        <v>176</v>
      </c>
      <c r="C87" s="23" t="s">
        <v>9</v>
      </c>
      <c r="D87" s="38" t="s">
        <v>177</v>
      </c>
      <c r="E87" s="115">
        <f t="shared" ref="E87:E97" si="180">F87+G87</f>
        <v>24334.05</v>
      </c>
      <c r="F87" s="115">
        <v>24334.05</v>
      </c>
      <c r="G87" s="115"/>
      <c r="H87" s="115"/>
      <c r="I87" s="115">
        <f t="shared" si="179"/>
        <v>27368.9</v>
      </c>
      <c r="J87" s="115">
        <v>27368.9</v>
      </c>
      <c r="K87" s="115"/>
      <c r="L87" s="115"/>
      <c r="M87" s="116">
        <f t="shared" si="11"/>
        <v>1.124716189865641</v>
      </c>
      <c r="N87" s="116">
        <f t="shared" si="12"/>
        <v>1.124716189865641</v>
      </c>
      <c r="O87" s="116" t="str">
        <f t="shared" si="26"/>
        <v/>
      </c>
      <c r="P87" s="116" t="str">
        <f t="shared" si="13"/>
        <v/>
      </c>
      <c r="Q87" s="117">
        <f t="shared" si="14"/>
        <v>3034.8500000000022</v>
      </c>
      <c r="R87" s="117">
        <f t="shared" si="15"/>
        <v>3034.8500000000022</v>
      </c>
      <c r="S87" s="117">
        <f t="shared" si="16"/>
        <v>0</v>
      </c>
      <c r="T87" s="117">
        <f t="shared" si="17"/>
        <v>0</v>
      </c>
    </row>
    <row r="88" spans="1:20" s="40" customFormat="1" ht="110.4" customHeight="1">
      <c r="A88" s="23" t="s">
        <v>141</v>
      </c>
      <c r="B88" s="23" t="s">
        <v>142</v>
      </c>
      <c r="C88" s="23" t="s">
        <v>27</v>
      </c>
      <c r="D88" s="38" t="s">
        <v>143</v>
      </c>
      <c r="E88" s="115">
        <f t="shared" si="180"/>
        <v>1054990.58</v>
      </c>
      <c r="F88" s="115">
        <v>1054990.58</v>
      </c>
      <c r="G88" s="115"/>
      <c r="H88" s="115"/>
      <c r="I88" s="115">
        <f t="shared" si="179"/>
        <v>971427.29</v>
      </c>
      <c r="J88" s="115">
        <v>971427.29</v>
      </c>
      <c r="K88" s="115"/>
      <c r="L88" s="115"/>
      <c r="M88" s="116">
        <f t="shared" si="11"/>
        <v>0.92079238280971187</v>
      </c>
      <c r="N88" s="116">
        <f t="shared" si="12"/>
        <v>0.92079238280971187</v>
      </c>
      <c r="O88" s="116" t="str">
        <f t="shared" si="26"/>
        <v/>
      </c>
      <c r="P88" s="116" t="str">
        <f t="shared" si="13"/>
        <v/>
      </c>
      <c r="Q88" s="117">
        <f t="shared" si="14"/>
        <v>-83563.290000000037</v>
      </c>
      <c r="R88" s="117">
        <f t="shared" si="15"/>
        <v>-83563.290000000037</v>
      </c>
      <c r="S88" s="117">
        <f t="shared" si="16"/>
        <v>0</v>
      </c>
      <c r="T88" s="117">
        <f t="shared" si="17"/>
        <v>0</v>
      </c>
    </row>
    <row r="89" spans="1:20" s="40" customFormat="1" ht="54">
      <c r="A89" s="23" t="s">
        <v>144</v>
      </c>
      <c r="B89" s="23" t="s">
        <v>145</v>
      </c>
      <c r="C89" s="23" t="s">
        <v>13</v>
      </c>
      <c r="D89" s="38" t="s">
        <v>146</v>
      </c>
      <c r="E89" s="115">
        <f t="shared" si="180"/>
        <v>73724.800000000003</v>
      </c>
      <c r="F89" s="115">
        <v>73724.800000000003</v>
      </c>
      <c r="G89" s="115"/>
      <c r="H89" s="115"/>
      <c r="I89" s="115">
        <f t="shared" si="179"/>
        <v>68021.240000000005</v>
      </c>
      <c r="J89" s="115">
        <v>68021.240000000005</v>
      </c>
      <c r="K89" s="115"/>
      <c r="L89" s="115"/>
      <c r="M89" s="116">
        <f t="shared" ref="M89:M169" si="181">IFERROR((I89/E89),"")</f>
        <v>0.92263715873084773</v>
      </c>
      <c r="N89" s="116">
        <f t="shared" ref="N89:N169" si="182">IFERROR((J89/F89),"")</f>
        <v>0.92263715873084773</v>
      </c>
      <c r="O89" s="116" t="str">
        <f t="shared" ref="O89:P169" si="183">IFERROR((K89/G89),"")</f>
        <v/>
      </c>
      <c r="P89" s="116" t="str">
        <f t="shared" ref="P89:P169" si="184">IFERROR((L89/H89),"")</f>
        <v/>
      </c>
      <c r="Q89" s="117">
        <f t="shared" ref="Q89:Q169" si="185">I89-E89</f>
        <v>-5703.5599999999977</v>
      </c>
      <c r="R89" s="117">
        <f t="shared" ref="R89:R169" si="186">J89-F89</f>
        <v>-5703.5599999999977</v>
      </c>
      <c r="S89" s="117">
        <f t="shared" ref="S89:S169" si="187">K89-G89</f>
        <v>0</v>
      </c>
      <c r="T89" s="117">
        <f t="shared" ref="T89:T169" si="188">L89-H89</f>
        <v>0</v>
      </c>
    </row>
    <row r="90" spans="1:20" s="40" customFormat="1" ht="108" customHeight="1">
      <c r="A90" s="23" t="s">
        <v>408</v>
      </c>
      <c r="B90" s="23" t="s">
        <v>409</v>
      </c>
      <c r="C90" s="23" t="s">
        <v>13</v>
      </c>
      <c r="D90" s="136" t="s">
        <v>410</v>
      </c>
      <c r="E90" s="115">
        <f t="shared" ref="E90" si="189">F90+G90</f>
        <v>0</v>
      </c>
      <c r="F90" s="115"/>
      <c r="G90" s="115"/>
      <c r="H90" s="115"/>
      <c r="I90" s="115">
        <f t="shared" ref="I90" si="190">J90+K90</f>
        <v>11867.05</v>
      </c>
      <c r="J90" s="115">
        <v>11867.05</v>
      </c>
      <c r="K90" s="115"/>
      <c r="L90" s="115"/>
      <c r="M90" s="116" t="str">
        <f t="shared" ref="M90" si="191">IFERROR((I90/E90),"")</f>
        <v/>
      </c>
      <c r="N90" s="116" t="str">
        <f t="shared" ref="N90" si="192">IFERROR((J90/F90),"")</f>
        <v/>
      </c>
      <c r="O90" s="116" t="str">
        <f t="shared" ref="O90" si="193">IFERROR((K90/G90),"")</f>
        <v/>
      </c>
      <c r="P90" s="116" t="str">
        <f t="shared" ref="P90" si="194">IFERROR((L90/H90),"")</f>
        <v/>
      </c>
      <c r="Q90" s="117">
        <f t="shared" ref="Q90" si="195">I90-E90</f>
        <v>11867.05</v>
      </c>
      <c r="R90" s="117">
        <f t="shared" ref="R90" si="196">J90-F90</f>
        <v>11867.05</v>
      </c>
      <c r="S90" s="117">
        <f t="shared" ref="S90" si="197">K90-G90</f>
        <v>0</v>
      </c>
      <c r="T90" s="117">
        <f t="shared" ref="T90" si="198">L90-H90</f>
        <v>0</v>
      </c>
    </row>
    <row r="91" spans="1:20" s="40" customFormat="1" ht="409.6">
      <c r="A91" s="74" t="s">
        <v>336</v>
      </c>
      <c r="B91" s="75">
        <v>3221</v>
      </c>
      <c r="C91" s="75">
        <v>1060</v>
      </c>
      <c r="D91" s="137" t="s">
        <v>337</v>
      </c>
      <c r="E91" s="115">
        <f t="shared" si="180"/>
        <v>3280160.9</v>
      </c>
      <c r="F91" s="115"/>
      <c r="G91" s="115">
        <v>3280160.9</v>
      </c>
      <c r="H91" s="115">
        <f>G91</f>
        <v>3280160.9</v>
      </c>
      <c r="I91" s="115">
        <f t="shared" si="179"/>
        <v>6185263.5099999998</v>
      </c>
      <c r="J91" s="115"/>
      <c r="K91" s="115">
        <v>6185263.5099999998</v>
      </c>
      <c r="L91" s="115">
        <v>6185263.5099999998</v>
      </c>
      <c r="M91" s="116">
        <f t="shared" si="181"/>
        <v>1.885658569370789</v>
      </c>
      <c r="N91" s="116" t="str">
        <f t="shared" si="182"/>
        <v/>
      </c>
      <c r="O91" s="116">
        <f t="shared" si="183"/>
        <v>1.885658569370789</v>
      </c>
      <c r="P91" s="116">
        <f t="shared" si="184"/>
        <v>1.885658569370789</v>
      </c>
      <c r="Q91" s="117">
        <f t="shared" si="185"/>
        <v>2905102.61</v>
      </c>
      <c r="R91" s="117">
        <f t="shared" si="186"/>
        <v>0</v>
      </c>
      <c r="S91" s="117">
        <f t="shared" si="187"/>
        <v>2905102.61</v>
      </c>
      <c r="T91" s="117">
        <f t="shared" si="188"/>
        <v>2905102.61</v>
      </c>
    </row>
    <row r="92" spans="1:20" s="40" customFormat="1" ht="409.6">
      <c r="A92" s="83" t="s">
        <v>377</v>
      </c>
      <c r="B92" s="83" t="s">
        <v>378</v>
      </c>
      <c r="C92" s="83" t="s">
        <v>27</v>
      </c>
      <c r="D92" s="84" t="s">
        <v>379</v>
      </c>
      <c r="E92" s="115">
        <f t="shared" ref="E92" si="199">F92+G92</f>
        <v>6430308.7999999998</v>
      </c>
      <c r="F92" s="115"/>
      <c r="G92" s="115">
        <v>6430308.7999999998</v>
      </c>
      <c r="H92" s="115">
        <f>G92</f>
        <v>6430308.7999999998</v>
      </c>
      <c r="I92" s="115">
        <f t="shared" ref="I92" si="200">J92+K92</f>
        <v>6239089.0300000003</v>
      </c>
      <c r="J92" s="115"/>
      <c r="K92" s="115">
        <v>6239089.0300000003</v>
      </c>
      <c r="L92" s="115">
        <f>K92</f>
        <v>6239089.0300000003</v>
      </c>
      <c r="M92" s="116">
        <f t="shared" ref="M92" si="201">IFERROR((I92/E92),"")</f>
        <v>0.97026273917047345</v>
      </c>
      <c r="N92" s="116" t="str">
        <f t="shared" ref="N92" si="202">IFERROR((J92/F92),"")</f>
        <v/>
      </c>
      <c r="O92" s="116">
        <f t="shared" ref="O92" si="203">IFERROR((K92/G92),"")</f>
        <v>0.97026273917047345</v>
      </c>
      <c r="P92" s="116">
        <f t="shared" ref="P92" si="204">IFERROR((L92/H92),"")</f>
        <v>0.97026273917047345</v>
      </c>
      <c r="Q92" s="117">
        <f t="shared" ref="Q92" si="205">I92-E92</f>
        <v>-191219.76999999955</v>
      </c>
      <c r="R92" s="117">
        <f t="shared" ref="R92" si="206">J92-F92</f>
        <v>0</v>
      </c>
      <c r="S92" s="117">
        <f t="shared" ref="S92" si="207">K92-G92</f>
        <v>-191219.76999999955</v>
      </c>
      <c r="T92" s="117">
        <f t="shared" ref="T92" si="208">L92-H92</f>
        <v>-191219.76999999955</v>
      </c>
    </row>
    <row r="93" spans="1:20" s="40" customFormat="1" ht="288">
      <c r="A93" s="74" t="s">
        <v>338</v>
      </c>
      <c r="B93" s="75">
        <v>3223</v>
      </c>
      <c r="C93" s="75">
        <v>1060</v>
      </c>
      <c r="D93" s="137" t="s">
        <v>339</v>
      </c>
      <c r="E93" s="115">
        <f t="shared" si="180"/>
        <v>2208073.66</v>
      </c>
      <c r="F93" s="115"/>
      <c r="G93" s="115">
        <v>2208073.66</v>
      </c>
      <c r="H93" s="115">
        <f>G93</f>
        <v>2208073.66</v>
      </c>
      <c r="I93" s="115">
        <f t="shared" si="179"/>
        <v>4732617.0999999996</v>
      </c>
      <c r="J93" s="115"/>
      <c r="K93" s="115">
        <v>4732617.0999999996</v>
      </c>
      <c r="L93" s="115">
        <v>4732617.0999999996</v>
      </c>
      <c r="M93" s="116">
        <f t="shared" si="181"/>
        <v>2.1433239233513612</v>
      </c>
      <c r="N93" s="116" t="str">
        <f t="shared" si="182"/>
        <v/>
      </c>
      <c r="O93" s="116">
        <f t="shared" si="183"/>
        <v>2.1433239233513612</v>
      </c>
      <c r="P93" s="116">
        <f t="shared" si="184"/>
        <v>2.1433239233513612</v>
      </c>
      <c r="Q93" s="117">
        <f t="shared" si="185"/>
        <v>2524543.4399999995</v>
      </c>
      <c r="R93" s="117">
        <f t="shared" si="186"/>
        <v>0</v>
      </c>
      <c r="S93" s="117">
        <f t="shared" si="187"/>
        <v>2524543.4399999995</v>
      </c>
      <c r="T93" s="117">
        <f t="shared" si="188"/>
        <v>2524543.4399999995</v>
      </c>
    </row>
    <row r="94" spans="1:20" s="40" customFormat="1" ht="54">
      <c r="A94" s="22" t="s">
        <v>242</v>
      </c>
      <c r="B94" s="21">
        <v>3230</v>
      </c>
      <c r="C94" s="21">
        <v>1070</v>
      </c>
      <c r="D94" s="68" t="s">
        <v>243</v>
      </c>
      <c r="E94" s="115">
        <f t="shared" si="180"/>
        <v>3714653.2199999997</v>
      </c>
      <c r="F94" s="115">
        <f>105622.05+463188.35</f>
        <v>568810.4</v>
      </c>
      <c r="G94" s="115">
        <f>3145842.82</f>
        <v>3145842.82</v>
      </c>
      <c r="H94" s="115"/>
      <c r="I94" s="115">
        <f t="shared" si="179"/>
        <v>1048335.5</v>
      </c>
      <c r="J94" s="115">
        <v>478920</v>
      </c>
      <c r="K94" s="115">
        <v>569415.5</v>
      </c>
      <c r="L94" s="115"/>
      <c r="M94" s="116">
        <f t="shared" si="181"/>
        <v>0.28221624951574892</v>
      </c>
      <c r="N94" s="116">
        <f t="shared" si="182"/>
        <v>0.84196772773493589</v>
      </c>
      <c r="O94" s="116">
        <f t="shared" si="183"/>
        <v>0.18100570580954836</v>
      </c>
      <c r="P94" s="116" t="str">
        <f t="shared" si="184"/>
        <v/>
      </c>
      <c r="Q94" s="117">
        <f t="shared" si="185"/>
        <v>-2666317.7199999997</v>
      </c>
      <c r="R94" s="117">
        <f t="shared" si="186"/>
        <v>-89890.400000000023</v>
      </c>
      <c r="S94" s="117">
        <f t="shared" si="187"/>
        <v>-2576427.3199999998</v>
      </c>
      <c r="T94" s="117">
        <f t="shared" si="188"/>
        <v>0</v>
      </c>
    </row>
    <row r="95" spans="1:20" s="40" customFormat="1" ht="36">
      <c r="A95" s="23" t="s">
        <v>151</v>
      </c>
      <c r="B95" s="23" t="s">
        <v>147</v>
      </c>
      <c r="C95" s="23" t="s">
        <v>4</v>
      </c>
      <c r="D95" s="38" t="s">
        <v>148</v>
      </c>
      <c r="E95" s="115">
        <f t="shared" si="180"/>
        <v>40536315.529999994</v>
      </c>
      <c r="F95" s="115">
        <f>37129630.01+1624689.15</f>
        <v>38754319.159999996</v>
      </c>
      <c r="G95" s="115">
        <v>1781996.37</v>
      </c>
      <c r="H95" s="115"/>
      <c r="I95" s="115">
        <f t="shared" si="179"/>
        <v>44519054.709999993</v>
      </c>
      <c r="J95" s="115">
        <f>42584767.62+1833298.4</f>
        <v>44418066.019999996</v>
      </c>
      <c r="K95" s="115">
        <v>100988.69</v>
      </c>
      <c r="L95" s="115"/>
      <c r="M95" s="116">
        <f t="shared" si="181"/>
        <v>1.0982511392051029</v>
      </c>
      <c r="N95" s="116">
        <f t="shared" si="182"/>
        <v>1.1461449196570017</v>
      </c>
      <c r="O95" s="116">
        <f t="shared" si="183"/>
        <v>5.6671658652144165E-2</v>
      </c>
      <c r="P95" s="116" t="str">
        <f t="shared" si="184"/>
        <v/>
      </c>
      <c r="Q95" s="117">
        <f t="shared" si="185"/>
        <v>3982739.1799999997</v>
      </c>
      <c r="R95" s="117">
        <f t="shared" si="186"/>
        <v>5663746.8599999994</v>
      </c>
      <c r="S95" s="117">
        <f t="shared" si="187"/>
        <v>-1681007.6800000002</v>
      </c>
      <c r="T95" s="117">
        <f t="shared" si="188"/>
        <v>0</v>
      </c>
    </row>
    <row r="96" spans="1:20" s="40" customFormat="1" ht="36">
      <c r="A96" s="127" t="s">
        <v>411</v>
      </c>
      <c r="B96" s="127">
        <v>7520</v>
      </c>
      <c r="C96" s="127" t="s">
        <v>400</v>
      </c>
      <c r="D96" s="134" t="s">
        <v>401</v>
      </c>
      <c r="E96" s="115">
        <f t="shared" ref="E96" si="209">F96+G96</f>
        <v>0</v>
      </c>
      <c r="F96" s="115"/>
      <c r="G96" s="115"/>
      <c r="H96" s="115"/>
      <c r="I96" s="115">
        <f t="shared" ref="I96" si="210">J96+K96</f>
        <v>72236</v>
      </c>
      <c r="J96" s="115">
        <v>72236</v>
      </c>
      <c r="K96" s="115"/>
      <c r="L96" s="115"/>
      <c r="M96" s="116" t="str">
        <f t="shared" ref="M96" si="211">IFERROR((I96/E96),"")</f>
        <v/>
      </c>
      <c r="N96" s="116" t="str">
        <f t="shared" ref="N96" si="212">IFERROR((J96/F96),"")</f>
        <v/>
      </c>
      <c r="O96" s="116" t="str">
        <f t="shared" ref="O96" si="213">IFERROR((K96/G96),"")</f>
        <v/>
      </c>
      <c r="P96" s="116" t="str">
        <f t="shared" ref="P96" si="214">IFERROR((L96/H96),"")</f>
        <v/>
      </c>
      <c r="Q96" s="117">
        <f t="shared" ref="Q96" si="215">I96-E96</f>
        <v>72236</v>
      </c>
      <c r="R96" s="117">
        <f t="shared" ref="R96" si="216">J96-F96</f>
        <v>72236</v>
      </c>
      <c r="S96" s="117">
        <f t="shared" ref="S96" si="217">K96-G96</f>
        <v>0</v>
      </c>
      <c r="T96" s="117">
        <f t="shared" ref="T96" si="218">L96-H96</f>
        <v>0</v>
      </c>
    </row>
    <row r="97" spans="1:20" s="40" customFormat="1" ht="54">
      <c r="A97" s="22" t="s">
        <v>303</v>
      </c>
      <c r="B97" s="22" t="s">
        <v>304</v>
      </c>
      <c r="C97" s="22" t="s">
        <v>5</v>
      </c>
      <c r="D97" s="68" t="s">
        <v>136</v>
      </c>
      <c r="E97" s="115">
        <f t="shared" si="180"/>
        <v>96000</v>
      </c>
      <c r="F97" s="115">
        <v>96000</v>
      </c>
      <c r="G97" s="115"/>
      <c r="H97" s="115"/>
      <c r="I97" s="115">
        <f t="shared" si="179"/>
        <v>0</v>
      </c>
      <c r="J97" s="115"/>
      <c r="K97" s="115"/>
      <c r="L97" s="115"/>
      <c r="M97" s="116">
        <f t="shared" si="181"/>
        <v>0</v>
      </c>
      <c r="N97" s="116">
        <f t="shared" si="182"/>
        <v>0</v>
      </c>
      <c r="O97" s="116" t="str">
        <f t="shared" si="183"/>
        <v/>
      </c>
      <c r="P97" s="116" t="str">
        <f t="shared" si="184"/>
        <v/>
      </c>
      <c r="Q97" s="117">
        <f t="shared" si="185"/>
        <v>-96000</v>
      </c>
      <c r="R97" s="117">
        <f t="shared" si="186"/>
        <v>-96000</v>
      </c>
      <c r="S97" s="117">
        <f t="shared" si="187"/>
        <v>0</v>
      </c>
      <c r="T97" s="117">
        <f t="shared" si="188"/>
        <v>0</v>
      </c>
    </row>
    <row r="98" spans="1:20" s="30" customFormat="1" ht="52.2">
      <c r="A98" s="27" t="s">
        <v>281</v>
      </c>
      <c r="B98" s="36" t="s">
        <v>282</v>
      </c>
      <c r="C98" s="36" t="s">
        <v>282</v>
      </c>
      <c r="D98" s="18" t="s">
        <v>283</v>
      </c>
      <c r="E98" s="114">
        <f t="shared" ref="E98:L98" si="219">E99</f>
        <v>1332154.95</v>
      </c>
      <c r="F98" s="114">
        <f t="shared" si="219"/>
        <v>1297154.95</v>
      </c>
      <c r="G98" s="114">
        <f t="shared" si="219"/>
        <v>35000</v>
      </c>
      <c r="H98" s="114">
        <f t="shared" si="219"/>
        <v>35000</v>
      </c>
      <c r="I98" s="114">
        <f>J98+K98</f>
        <v>2840745.5</v>
      </c>
      <c r="J98" s="114">
        <f t="shared" si="219"/>
        <v>2820656.8</v>
      </c>
      <c r="K98" s="114">
        <f t="shared" si="219"/>
        <v>20088.7</v>
      </c>
      <c r="L98" s="114">
        <f t="shared" si="219"/>
        <v>0</v>
      </c>
      <c r="M98" s="112">
        <f t="shared" ref="M98:M99" si="220">I98/E98</f>
        <v>2.1324437521325881</v>
      </c>
      <c r="N98" s="112">
        <f t="shared" ref="N98:N99" si="221">J98/F98</f>
        <v>2.1744948820493648</v>
      </c>
      <c r="O98" s="112">
        <f t="shared" si="183"/>
        <v>0.57396285714285722</v>
      </c>
      <c r="P98" s="112">
        <f t="shared" si="183"/>
        <v>0</v>
      </c>
      <c r="Q98" s="113">
        <f t="shared" si="185"/>
        <v>1508590.55</v>
      </c>
      <c r="R98" s="113">
        <f t="shared" si="186"/>
        <v>1523501.8499999999</v>
      </c>
      <c r="S98" s="113">
        <f t="shared" si="187"/>
        <v>-14911.3</v>
      </c>
      <c r="T98" s="113">
        <f t="shared" si="188"/>
        <v>-35000</v>
      </c>
    </row>
    <row r="99" spans="1:20" s="30" customFormat="1" ht="52.2">
      <c r="A99" s="27" t="s">
        <v>284</v>
      </c>
      <c r="B99" s="36" t="s">
        <v>282</v>
      </c>
      <c r="C99" s="36" t="s">
        <v>282</v>
      </c>
      <c r="D99" s="18" t="s">
        <v>283</v>
      </c>
      <c r="E99" s="114">
        <f t="shared" ref="E99:E102" si="222">F99+G99</f>
        <v>1332154.95</v>
      </c>
      <c r="F99" s="114">
        <f>F100+F102+F101</f>
        <v>1297154.95</v>
      </c>
      <c r="G99" s="114">
        <f t="shared" ref="G99:H99" si="223">G100+G102+G101</f>
        <v>35000</v>
      </c>
      <c r="H99" s="114">
        <f t="shared" si="223"/>
        <v>35000</v>
      </c>
      <c r="I99" s="114">
        <f t="shared" ref="I99:I102" si="224">J99+K99</f>
        <v>2840745.5</v>
      </c>
      <c r="J99" s="114">
        <f>J100+J102+J101</f>
        <v>2820656.8</v>
      </c>
      <c r="K99" s="114">
        <f t="shared" ref="K99:L99" si="225">K100+K102+K101</f>
        <v>20088.7</v>
      </c>
      <c r="L99" s="114">
        <f t="shared" si="225"/>
        <v>0</v>
      </c>
      <c r="M99" s="112">
        <f t="shared" si="220"/>
        <v>2.1324437521325881</v>
      </c>
      <c r="N99" s="112">
        <f t="shared" si="221"/>
        <v>2.1744948820493648</v>
      </c>
      <c r="O99" s="112">
        <f t="shared" si="183"/>
        <v>0.57396285714285722</v>
      </c>
      <c r="P99" s="112">
        <f t="shared" si="183"/>
        <v>0</v>
      </c>
      <c r="Q99" s="113">
        <f t="shared" si="185"/>
        <v>1508590.55</v>
      </c>
      <c r="R99" s="113">
        <f t="shared" si="186"/>
        <v>1523501.8499999999</v>
      </c>
      <c r="S99" s="113">
        <f t="shared" si="187"/>
        <v>-14911.3</v>
      </c>
      <c r="T99" s="113">
        <f t="shared" si="188"/>
        <v>-35000</v>
      </c>
    </row>
    <row r="100" spans="1:20" s="40" customFormat="1" ht="54">
      <c r="A100" s="22" t="s">
        <v>285</v>
      </c>
      <c r="B100" s="21" t="s">
        <v>58</v>
      </c>
      <c r="C100" s="21" t="s">
        <v>3</v>
      </c>
      <c r="D100" s="68" t="s">
        <v>235</v>
      </c>
      <c r="E100" s="115">
        <f t="shared" si="222"/>
        <v>1157755.6399999999</v>
      </c>
      <c r="F100" s="115">
        <v>1122755.6399999999</v>
      </c>
      <c r="G100" s="115">
        <v>35000</v>
      </c>
      <c r="H100" s="115">
        <f>G100</f>
        <v>35000</v>
      </c>
      <c r="I100" s="115">
        <f t="shared" si="224"/>
        <v>2635940.15</v>
      </c>
      <c r="J100" s="115">
        <v>2635940.15</v>
      </c>
      <c r="K100" s="115"/>
      <c r="L100" s="115"/>
      <c r="M100" s="116">
        <f>I100/E100</f>
        <v>2.2767672718916749</v>
      </c>
      <c r="N100" s="116">
        <f>J100/F100</f>
        <v>2.3477416243484646</v>
      </c>
      <c r="O100" s="116">
        <f t="shared" si="183"/>
        <v>0</v>
      </c>
      <c r="P100" s="116">
        <f t="shared" si="184"/>
        <v>0</v>
      </c>
      <c r="Q100" s="117">
        <f t="shared" si="185"/>
        <v>1478184.51</v>
      </c>
      <c r="R100" s="117">
        <f t="shared" si="186"/>
        <v>1513184.51</v>
      </c>
      <c r="S100" s="117">
        <f t="shared" si="187"/>
        <v>-35000</v>
      </c>
      <c r="T100" s="117">
        <f t="shared" si="188"/>
        <v>-35000</v>
      </c>
    </row>
    <row r="101" spans="1:20" s="40" customFormat="1" ht="36">
      <c r="A101" s="22" t="s">
        <v>380</v>
      </c>
      <c r="B101" s="22" t="s">
        <v>8</v>
      </c>
      <c r="C101" s="22" t="s">
        <v>6</v>
      </c>
      <c r="D101" s="81" t="s">
        <v>108</v>
      </c>
      <c r="E101" s="115">
        <f t="shared" ref="E101" si="226">F101+G101</f>
        <v>80000</v>
      </c>
      <c r="F101" s="115">
        <v>80000</v>
      </c>
      <c r="G101" s="115"/>
      <c r="H101" s="115"/>
      <c r="I101" s="115">
        <f t="shared" ref="I101" si="227">J101+K101</f>
        <v>0</v>
      </c>
      <c r="J101" s="115"/>
      <c r="K101" s="115"/>
      <c r="L101" s="115"/>
      <c r="M101" s="116">
        <f t="shared" ref="M101:M102" si="228">I101/E101</f>
        <v>0</v>
      </c>
      <c r="N101" s="116">
        <f t="shared" ref="N101:N102" si="229">J101/F101</f>
        <v>0</v>
      </c>
      <c r="O101" s="116" t="str">
        <f t="shared" ref="O101" si="230">IFERROR((K101/G101),"")</f>
        <v/>
      </c>
      <c r="P101" s="116" t="str">
        <f t="shared" ref="P101" si="231">IFERROR((L101/H101),"")</f>
        <v/>
      </c>
      <c r="Q101" s="117">
        <f t="shared" ref="Q101" si="232">I101-E101</f>
        <v>-80000</v>
      </c>
      <c r="R101" s="117">
        <f t="shared" ref="R101" si="233">J101-F101</f>
        <v>-80000</v>
      </c>
      <c r="S101" s="117">
        <f t="shared" ref="S101" si="234">K101-G101</f>
        <v>0</v>
      </c>
      <c r="T101" s="117">
        <f t="shared" ref="T101" si="235">L101-H101</f>
        <v>0</v>
      </c>
    </row>
    <row r="102" spans="1:20" s="40" customFormat="1" ht="36">
      <c r="A102" s="22" t="s">
        <v>286</v>
      </c>
      <c r="B102" s="21" t="s">
        <v>34</v>
      </c>
      <c r="C102" s="21" t="s">
        <v>17</v>
      </c>
      <c r="D102" s="68" t="s">
        <v>43</v>
      </c>
      <c r="E102" s="115">
        <f t="shared" si="222"/>
        <v>94399.31</v>
      </c>
      <c r="F102" s="115">
        <v>94399.31</v>
      </c>
      <c r="G102" s="115"/>
      <c r="H102" s="115"/>
      <c r="I102" s="115">
        <f t="shared" si="224"/>
        <v>204805.35</v>
      </c>
      <c r="J102" s="115">
        <v>184716.65</v>
      </c>
      <c r="K102" s="115">
        <v>20088.7</v>
      </c>
      <c r="L102" s="115"/>
      <c r="M102" s="116">
        <f t="shared" si="228"/>
        <v>2.1695640571949095</v>
      </c>
      <c r="N102" s="116">
        <f t="shared" si="229"/>
        <v>1.9567584763066594</v>
      </c>
      <c r="O102" s="116" t="str">
        <f t="shared" si="183"/>
        <v/>
      </c>
      <c r="P102" s="116" t="str">
        <f t="shared" si="184"/>
        <v/>
      </c>
      <c r="Q102" s="117">
        <f t="shared" si="185"/>
        <v>110406.04000000001</v>
      </c>
      <c r="R102" s="117">
        <f t="shared" si="186"/>
        <v>90317.34</v>
      </c>
      <c r="S102" s="117">
        <f t="shared" si="187"/>
        <v>20088.7</v>
      </c>
      <c r="T102" s="117">
        <f t="shared" si="188"/>
        <v>0</v>
      </c>
    </row>
    <row r="103" spans="1:20" s="30" customFormat="1" ht="34.799999999999997">
      <c r="A103" s="25" t="s">
        <v>76</v>
      </c>
      <c r="B103" s="25"/>
      <c r="C103" s="25"/>
      <c r="D103" s="10" t="s">
        <v>211</v>
      </c>
      <c r="E103" s="114">
        <f t="shared" ref="E103:L103" si="236">E104</f>
        <v>46597055.349999994</v>
      </c>
      <c r="F103" s="114">
        <f t="shared" si="236"/>
        <v>45798937.619999997</v>
      </c>
      <c r="G103" s="114">
        <f t="shared" si="236"/>
        <v>798117.73</v>
      </c>
      <c r="H103" s="114">
        <f t="shared" si="236"/>
        <v>94000</v>
      </c>
      <c r="I103" s="114">
        <f t="shared" si="236"/>
        <v>53636951.82</v>
      </c>
      <c r="J103" s="114">
        <f t="shared" si="236"/>
        <v>52419664.939999998</v>
      </c>
      <c r="K103" s="114">
        <f t="shared" si="236"/>
        <v>1217286.8799999999</v>
      </c>
      <c r="L103" s="114">
        <f t="shared" si="236"/>
        <v>190000</v>
      </c>
      <c r="M103" s="112">
        <f t="shared" si="181"/>
        <v>1.1510802864499035</v>
      </c>
      <c r="N103" s="112">
        <f t="shared" si="182"/>
        <v>1.1445607183060242</v>
      </c>
      <c r="O103" s="112">
        <f t="shared" si="183"/>
        <v>1.5251971410283041</v>
      </c>
      <c r="P103" s="112">
        <f t="shared" si="184"/>
        <v>2.021276595744681</v>
      </c>
      <c r="Q103" s="113">
        <f t="shared" si="185"/>
        <v>7039896.4700000063</v>
      </c>
      <c r="R103" s="113">
        <f t="shared" si="186"/>
        <v>6620727.3200000003</v>
      </c>
      <c r="S103" s="113">
        <f t="shared" si="187"/>
        <v>419169.14999999991</v>
      </c>
      <c r="T103" s="113">
        <f t="shared" si="188"/>
        <v>96000</v>
      </c>
    </row>
    <row r="104" spans="1:20" s="30" customFormat="1" ht="34.799999999999997">
      <c r="A104" s="25" t="s">
        <v>77</v>
      </c>
      <c r="B104" s="25"/>
      <c r="C104" s="25"/>
      <c r="D104" s="10" t="s">
        <v>211</v>
      </c>
      <c r="E104" s="114">
        <f t="shared" ref="E104:E113" si="237">F104+G104</f>
        <v>46597055.349999994</v>
      </c>
      <c r="F104" s="114">
        <f>F105+F107+F109+F110+F111+F112+F113+F106+F108+F114</f>
        <v>45798937.619999997</v>
      </c>
      <c r="G104" s="114">
        <f t="shared" ref="G104:H104" si="238">G105+G107+G109+G110+G111+G112+G113+G106+G108+G114</f>
        <v>798117.73</v>
      </c>
      <c r="H104" s="114">
        <f t="shared" si="238"/>
        <v>94000</v>
      </c>
      <c r="I104" s="114">
        <f t="shared" si="179"/>
        <v>53636951.82</v>
      </c>
      <c r="J104" s="114">
        <f>J105+J107+J109+J110+J111+J112+J113+J106+J108+J114</f>
        <v>52419664.939999998</v>
      </c>
      <c r="K104" s="114">
        <f t="shared" ref="K104:L104" si="239">K105+K107+K109+K110+K111+K112+K113+K106+K108+K114</f>
        <v>1217286.8799999999</v>
      </c>
      <c r="L104" s="114">
        <f t="shared" si="239"/>
        <v>190000</v>
      </c>
      <c r="M104" s="112">
        <f t="shared" si="181"/>
        <v>1.1510802864499035</v>
      </c>
      <c r="N104" s="112">
        <f t="shared" si="182"/>
        <v>1.1445607183060242</v>
      </c>
      <c r="O104" s="112">
        <f t="shared" si="183"/>
        <v>1.5251971410283041</v>
      </c>
      <c r="P104" s="112">
        <f t="shared" si="184"/>
        <v>2.021276595744681</v>
      </c>
      <c r="Q104" s="113">
        <f t="shared" si="185"/>
        <v>7039896.4700000063</v>
      </c>
      <c r="R104" s="113">
        <f t="shared" si="186"/>
        <v>6620727.3200000003</v>
      </c>
      <c r="S104" s="113">
        <f t="shared" si="187"/>
        <v>419169.14999999991</v>
      </c>
      <c r="T104" s="113">
        <f t="shared" si="188"/>
        <v>96000</v>
      </c>
    </row>
    <row r="105" spans="1:20" s="40" customFormat="1" ht="54">
      <c r="A105" s="23" t="s">
        <v>78</v>
      </c>
      <c r="B105" s="23" t="s">
        <v>58</v>
      </c>
      <c r="C105" s="23" t="s">
        <v>3</v>
      </c>
      <c r="D105" s="24" t="s">
        <v>235</v>
      </c>
      <c r="E105" s="115">
        <f t="shared" si="237"/>
        <v>812184.12</v>
      </c>
      <c r="F105" s="115">
        <v>812184.12</v>
      </c>
      <c r="G105" s="115"/>
      <c r="H105" s="115"/>
      <c r="I105" s="115">
        <f t="shared" si="179"/>
        <v>1072753.6299999999</v>
      </c>
      <c r="J105" s="115">
        <v>1072753.6299999999</v>
      </c>
      <c r="K105" s="115"/>
      <c r="L105" s="115"/>
      <c r="M105" s="116">
        <f t="shared" si="181"/>
        <v>1.3208256645057279</v>
      </c>
      <c r="N105" s="116">
        <f t="shared" si="182"/>
        <v>1.3208256645057279</v>
      </c>
      <c r="O105" s="116" t="str">
        <f t="shared" si="183"/>
        <v/>
      </c>
      <c r="P105" s="116" t="str">
        <f t="shared" si="184"/>
        <v/>
      </c>
      <c r="Q105" s="117">
        <f t="shared" si="185"/>
        <v>260569.50999999989</v>
      </c>
      <c r="R105" s="117">
        <f t="shared" si="186"/>
        <v>260569.50999999989</v>
      </c>
      <c r="S105" s="117">
        <f t="shared" si="187"/>
        <v>0</v>
      </c>
      <c r="T105" s="117">
        <f t="shared" si="188"/>
        <v>0</v>
      </c>
    </row>
    <row r="106" spans="1:20" s="40" customFormat="1" ht="36">
      <c r="A106" s="21" t="s">
        <v>263</v>
      </c>
      <c r="B106" s="21" t="s">
        <v>8</v>
      </c>
      <c r="C106" s="21" t="s">
        <v>6</v>
      </c>
      <c r="D106" s="68" t="s">
        <v>108</v>
      </c>
      <c r="E106" s="115">
        <f t="shared" si="237"/>
        <v>249904</v>
      </c>
      <c r="F106" s="115">
        <v>249904</v>
      </c>
      <c r="G106" s="115"/>
      <c r="H106" s="115"/>
      <c r="I106" s="115">
        <f t="shared" si="179"/>
        <v>94810</v>
      </c>
      <c r="J106" s="115">
        <v>94810</v>
      </c>
      <c r="K106" s="115"/>
      <c r="L106" s="115"/>
      <c r="M106" s="116">
        <f t="shared" si="181"/>
        <v>0.37938568410269541</v>
      </c>
      <c r="N106" s="116">
        <f t="shared" si="182"/>
        <v>0.37938568410269541</v>
      </c>
      <c r="O106" s="116" t="str">
        <f t="shared" si="183"/>
        <v/>
      </c>
      <c r="P106" s="116" t="str">
        <f t="shared" si="184"/>
        <v/>
      </c>
      <c r="Q106" s="117">
        <f t="shared" si="185"/>
        <v>-155094</v>
      </c>
      <c r="R106" s="117">
        <f t="shared" si="186"/>
        <v>-155094</v>
      </c>
      <c r="S106" s="117">
        <f t="shared" si="187"/>
        <v>0</v>
      </c>
      <c r="T106" s="117">
        <f t="shared" si="188"/>
        <v>0</v>
      </c>
    </row>
    <row r="107" spans="1:20" s="40" customFormat="1" ht="36">
      <c r="A107" s="23" t="s">
        <v>194</v>
      </c>
      <c r="B107" s="23" t="s">
        <v>195</v>
      </c>
      <c r="C107" s="23" t="s">
        <v>15</v>
      </c>
      <c r="D107" s="14" t="s">
        <v>193</v>
      </c>
      <c r="E107" s="115">
        <f t="shared" si="237"/>
        <v>21435877.289999999</v>
      </c>
      <c r="F107" s="115">
        <v>21116906.309999999</v>
      </c>
      <c r="G107" s="117">
        <f>318970.98</f>
        <v>318970.98</v>
      </c>
      <c r="H107" s="117"/>
      <c r="I107" s="115">
        <f t="shared" si="179"/>
        <v>24769698.460000001</v>
      </c>
      <c r="J107" s="115">
        <v>24229339.600000001</v>
      </c>
      <c r="K107" s="117">
        <f>358348.86+182010</f>
        <v>540358.86</v>
      </c>
      <c r="L107" s="117"/>
      <c r="M107" s="116">
        <f t="shared" si="181"/>
        <v>1.155525296440993</v>
      </c>
      <c r="N107" s="116">
        <f t="shared" si="182"/>
        <v>1.1473905904732882</v>
      </c>
      <c r="O107" s="116">
        <f t="shared" si="183"/>
        <v>1.6940690341171476</v>
      </c>
      <c r="P107" s="116" t="str">
        <f t="shared" si="184"/>
        <v/>
      </c>
      <c r="Q107" s="117">
        <f t="shared" si="185"/>
        <v>3333821.1700000018</v>
      </c>
      <c r="R107" s="117">
        <f t="shared" si="186"/>
        <v>3112433.2900000028</v>
      </c>
      <c r="S107" s="117">
        <f t="shared" si="187"/>
        <v>221387.88</v>
      </c>
      <c r="T107" s="117">
        <f t="shared" si="188"/>
        <v>0</v>
      </c>
    </row>
    <row r="108" spans="1:20" s="40" customFormat="1" ht="90">
      <c r="A108" s="60">
        <v>1013140</v>
      </c>
      <c r="B108" s="60">
        <v>3140</v>
      </c>
      <c r="C108" s="60">
        <v>1040</v>
      </c>
      <c r="D108" s="46" t="s">
        <v>301</v>
      </c>
      <c r="E108" s="115">
        <f t="shared" si="237"/>
        <v>120000</v>
      </c>
      <c r="F108" s="115">
        <v>120000</v>
      </c>
      <c r="G108" s="117"/>
      <c r="H108" s="117"/>
      <c r="I108" s="115">
        <f t="shared" si="179"/>
        <v>149320</v>
      </c>
      <c r="J108" s="115">
        <v>149320</v>
      </c>
      <c r="K108" s="117"/>
      <c r="L108" s="117"/>
      <c r="M108" s="116">
        <f t="shared" si="181"/>
        <v>1.2443333333333333</v>
      </c>
      <c r="N108" s="116">
        <f t="shared" si="182"/>
        <v>1.2443333333333333</v>
      </c>
      <c r="O108" s="116" t="str">
        <f t="shared" si="183"/>
        <v/>
      </c>
      <c r="P108" s="116" t="str">
        <f t="shared" si="184"/>
        <v/>
      </c>
      <c r="Q108" s="117">
        <f t="shared" si="185"/>
        <v>29320</v>
      </c>
      <c r="R108" s="117">
        <f t="shared" si="186"/>
        <v>29320</v>
      </c>
      <c r="S108" s="117">
        <f t="shared" si="187"/>
        <v>0</v>
      </c>
      <c r="T108" s="117">
        <f t="shared" si="188"/>
        <v>0</v>
      </c>
    </row>
    <row r="109" spans="1:20" s="40" customFormat="1">
      <c r="A109" s="23" t="s">
        <v>80</v>
      </c>
      <c r="B109" s="23" t="s">
        <v>79</v>
      </c>
      <c r="C109" s="23" t="s">
        <v>36</v>
      </c>
      <c r="D109" s="38" t="s">
        <v>81</v>
      </c>
      <c r="E109" s="115">
        <f t="shared" si="237"/>
        <v>7585445.0800000001</v>
      </c>
      <c r="F109" s="115">
        <v>7446551.0800000001</v>
      </c>
      <c r="G109" s="117">
        <f>64894+74000</f>
        <v>138894</v>
      </c>
      <c r="H109" s="117">
        <v>74000</v>
      </c>
      <c r="I109" s="115">
        <f t="shared" si="179"/>
        <v>9050588</v>
      </c>
      <c r="J109" s="115">
        <v>8834563.5</v>
      </c>
      <c r="K109" s="117">
        <f>80224.5+135800</f>
        <v>216024.5</v>
      </c>
      <c r="L109" s="117"/>
      <c r="M109" s="116">
        <f t="shared" si="181"/>
        <v>1.1931518723750354</v>
      </c>
      <c r="N109" s="116">
        <f t="shared" si="182"/>
        <v>1.1863966828520029</v>
      </c>
      <c r="O109" s="116">
        <f t="shared" si="183"/>
        <v>1.5553191642547555</v>
      </c>
      <c r="P109" s="116">
        <f t="shared" si="184"/>
        <v>0</v>
      </c>
      <c r="Q109" s="117">
        <f t="shared" si="185"/>
        <v>1465142.92</v>
      </c>
      <c r="R109" s="117">
        <f t="shared" si="186"/>
        <v>1388012.42</v>
      </c>
      <c r="S109" s="117">
        <f t="shared" si="187"/>
        <v>77130.5</v>
      </c>
      <c r="T109" s="117">
        <f t="shared" si="188"/>
        <v>-74000</v>
      </c>
    </row>
    <row r="110" spans="1:20" s="40" customFormat="1">
      <c r="A110" s="23" t="s">
        <v>83</v>
      </c>
      <c r="B110" s="23" t="s">
        <v>82</v>
      </c>
      <c r="C110" s="23" t="s">
        <v>36</v>
      </c>
      <c r="D110" s="38" t="s">
        <v>84</v>
      </c>
      <c r="E110" s="115">
        <f t="shared" si="237"/>
        <v>3527755.66</v>
      </c>
      <c r="F110" s="115">
        <v>3471614.66</v>
      </c>
      <c r="G110" s="117">
        <f>18900+37241</f>
        <v>56141</v>
      </c>
      <c r="H110" s="117"/>
      <c r="I110" s="115">
        <f t="shared" si="179"/>
        <v>4167594.03</v>
      </c>
      <c r="J110" s="115">
        <v>3823220.51</v>
      </c>
      <c r="K110" s="117">
        <f>34381.52+190000+119992</f>
        <v>344373.52</v>
      </c>
      <c r="L110" s="117">
        <v>190000</v>
      </c>
      <c r="M110" s="116">
        <f t="shared" si="181"/>
        <v>1.1813726435917615</v>
      </c>
      <c r="N110" s="116">
        <f t="shared" si="182"/>
        <v>1.1012802065998879</v>
      </c>
      <c r="O110" s="116" t="s">
        <v>357</v>
      </c>
      <c r="P110" s="116" t="str">
        <f t="shared" si="184"/>
        <v/>
      </c>
      <c r="Q110" s="117">
        <f t="shared" si="185"/>
        <v>639838.36999999965</v>
      </c>
      <c r="R110" s="117">
        <f t="shared" si="186"/>
        <v>351605.84999999963</v>
      </c>
      <c r="S110" s="117">
        <f t="shared" si="187"/>
        <v>288232.52</v>
      </c>
      <c r="T110" s="117">
        <f t="shared" si="188"/>
        <v>190000</v>
      </c>
    </row>
    <row r="111" spans="1:20" s="40" customFormat="1" ht="54">
      <c r="A111" s="23" t="s">
        <v>85</v>
      </c>
      <c r="B111" s="23" t="s">
        <v>35</v>
      </c>
      <c r="C111" s="23" t="s">
        <v>37</v>
      </c>
      <c r="D111" s="38" t="s">
        <v>86</v>
      </c>
      <c r="E111" s="115">
        <f t="shared" si="237"/>
        <v>10445519.09</v>
      </c>
      <c r="F111" s="115">
        <v>10161407.34</v>
      </c>
      <c r="G111" s="117">
        <f>130265.5+133846.25+20000</f>
        <v>284111.75</v>
      </c>
      <c r="H111" s="117">
        <v>20000</v>
      </c>
      <c r="I111" s="115">
        <f t="shared" si="179"/>
        <v>11536926.23</v>
      </c>
      <c r="J111" s="115">
        <v>11420396.23</v>
      </c>
      <c r="K111" s="117">
        <v>116530</v>
      </c>
      <c r="L111" s="117"/>
      <c r="M111" s="116">
        <f t="shared" si="181"/>
        <v>1.1044856775997718</v>
      </c>
      <c r="N111" s="116">
        <f t="shared" si="182"/>
        <v>1.123899067114851</v>
      </c>
      <c r="O111" s="116">
        <f t="shared" si="183"/>
        <v>0.41015551099171366</v>
      </c>
      <c r="P111" s="116">
        <f t="shared" si="184"/>
        <v>0</v>
      </c>
      <c r="Q111" s="117">
        <f t="shared" si="185"/>
        <v>1091407.1400000006</v>
      </c>
      <c r="R111" s="117">
        <f t="shared" si="186"/>
        <v>1258988.8900000006</v>
      </c>
      <c r="S111" s="117">
        <f t="shared" si="187"/>
        <v>-167581.75</v>
      </c>
      <c r="T111" s="117">
        <f t="shared" si="188"/>
        <v>-20000</v>
      </c>
    </row>
    <row r="112" spans="1:20" s="40" customFormat="1" ht="36">
      <c r="A112" s="23" t="s">
        <v>152</v>
      </c>
      <c r="B112" s="23" t="s">
        <v>131</v>
      </c>
      <c r="C112" s="23" t="s">
        <v>38</v>
      </c>
      <c r="D112" s="38" t="s">
        <v>132</v>
      </c>
      <c r="E112" s="115">
        <f t="shared" si="237"/>
        <v>2091539.11</v>
      </c>
      <c r="F112" s="115">
        <v>2091539.11</v>
      </c>
      <c r="G112" s="117"/>
      <c r="H112" s="117"/>
      <c r="I112" s="115">
        <f t="shared" si="179"/>
        <v>2474337.4700000002</v>
      </c>
      <c r="J112" s="115">
        <v>2474337.4700000002</v>
      </c>
      <c r="K112" s="117"/>
      <c r="L112" s="117"/>
      <c r="M112" s="116">
        <f t="shared" si="181"/>
        <v>1.1830223294270601</v>
      </c>
      <c r="N112" s="116">
        <f t="shared" si="182"/>
        <v>1.1830223294270601</v>
      </c>
      <c r="O112" s="116" t="str">
        <f t="shared" si="183"/>
        <v/>
      </c>
      <c r="P112" s="116" t="str">
        <f t="shared" si="184"/>
        <v/>
      </c>
      <c r="Q112" s="117">
        <f t="shared" si="185"/>
        <v>382798.3600000001</v>
      </c>
      <c r="R112" s="117">
        <f t="shared" si="186"/>
        <v>382798.3600000001</v>
      </c>
      <c r="S112" s="117">
        <f t="shared" si="187"/>
        <v>0</v>
      </c>
      <c r="T112" s="117">
        <f t="shared" si="188"/>
        <v>0</v>
      </c>
    </row>
    <row r="113" spans="1:20" s="40" customFormat="1">
      <c r="A113" s="23" t="s">
        <v>129</v>
      </c>
      <c r="B113" s="23" t="s">
        <v>130</v>
      </c>
      <c r="C113" s="23" t="s">
        <v>38</v>
      </c>
      <c r="D113" s="38" t="s">
        <v>133</v>
      </c>
      <c r="E113" s="115">
        <f t="shared" si="237"/>
        <v>328831</v>
      </c>
      <c r="F113" s="115">
        <v>328831</v>
      </c>
      <c r="G113" s="117"/>
      <c r="H113" s="117"/>
      <c r="I113" s="115">
        <f t="shared" si="179"/>
        <v>306924</v>
      </c>
      <c r="J113" s="115">
        <v>306924</v>
      </c>
      <c r="K113" s="117"/>
      <c r="L113" s="117"/>
      <c r="M113" s="116">
        <f t="shared" si="181"/>
        <v>0.93337915220888545</v>
      </c>
      <c r="N113" s="116">
        <f t="shared" si="182"/>
        <v>0.93337915220888545</v>
      </c>
      <c r="O113" s="116" t="str">
        <f t="shared" si="183"/>
        <v/>
      </c>
      <c r="P113" s="116" t="str">
        <f t="shared" si="184"/>
        <v/>
      </c>
      <c r="Q113" s="117">
        <f t="shared" si="185"/>
        <v>-21907</v>
      </c>
      <c r="R113" s="117">
        <f t="shared" si="186"/>
        <v>-21907</v>
      </c>
      <c r="S113" s="117">
        <f t="shared" si="187"/>
        <v>0</v>
      </c>
      <c r="T113" s="117">
        <f t="shared" si="188"/>
        <v>0</v>
      </c>
    </row>
    <row r="114" spans="1:20" s="40" customFormat="1">
      <c r="A114" s="128">
        <v>1017520</v>
      </c>
      <c r="B114" s="128">
        <v>7520</v>
      </c>
      <c r="C114" s="129" t="s">
        <v>400</v>
      </c>
      <c r="D114" s="89" t="s">
        <v>401</v>
      </c>
      <c r="E114" s="115">
        <f t="shared" ref="E114" si="240">F114+G114</f>
        <v>0</v>
      </c>
      <c r="F114" s="115"/>
      <c r="G114" s="117"/>
      <c r="H114" s="117"/>
      <c r="I114" s="115">
        <f t="shared" ref="I114" si="241">J114+K114</f>
        <v>14000</v>
      </c>
      <c r="J114" s="115">
        <v>14000</v>
      </c>
      <c r="K114" s="117"/>
      <c r="L114" s="117"/>
      <c r="M114" s="116" t="str">
        <f t="shared" ref="M114" si="242">IFERROR((I114/E114),"")</f>
        <v/>
      </c>
      <c r="N114" s="116" t="str">
        <f t="shared" ref="N114" si="243">IFERROR((J114/F114),"")</f>
        <v/>
      </c>
      <c r="O114" s="116" t="str">
        <f t="shared" ref="O114" si="244">IFERROR((K114/G114),"")</f>
        <v/>
      </c>
      <c r="P114" s="116" t="str">
        <f t="shared" ref="P114" si="245">IFERROR((L114/H114),"")</f>
        <v/>
      </c>
      <c r="Q114" s="117">
        <f t="shared" ref="Q114" si="246">I114-E114</f>
        <v>14000</v>
      </c>
      <c r="R114" s="117">
        <f t="shared" ref="R114" si="247">J114-F114</f>
        <v>14000</v>
      </c>
      <c r="S114" s="117">
        <f t="shared" ref="S114" si="248">K114-G114</f>
        <v>0</v>
      </c>
      <c r="T114" s="117">
        <f t="shared" ref="T114" si="249">L114-H114</f>
        <v>0</v>
      </c>
    </row>
    <row r="115" spans="1:20" s="30" customFormat="1" ht="52.2">
      <c r="A115" s="25" t="s">
        <v>21</v>
      </c>
      <c r="B115" s="25"/>
      <c r="C115" s="25"/>
      <c r="D115" s="10" t="s">
        <v>261</v>
      </c>
      <c r="E115" s="114">
        <f t="shared" ref="E115:L115" si="250">E116</f>
        <v>6263081.7800000003</v>
      </c>
      <c r="F115" s="114">
        <f t="shared" si="250"/>
        <v>5785350.29</v>
      </c>
      <c r="G115" s="114">
        <f t="shared" si="250"/>
        <v>477731.49</v>
      </c>
      <c r="H115" s="114">
        <f t="shared" si="250"/>
        <v>120950</v>
      </c>
      <c r="I115" s="114">
        <f t="shared" si="250"/>
        <v>6875567.5300000003</v>
      </c>
      <c r="J115" s="114">
        <f t="shared" si="250"/>
        <v>6875567.5300000003</v>
      </c>
      <c r="K115" s="114">
        <f t="shared" si="250"/>
        <v>0</v>
      </c>
      <c r="L115" s="114">
        <f t="shared" si="250"/>
        <v>0</v>
      </c>
      <c r="M115" s="112">
        <f t="shared" si="181"/>
        <v>1.0977930308934909</v>
      </c>
      <c r="N115" s="112">
        <f t="shared" si="182"/>
        <v>1.1884444649590959</v>
      </c>
      <c r="O115" s="112">
        <f t="shared" si="183"/>
        <v>0</v>
      </c>
      <c r="P115" s="112">
        <f t="shared" si="184"/>
        <v>0</v>
      </c>
      <c r="Q115" s="113">
        <f t="shared" si="185"/>
        <v>612485.75</v>
      </c>
      <c r="R115" s="113">
        <f t="shared" si="186"/>
        <v>1090217.2400000002</v>
      </c>
      <c r="S115" s="113">
        <f t="shared" si="187"/>
        <v>-477731.49</v>
      </c>
      <c r="T115" s="113">
        <f t="shared" si="188"/>
        <v>-120950</v>
      </c>
    </row>
    <row r="116" spans="1:20" s="30" customFormat="1" ht="52.2">
      <c r="A116" s="25" t="s">
        <v>22</v>
      </c>
      <c r="B116" s="25"/>
      <c r="C116" s="25"/>
      <c r="D116" s="10" t="s">
        <v>262</v>
      </c>
      <c r="E116" s="114">
        <f t="shared" ref="E116:E123" si="251">F116+G116</f>
        <v>6263081.7800000003</v>
      </c>
      <c r="F116" s="114">
        <f>F117+F119+F120+F121+F123+F118+F122</f>
        <v>5785350.29</v>
      </c>
      <c r="G116" s="114">
        <f t="shared" ref="G116:H116" si="252">G117+G119+G120+G121+G123+G118+G122</f>
        <v>477731.49</v>
      </c>
      <c r="H116" s="114">
        <f t="shared" si="252"/>
        <v>120950</v>
      </c>
      <c r="I116" s="114">
        <f t="shared" si="179"/>
        <v>6875567.5300000003</v>
      </c>
      <c r="J116" s="114">
        <f>J117+J119+J120+J121+J123+J118+J122</f>
        <v>6875567.5300000003</v>
      </c>
      <c r="K116" s="114">
        <f t="shared" ref="K116:L116" si="253">K117+K119+K120+K121+K123+K118+K122</f>
        <v>0</v>
      </c>
      <c r="L116" s="114">
        <f t="shared" si="253"/>
        <v>0</v>
      </c>
      <c r="M116" s="112">
        <f t="shared" si="181"/>
        <v>1.0977930308934909</v>
      </c>
      <c r="N116" s="112">
        <f t="shared" si="182"/>
        <v>1.1884444649590959</v>
      </c>
      <c r="O116" s="112">
        <f t="shared" si="183"/>
        <v>0</v>
      </c>
      <c r="P116" s="112">
        <f t="shared" si="184"/>
        <v>0</v>
      </c>
      <c r="Q116" s="113">
        <f t="shared" si="185"/>
        <v>612485.75</v>
      </c>
      <c r="R116" s="113">
        <f t="shared" si="186"/>
        <v>1090217.2400000002</v>
      </c>
      <c r="S116" s="113">
        <f t="shared" si="187"/>
        <v>-477731.49</v>
      </c>
      <c r="T116" s="113">
        <f t="shared" si="188"/>
        <v>-120950</v>
      </c>
    </row>
    <row r="117" spans="1:20" s="40" customFormat="1" ht="54">
      <c r="A117" s="23" t="s">
        <v>87</v>
      </c>
      <c r="B117" s="23" t="s">
        <v>58</v>
      </c>
      <c r="C117" s="23" t="s">
        <v>3</v>
      </c>
      <c r="D117" s="24" t="s">
        <v>235</v>
      </c>
      <c r="E117" s="115">
        <f t="shared" si="251"/>
        <v>1887367.66</v>
      </c>
      <c r="F117" s="117">
        <v>1766417.66</v>
      </c>
      <c r="G117" s="115">
        <v>120950</v>
      </c>
      <c r="H117" s="115">
        <f>G117</f>
        <v>120950</v>
      </c>
      <c r="I117" s="115">
        <f t="shared" si="179"/>
        <v>2223601.79</v>
      </c>
      <c r="J117" s="117">
        <v>2223601.79</v>
      </c>
      <c r="K117" s="115"/>
      <c r="L117" s="115"/>
      <c r="M117" s="116">
        <f t="shared" si="181"/>
        <v>1.1781497781942498</v>
      </c>
      <c r="N117" s="116">
        <f t="shared" si="182"/>
        <v>1.2588199497507289</v>
      </c>
      <c r="O117" s="116">
        <f t="shared" si="183"/>
        <v>0</v>
      </c>
      <c r="P117" s="116">
        <f t="shared" si="184"/>
        <v>0</v>
      </c>
      <c r="Q117" s="117">
        <f t="shared" si="185"/>
        <v>336234.13000000012</v>
      </c>
      <c r="R117" s="117">
        <f t="shared" si="186"/>
        <v>457184.13000000012</v>
      </c>
      <c r="S117" s="117">
        <f t="shared" si="187"/>
        <v>-120950</v>
      </c>
      <c r="T117" s="117">
        <f t="shared" si="188"/>
        <v>-120950</v>
      </c>
    </row>
    <row r="118" spans="1:20" s="40" customFormat="1" ht="36">
      <c r="A118" s="21" t="s">
        <v>264</v>
      </c>
      <c r="B118" s="21" t="s">
        <v>8</v>
      </c>
      <c r="C118" s="21" t="s">
        <v>6</v>
      </c>
      <c r="D118" s="68" t="s">
        <v>108</v>
      </c>
      <c r="E118" s="115">
        <f t="shared" si="251"/>
        <v>274855.23</v>
      </c>
      <c r="F118" s="117">
        <v>274855.23</v>
      </c>
      <c r="G118" s="115"/>
      <c r="H118" s="115"/>
      <c r="I118" s="115">
        <f t="shared" si="179"/>
        <v>64630</v>
      </c>
      <c r="J118" s="117">
        <v>64630</v>
      </c>
      <c r="K118" s="115"/>
      <c r="L118" s="115"/>
      <c r="M118" s="116">
        <f t="shared" si="181"/>
        <v>0.23514196910133384</v>
      </c>
      <c r="N118" s="116">
        <f t="shared" si="182"/>
        <v>0.23514196910133384</v>
      </c>
      <c r="O118" s="116" t="str">
        <f t="shared" si="183"/>
        <v/>
      </c>
      <c r="P118" s="116" t="str">
        <f t="shared" si="184"/>
        <v/>
      </c>
      <c r="Q118" s="117">
        <f t="shared" si="185"/>
        <v>-210225.22999999998</v>
      </c>
      <c r="R118" s="117">
        <f t="shared" si="186"/>
        <v>-210225.22999999998</v>
      </c>
      <c r="S118" s="117">
        <f t="shared" si="187"/>
        <v>0</v>
      </c>
      <c r="T118" s="117">
        <f t="shared" si="188"/>
        <v>0</v>
      </c>
    </row>
    <row r="119" spans="1:20" s="40" customFormat="1">
      <c r="A119" s="23" t="s">
        <v>89</v>
      </c>
      <c r="B119" s="23" t="s">
        <v>88</v>
      </c>
      <c r="C119" s="23" t="s">
        <v>17</v>
      </c>
      <c r="D119" s="38" t="s">
        <v>48</v>
      </c>
      <c r="E119" s="115">
        <f t="shared" si="251"/>
        <v>1408800.0999999999</v>
      </c>
      <c r="F119" s="115">
        <f>407273.98+644744.63</f>
        <v>1052018.6099999999</v>
      </c>
      <c r="G119" s="115">
        <v>356781.49</v>
      </c>
      <c r="H119" s="115"/>
      <c r="I119" s="115">
        <f t="shared" si="179"/>
        <v>1580874.62</v>
      </c>
      <c r="J119" s="115">
        <f>597261+983613.62</f>
        <v>1580874.62</v>
      </c>
      <c r="K119" s="115"/>
      <c r="L119" s="115"/>
      <c r="M119" s="116">
        <f t="shared" si="181"/>
        <v>1.1221426091608031</v>
      </c>
      <c r="N119" s="116">
        <f t="shared" si="182"/>
        <v>1.5027059454775238</v>
      </c>
      <c r="O119" s="116">
        <f t="shared" si="183"/>
        <v>0</v>
      </c>
      <c r="P119" s="116" t="str">
        <f t="shared" si="184"/>
        <v/>
      </c>
      <c r="Q119" s="117">
        <f t="shared" si="185"/>
        <v>172074.52000000025</v>
      </c>
      <c r="R119" s="117">
        <f t="shared" si="186"/>
        <v>528856.01000000024</v>
      </c>
      <c r="S119" s="117">
        <f t="shared" si="187"/>
        <v>-356781.49</v>
      </c>
      <c r="T119" s="117">
        <f t="shared" si="188"/>
        <v>0</v>
      </c>
    </row>
    <row r="120" spans="1:20" s="40" customFormat="1" ht="36">
      <c r="A120" s="23" t="s">
        <v>24</v>
      </c>
      <c r="B120" s="23" t="s">
        <v>23</v>
      </c>
      <c r="C120" s="23" t="s">
        <v>18</v>
      </c>
      <c r="D120" s="38" t="s">
        <v>42</v>
      </c>
      <c r="E120" s="115">
        <f t="shared" si="251"/>
        <v>972354.91</v>
      </c>
      <c r="F120" s="115">
        <v>972354.91</v>
      </c>
      <c r="G120" s="115"/>
      <c r="H120" s="115"/>
      <c r="I120" s="115">
        <f t="shared" si="179"/>
        <v>836113.29</v>
      </c>
      <c r="J120" s="115">
        <v>836113.29</v>
      </c>
      <c r="K120" s="115"/>
      <c r="L120" s="115"/>
      <c r="M120" s="116">
        <f t="shared" si="181"/>
        <v>0.85988488503647298</v>
      </c>
      <c r="N120" s="116">
        <f t="shared" si="182"/>
        <v>0.85988488503647298</v>
      </c>
      <c r="O120" s="116" t="str">
        <f t="shared" si="183"/>
        <v/>
      </c>
      <c r="P120" s="116" t="str">
        <f t="shared" si="184"/>
        <v/>
      </c>
      <c r="Q120" s="117">
        <f t="shared" si="185"/>
        <v>-136241.62</v>
      </c>
      <c r="R120" s="117">
        <f t="shared" si="186"/>
        <v>-136241.62</v>
      </c>
      <c r="S120" s="117">
        <f t="shared" si="187"/>
        <v>0</v>
      </c>
      <c r="T120" s="117">
        <f t="shared" si="188"/>
        <v>0</v>
      </c>
    </row>
    <row r="121" spans="1:20" s="40" customFormat="1" ht="36">
      <c r="A121" s="23" t="s">
        <v>44</v>
      </c>
      <c r="B121" s="23" t="s">
        <v>45</v>
      </c>
      <c r="C121" s="23" t="s">
        <v>18</v>
      </c>
      <c r="D121" s="38" t="s">
        <v>46</v>
      </c>
      <c r="E121" s="115">
        <f t="shared" si="251"/>
        <v>283691.17</v>
      </c>
      <c r="F121" s="115">
        <v>283691.17</v>
      </c>
      <c r="G121" s="115"/>
      <c r="H121" s="115"/>
      <c r="I121" s="115">
        <f t="shared" si="179"/>
        <v>315070.63</v>
      </c>
      <c r="J121" s="115">
        <v>315070.63</v>
      </c>
      <c r="K121" s="115"/>
      <c r="L121" s="115"/>
      <c r="M121" s="116">
        <f t="shared" si="181"/>
        <v>1.1106113383789846</v>
      </c>
      <c r="N121" s="116">
        <f t="shared" si="182"/>
        <v>1.1106113383789846</v>
      </c>
      <c r="O121" s="116" t="str">
        <f t="shared" si="183"/>
        <v/>
      </c>
      <c r="P121" s="116" t="str">
        <f t="shared" si="184"/>
        <v/>
      </c>
      <c r="Q121" s="117">
        <f t="shared" si="185"/>
        <v>31379.460000000021</v>
      </c>
      <c r="R121" s="117">
        <f t="shared" si="186"/>
        <v>31379.460000000021</v>
      </c>
      <c r="S121" s="117">
        <f t="shared" si="187"/>
        <v>0</v>
      </c>
      <c r="T121" s="117">
        <f t="shared" si="188"/>
        <v>0</v>
      </c>
    </row>
    <row r="122" spans="1:20" s="40" customFormat="1" ht="54">
      <c r="A122" s="67" t="s">
        <v>319</v>
      </c>
      <c r="B122" s="67" t="s">
        <v>320</v>
      </c>
      <c r="C122" s="67" t="s">
        <v>18</v>
      </c>
      <c r="D122" s="66" t="s">
        <v>329</v>
      </c>
      <c r="E122" s="115">
        <f t="shared" si="251"/>
        <v>58852.800000000003</v>
      </c>
      <c r="F122" s="115">
        <v>58852.800000000003</v>
      </c>
      <c r="G122" s="115"/>
      <c r="H122" s="115"/>
      <c r="I122" s="115">
        <f t="shared" si="179"/>
        <v>83155.199999999997</v>
      </c>
      <c r="J122" s="115">
        <v>83155.199999999997</v>
      </c>
      <c r="K122" s="115"/>
      <c r="L122" s="115"/>
      <c r="M122" s="116">
        <f t="shared" si="181"/>
        <v>1.4129353233830844</v>
      </c>
      <c r="N122" s="116">
        <f t="shared" si="182"/>
        <v>1.4129353233830844</v>
      </c>
      <c r="O122" s="116" t="str">
        <f t="shared" si="183"/>
        <v/>
      </c>
      <c r="P122" s="116" t="str">
        <f t="shared" si="184"/>
        <v/>
      </c>
      <c r="Q122" s="117">
        <f t="shared" si="185"/>
        <v>24302.399999999994</v>
      </c>
      <c r="R122" s="117">
        <f t="shared" si="186"/>
        <v>24302.399999999994</v>
      </c>
      <c r="S122" s="117">
        <f t="shared" si="187"/>
        <v>0</v>
      </c>
      <c r="T122" s="117">
        <f t="shared" si="188"/>
        <v>0</v>
      </c>
    </row>
    <row r="123" spans="1:20" s="40" customFormat="1" ht="72">
      <c r="A123" s="23" t="s">
        <v>49</v>
      </c>
      <c r="B123" s="23" t="s">
        <v>50</v>
      </c>
      <c r="C123" s="23" t="s">
        <v>18</v>
      </c>
      <c r="D123" s="24" t="s">
        <v>51</v>
      </c>
      <c r="E123" s="115">
        <f t="shared" si="251"/>
        <v>1377159.91</v>
      </c>
      <c r="F123" s="115">
        <v>1377159.91</v>
      </c>
      <c r="G123" s="115"/>
      <c r="H123" s="115"/>
      <c r="I123" s="115">
        <f t="shared" si="179"/>
        <v>1772122</v>
      </c>
      <c r="J123" s="115">
        <v>1772122</v>
      </c>
      <c r="K123" s="115"/>
      <c r="L123" s="115"/>
      <c r="M123" s="116">
        <f t="shared" si="181"/>
        <v>1.2867946468177396</v>
      </c>
      <c r="N123" s="116">
        <f t="shared" si="182"/>
        <v>1.2867946468177396</v>
      </c>
      <c r="O123" s="116" t="str">
        <f t="shared" si="183"/>
        <v/>
      </c>
      <c r="P123" s="116" t="str">
        <f t="shared" si="184"/>
        <v/>
      </c>
      <c r="Q123" s="117">
        <f t="shared" si="185"/>
        <v>394962.09000000008</v>
      </c>
      <c r="R123" s="117">
        <f t="shared" si="186"/>
        <v>394962.09000000008</v>
      </c>
      <c r="S123" s="117">
        <f t="shared" si="187"/>
        <v>0</v>
      </c>
      <c r="T123" s="117">
        <f t="shared" si="188"/>
        <v>0</v>
      </c>
    </row>
    <row r="124" spans="1:20" s="30" customFormat="1" ht="52.2">
      <c r="A124" s="25" t="s">
        <v>90</v>
      </c>
      <c r="B124" s="25"/>
      <c r="C124" s="25"/>
      <c r="D124" s="10" t="s">
        <v>220</v>
      </c>
      <c r="E124" s="114">
        <f t="shared" ref="E124:L124" si="254">E125</f>
        <v>218503944.44000003</v>
      </c>
      <c r="F124" s="114">
        <f t="shared" si="254"/>
        <v>181103218.32000002</v>
      </c>
      <c r="G124" s="114">
        <f t="shared" si="254"/>
        <v>37400726.119999997</v>
      </c>
      <c r="H124" s="114">
        <f t="shared" si="254"/>
        <v>33081949.710000001</v>
      </c>
      <c r="I124" s="114">
        <f t="shared" si="254"/>
        <v>187900768.24999997</v>
      </c>
      <c r="J124" s="114">
        <f t="shared" si="254"/>
        <v>162345108.42999998</v>
      </c>
      <c r="K124" s="114">
        <f t="shared" si="254"/>
        <v>25555659.82</v>
      </c>
      <c r="L124" s="114">
        <f t="shared" si="254"/>
        <v>23669381.73</v>
      </c>
      <c r="M124" s="112">
        <f t="shared" si="181"/>
        <v>0.85994222544388199</v>
      </c>
      <c r="N124" s="112">
        <f t="shared" si="182"/>
        <v>0.89642310024079508</v>
      </c>
      <c r="O124" s="112">
        <f t="shared" si="183"/>
        <v>0.6832931461813021</v>
      </c>
      <c r="P124" s="112">
        <f t="shared" si="184"/>
        <v>0.71547722965207305</v>
      </c>
      <c r="Q124" s="113">
        <f t="shared" si="185"/>
        <v>-30603176.190000057</v>
      </c>
      <c r="R124" s="113">
        <f t="shared" si="186"/>
        <v>-18758109.890000045</v>
      </c>
      <c r="S124" s="113">
        <f t="shared" si="187"/>
        <v>-11845066.299999997</v>
      </c>
      <c r="T124" s="113">
        <f t="shared" si="188"/>
        <v>-9412567.9800000004</v>
      </c>
    </row>
    <row r="125" spans="1:20" s="30" customFormat="1" ht="52.2">
      <c r="A125" s="25" t="s">
        <v>91</v>
      </c>
      <c r="B125" s="25"/>
      <c r="C125" s="25"/>
      <c r="D125" s="10" t="s">
        <v>220</v>
      </c>
      <c r="E125" s="114">
        <f t="shared" ref="E125:E155" si="255">F125+G125</f>
        <v>218503944.44000003</v>
      </c>
      <c r="F125" s="114">
        <f>F126+F128+F131+F134+F136+F142+F146+F148+F130+F133+F145+F149+F150+F132+F155+F127+F129+F138+F143+F147+F135+F139+F140+F141+F144+F137+F151+F152+F153+F154</f>
        <v>181103218.32000002</v>
      </c>
      <c r="G125" s="114">
        <f t="shared" ref="G125:H125" si="256">G126+G128+G131+G134+G136+G142+G146+G148+G130+G133+G145+G149+G150+G132+G155+G127+G129+G138+G143+G147+G135+G139+G140+G141+G144+G137+G151+G152+G153+G154</f>
        <v>37400726.119999997</v>
      </c>
      <c r="H125" s="114">
        <f t="shared" si="256"/>
        <v>33081949.710000001</v>
      </c>
      <c r="I125" s="114">
        <f t="shared" ref="I125" si="257">J125+K125</f>
        <v>187900768.24999997</v>
      </c>
      <c r="J125" s="114">
        <f>J126+J128+J131+J134+J136+J142+J146+J148+J130+J133+J145+J149+J150+J132+J155+J127+J129+J138+J143+J147+J135+J139+J140+J141+J144+J137+J151+J152+J153+J154</f>
        <v>162345108.42999998</v>
      </c>
      <c r="K125" s="114">
        <f t="shared" ref="K125:L125" si="258">K126+K128+K131+K134+K136+K142+K146+K148+K130+K133+K145+K149+K150+K132+K155+K127+K129+K138+K143+K147+K135+K139+K140+K141+K144+K137+K151+K152+K153+K154</f>
        <v>25555659.82</v>
      </c>
      <c r="L125" s="114">
        <f t="shared" si="258"/>
        <v>23669381.73</v>
      </c>
      <c r="M125" s="112">
        <f t="shared" si="181"/>
        <v>0.85994222544388199</v>
      </c>
      <c r="N125" s="112">
        <f t="shared" si="182"/>
        <v>0.89642310024079508</v>
      </c>
      <c r="O125" s="112">
        <f t="shared" si="183"/>
        <v>0.6832931461813021</v>
      </c>
      <c r="P125" s="112">
        <f t="shared" si="184"/>
        <v>0.71547722965207305</v>
      </c>
      <c r="Q125" s="113">
        <f t="shared" si="185"/>
        <v>-30603176.190000057</v>
      </c>
      <c r="R125" s="113">
        <f t="shared" si="186"/>
        <v>-18758109.890000045</v>
      </c>
      <c r="S125" s="113">
        <f t="shared" si="187"/>
        <v>-11845066.299999997</v>
      </c>
      <c r="T125" s="113">
        <f t="shared" si="188"/>
        <v>-9412567.9800000004</v>
      </c>
    </row>
    <row r="126" spans="1:20" s="40" customFormat="1" ht="54">
      <c r="A126" s="23" t="s">
        <v>92</v>
      </c>
      <c r="B126" s="23" t="s">
        <v>58</v>
      </c>
      <c r="C126" s="23" t="s">
        <v>3</v>
      </c>
      <c r="D126" s="24" t="s">
        <v>235</v>
      </c>
      <c r="E126" s="115">
        <f t="shared" si="255"/>
        <v>3590414.11</v>
      </c>
      <c r="F126" s="115">
        <v>3473198.83</v>
      </c>
      <c r="G126" s="115">
        <f>9215.28+108000</f>
        <v>117215.28</v>
      </c>
      <c r="H126" s="115">
        <v>108000</v>
      </c>
      <c r="I126" s="115">
        <f t="shared" si="179"/>
        <v>3928963.96</v>
      </c>
      <c r="J126" s="115">
        <v>3928963.96</v>
      </c>
      <c r="K126" s="115"/>
      <c r="L126" s="115"/>
      <c r="M126" s="116">
        <f t="shared" si="181"/>
        <v>1.0942927026320093</v>
      </c>
      <c r="N126" s="116">
        <f t="shared" si="182"/>
        <v>1.1312234491337774</v>
      </c>
      <c r="O126" s="116">
        <f t="shared" si="183"/>
        <v>0</v>
      </c>
      <c r="P126" s="116">
        <f t="shared" si="184"/>
        <v>0</v>
      </c>
      <c r="Q126" s="117">
        <f t="shared" si="185"/>
        <v>338549.85000000009</v>
      </c>
      <c r="R126" s="117">
        <f t="shared" si="186"/>
        <v>455765.12999999989</v>
      </c>
      <c r="S126" s="117">
        <f t="shared" si="187"/>
        <v>-117215.28</v>
      </c>
      <c r="T126" s="117">
        <f t="shared" si="188"/>
        <v>-108000</v>
      </c>
    </row>
    <row r="127" spans="1:20" s="40" customFormat="1" ht="54">
      <c r="A127" s="23" t="s">
        <v>321</v>
      </c>
      <c r="B127" s="23" t="s">
        <v>117</v>
      </c>
      <c r="C127" s="58" t="s">
        <v>118</v>
      </c>
      <c r="D127" s="41" t="s">
        <v>119</v>
      </c>
      <c r="E127" s="115">
        <f t="shared" si="255"/>
        <v>0</v>
      </c>
      <c r="F127" s="115"/>
      <c r="G127" s="115"/>
      <c r="H127" s="115"/>
      <c r="I127" s="115">
        <f t="shared" si="179"/>
        <v>4600</v>
      </c>
      <c r="J127" s="115">
        <v>4600</v>
      </c>
      <c r="K127" s="115"/>
      <c r="L127" s="115"/>
      <c r="M127" s="116" t="str">
        <f t="shared" si="181"/>
        <v/>
      </c>
      <c r="N127" s="116" t="str">
        <f t="shared" si="182"/>
        <v/>
      </c>
      <c r="O127" s="116" t="str">
        <f t="shared" si="183"/>
        <v/>
      </c>
      <c r="P127" s="116" t="str">
        <f t="shared" si="184"/>
        <v/>
      </c>
      <c r="Q127" s="117">
        <f t="shared" si="185"/>
        <v>4600</v>
      </c>
      <c r="R127" s="117">
        <f t="shared" si="186"/>
        <v>4600</v>
      </c>
      <c r="S127" s="117">
        <f t="shared" si="187"/>
        <v>0</v>
      </c>
      <c r="T127" s="117">
        <f t="shared" si="188"/>
        <v>0</v>
      </c>
    </row>
    <row r="128" spans="1:20" s="40" customFormat="1" ht="36">
      <c r="A128" s="23" t="s">
        <v>228</v>
      </c>
      <c r="B128" s="23" t="s">
        <v>8</v>
      </c>
      <c r="C128" s="23" t="s">
        <v>6</v>
      </c>
      <c r="D128" s="24" t="s">
        <v>108</v>
      </c>
      <c r="E128" s="115">
        <f t="shared" si="255"/>
        <v>44775</v>
      </c>
      <c r="F128" s="115">
        <v>44775</v>
      </c>
      <c r="G128" s="115"/>
      <c r="H128" s="115"/>
      <c r="I128" s="115">
        <f t="shared" si="179"/>
        <v>49900</v>
      </c>
      <c r="J128" s="115">
        <v>49900</v>
      </c>
      <c r="K128" s="115"/>
      <c r="L128" s="115"/>
      <c r="M128" s="116">
        <f t="shared" si="181"/>
        <v>1.1144611948632048</v>
      </c>
      <c r="N128" s="116">
        <f t="shared" si="182"/>
        <v>1.1144611948632048</v>
      </c>
      <c r="O128" s="116" t="str">
        <f t="shared" si="183"/>
        <v/>
      </c>
      <c r="P128" s="116" t="str">
        <f t="shared" si="184"/>
        <v/>
      </c>
      <c r="Q128" s="117">
        <f t="shared" si="185"/>
        <v>5125</v>
      </c>
      <c r="R128" s="117">
        <f t="shared" si="186"/>
        <v>5125</v>
      </c>
      <c r="S128" s="117">
        <f t="shared" si="187"/>
        <v>0</v>
      </c>
      <c r="T128" s="117">
        <f t="shared" si="188"/>
        <v>0</v>
      </c>
    </row>
    <row r="129" spans="1:20" s="40" customFormat="1">
      <c r="A129" s="23" t="s">
        <v>322</v>
      </c>
      <c r="B129" s="23" t="s">
        <v>323</v>
      </c>
      <c r="C129" s="58" t="s">
        <v>330</v>
      </c>
      <c r="D129" s="41" t="s">
        <v>331</v>
      </c>
      <c r="E129" s="115"/>
      <c r="F129" s="115"/>
      <c r="G129" s="115"/>
      <c r="H129" s="115"/>
      <c r="I129" s="115">
        <f t="shared" si="179"/>
        <v>9763.66</v>
      </c>
      <c r="J129" s="115">
        <v>9763.66</v>
      </c>
      <c r="K129" s="115"/>
      <c r="L129" s="115"/>
      <c r="M129" s="116" t="str">
        <f t="shared" si="181"/>
        <v/>
      </c>
      <c r="N129" s="116" t="str">
        <f t="shared" si="182"/>
        <v/>
      </c>
      <c r="O129" s="116" t="str">
        <f t="shared" si="183"/>
        <v/>
      </c>
      <c r="P129" s="116" t="str">
        <f t="shared" si="184"/>
        <v/>
      </c>
      <c r="Q129" s="117">
        <f t="shared" si="185"/>
        <v>9763.66</v>
      </c>
      <c r="R129" s="117">
        <f t="shared" si="186"/>
        <v>9763.66</v>
      </c>
      <c r="S129" s="117">
        <f t="shared" si="187"/>
        <v>0</v>
      </c>
      <c r="T129" s="117">
        <f t="shared" si="188"/>
        <v>0</v>
      </c>
    </row>
    <row r="130" spans="1:20" s="40" customFormat="1" ht="36">
      <c r="A130" s="22">
        <v>1216011</v>
      </c>
      <c r="B130" s="22">
        <v>6011</v>
      </c>
      <c r="C130" s="22" t="s">
        <v>39</v>
      </c>
      <c r="D130" s="68" t="s">
        <v>105</v>
      </c>
      <c r="E130" s="115">
        <f t="shared" si="255"/>
        <v>7285553.0999999996</v>
      </c>
      <c r="F130" s="115">
        <v>49969.4</v>
      </c>
      <c r="G130" s="115">
        <f>4968167.8+2267415.9</f>
        <v>7235583.6999999993</v>
      </c>
      <c r="H130" s="115">
        <f>G130</f>
        <v>7235583.6999999993</v>
      </c>
      <c r="I130" s="115">
        <f t="shared" si="179"/>
        <v>3375920.46</v>
      </c>
      <c r="J130" s="115"/>
      <c r="K130" s="115">
        <v>3375920.46</v>
      </c>
      <c r="L130" s="115">
        <v>3375920.46</v>
      </c>
      <c r="M130" s="116">
        <f t="shared" ref="M130" si="259">IFERROR((I130/E130),"")</f>
        <v>0.46337188318619216</v>
      </c>
      <c r="N130" s="116">
        <f t="shared" ref="N130" si="260">IFERROR((J130/F130),"")</f>
        <v>0</v>
      </c>
      <c r="O130" s="116">
        <f t="shared" ref="O130" si="261">IFERROR((K130/G130),"")</f>
        <v>0.46657195880409763</v>
      </c>
      <c r="P130" s="116">
        <f t="shared" ref="P130" si="262">IFERROR((L130/H130),"")</f>
        <v>0.46657195880409763</v>
      </c>
      <c r="Q130" s="117">
        <f t="shared" si="185"/>
        <v>-3909632.6399999997</v>
      </c>
      <c r="R130" s="117">
        <f t="shared" si="186"/>
        <v>-49969.4</v>
      </c>
      <c r="S130" s="117">
        <f t="shared" si="187"/>
        <v>-3859663.2399999993</v>
      </c>
      <c r="T130" s="117">
        <f t="shared" si="188"/>
        <v>-3859663.2399999993</v>
      </c>
    </row>
    <row r="131" spans="1:20" s="40" customFormat="1" ht="36">
      <c r="A131" s="23" t="s">
        <v>126</v>
      </c>
      <c r="B131" s="23" t="s">
        <v>125</v>
      </c>
      <c r="C131" s="23" t="s">
        <v>7</v>
      </c>
      <c r="D131" s="38" t="s">
        <v>127</v>
      </c>
      <c r="E131" s="115">
        <f t="shared" si="255"/>
        <v>29950179.77</v>
      </c>
      <c r="F131" s="115">
        <v>29950179.77</v>
      </c>
      <c r="G131" s="115"/>
      <c r="H131" s="115"/>
      <c r="I131" s="115">
        <f t="shared" si="179"/>
        <v>0</v>
      </c>
      <c r="J131" s="115"/>
      <c r="K131" s="115"/>
      <c r="L131" s="115"/>
      <c r="M131" s="116">
        <f t="shared" si="181"/>
        <v>0</v>
      </c>
      <c r="N131" s="116">
        <f t="shared" si="182"/>
        <v>0</v>
      </c>
      <c r="O131" s="116" t="str">
        <f t="shared" si="183"/>
        <v/>
      </c>
      <c r="P131" s="116" t="str">
        <f t="shared" si="184"/>
        <v/>
      </c>
      <c r="Q131" s="117">
        <f t="shared" si="185"/>
        <v>-29950179.77</v>
      </c>
      <c r="R131" s="117">
        <f t="shared" si="186"/>
        <v>-29950179.77</v>
      </c>
      <c r="S131" s="117">
        <f t="shared" si="187"/>
        <v>0</v>
      </c>
      <c r="T131" s="117">
        <f t="shared" si="188"/>
        <v>0</v>
      </c>
    </row>
    <row r="132" spans="1:20" s="40" customFormat="1" ht="36">
      <c r="A132" s="61">
        <v>1216013</v>
      </c>
      <c r="B132" s="61">
        <v>6013</v>
      </c>
      <c r="C132" s="62" t="s">
        <v>7</v>
      </c>
      <c r="D132" s="47" t="s">
        <v>107</v>
      </c>
      <c r="E132" s="115">
        <f t="shared" si="255"/>
        <v>3653652</v>
      </c>
      <c r="F132" s="115">
        <v>3530928</v>
      </c>
      <c r="G132" s="115">
        <v>122724</v>
      </c>
      <c r="H132" s="115">
        <f>G132</f>
        <v>122724</v>
      </c>
      <c r="I132" s="115">
        <f t="shared" si="179"/>
        <v>2134448.5</v>
      </c>
      <c r="J132" s="115">
        <v>59886</v>
      </c>
      <c r="K132" s="115">
        <v>2074562.5</v>
      </c>
      <c r="L132" s="115">
        <v>2074562.5</v>
      </c>
      <c r="M132" s="116">
        <f t="shared" ref="M132" si="263">IFERROR((I132/E132),"")</f>
        <v>0.58419589495660784</v>
      </c>
      <c r="N132" s="116">
        <f t="shared" ref="N132" si="264">IFERROR((J132/F132),"")</f>
        <v>1.6960413806228845E-2</v>
      </c>
      <c r="O132" s="116" t="s">
        <v>440</v>
      </c>
      <c r="P132" s="116" t="s">
        <v>440</v>
      </c>
      <c r="Q132" s="117">
        <f t="shared" si="185"/>
        <v>-1519203.5</v>
      </c>
      <c r="R132" s="117">
        <f t="shared" si="186"/>
        <v>-3471042</v>
      </c>
      <c r="S132" s="117">
        <f t="shared" si="187"/>
        <v>1951838.5</v>
      </c>
      <c r="T132" s="117">
        <f t="shared" si="188"/>
        <v>1951838.5</v>
      </c>
    </row>
    <row r="133" spans="1:20" s="40" customFormat="1" ht="36">
      <c r="A133" s="21" t="s">
        <v>287</v>
      </c>
      <c r="B133" s="21" t="s">
        <v>288</v>
      </c>
      <c r="C133" s="21" t="s">
        <v>7</v>
      </c>
      <c r="D133" s="68" t="s">
        <v>289</v>
      </c>
      <c r="E133" s="115">
        <f t="shared" si="255"/>
        <v>879174.89</v>
      </c>
      <c r="F133" s="115"/>
      <c r="G133" s="115">
        <v>879174.89</v>
      </c>
      <c r="H133" s="115">
        <f>G133</f>
        <v>879174.89</v>
      </c>
      <c r="I133" s="115">
        <f t="shared" si="179"/>
        <v>35060.639999999999</v>
      </c>
      <c r="J133" s="115"/>
      <c r="K133" s="115">
        <v>35060.639999999999</v>
      </c>
      <c r="L133" s="115">
        <v>35060.639999999999</v>
      </c>
      <c r="M133" s="116">
        <f t="shared" si="181"/>
        <v>3.9879027937205984E-2</v>
      </c>
      <c r="N133" s="116" t="str">
        <f t="shared" si="182"/>
        <v/>
      </c>
      <c r="O133" s="116">
        <f t="shared" si="183"/>
        <v>3.9879027937205984E-2</v>
      </c>
      <c r="P133" s="116">
        <f t="shared" si="184"/>
        <v>3.9879027937205984E-2</v>
      </c>
      <c r="Q133" s="117">
        <f t="shared" si="185"/>
        <v>-844114.25</v>
      </c>
      <c r="R133" s="117">
        <f t="shared" si="186"/>
        <v>0</v>
      </c>
      <c r="S133" s="117">
        <f t="shared" si="187"/>
        <v>-844114.25</v>
      </c>
      <c r="T133" s="117">
        <f t="shared" si="188"/>
        <v>-844114.25</v>
      </c>
    </row>
    <row r="134" spans="1:20" s="40" customFormat="1" ht="36">
      <c r="A134" s="23" t="s">
        <v>154</v>
      </c>
      <c r="B134" s="23" t="s">
        <v>155</v>
      </c>
      <c r="C134" s="23" t="s">
        <v>7</v>
      </c>
      <c r="D134" s="38" t="s">
        <v>156</v>
      </c>
      <c r="E134" s="115">
        <f t="shared" si="255"/>
        <v>1053204.74</v>
      </c>
      <c r="F134" s="115">
        <v>1053204.74</v>
      </c>
      <c r="G134" s="115"/>
      <c r="H134" s="115">
        <f t="shared" ref="H134:H138" si="265">G134</f>
        <v>0</v>
      </c>
      <c r="I134" s="115">
        <f t="shared" si="179"/>
        <v>1596179.1199999999</v>
      </c>
      <c r="J134" s="115">
        <v>1492140.92</v>
      </c>
      <c r="K134" s="115">
        <v>104038.2</v>
      </c>
      <c r="L134" s="115">
        <v>104038.2</v>
      </c>
      <c r="M134" s="116">
        <f t="shared" si="181"/>
        <v>1.5155449452306871</v>
      </c>
      <c r="N134" s="116">
        <f t="shared" si="182"/>
        <v>1.4167624425997172</v>
      </c>
      <c r="O134" s="116" t="str">
        <f t="shared" si="183"/>
        <v/>
      </c>
      <c r="P134" s="116" t="str">
        <f t="shared" si="184"/>
        <v/>
      </c>
      <c r="Q134" s="117">
        <f t="shared" si="185"/>
        <v>542974.37999999989</v>
      </c>
      <c r="R134" s="117">
        <f t="shared" si="186"/>
        <v>438936.17999999993</v>
      </c>
      <c r="S134" s="117">
        <f t="shared" si="187"/>
        <v>104038.2</v>
      </c>
      <c r="T134" s="117">
        <f t="shared" si="188"/>
        <v>104038.2</v>
      </c>
    </row>
    <row r="135" spans="1:20" s="40" customFormat="1" ht="72">
      <c r="A135" s="21">
        <v>1216020</v>
      </c>
      <c r="B135" s="21">
        <v>6020</v>
      </c>
      <c r="C135" s="21" t="s">
        <v>7</v>
      </c>
      <c r="D135" s="81" t="s">
        <v>381</v>
      </c>
      <c r="E135" s="115">
        <f t="shared" ref="E135" si="266">F135+G135</f>
        <v>176886</v>
      </c>
      <c r="F135" s="115">
        <v>76896</v>
      </c>
      <c r="G135" s="115">
        <v>99990</v>
      </c>
      <c r="H135" s="115">
        <f t="shared" si="265"/>
        <v>99990</v>
      </c>
      <c r="I135" s="115">
        <f t="shared" ref="I135" si="267">J135+K135</f>
        <v>932952</v>
      </c>
      <c r="J135" s="115"/>
      <c r="K135" s="115">
        <v>932952</v>
      </c>
      <c r="L135" s="115">
        <v>932952</v>
      </c>
      <c r="M135" s="116" t="s">
        <v>355</v>
      </c>
      <c r="N135" s="116">
        <f t="shared" ref="N135" si="268">IFERROR((J135/F135),"")</f>
        <v>0</v>
      </c>
      <c r="O135" s="116" t="s">
        <v>353</v>
      </c>
      <c r="P135" s="116" t="s">
        <v>353</v>
      </c>
      <c r="Q135" s="117">
        <f t="shared" ref="Q135" si="269">I135-E135</f>
        <v>756066</v>
      </c>
      <c r="R135" s="117">
        <f t="shared" ref="R135" si="270">J135-F135</f>
        <v>-76896</v>
      </c>
      <c r="S135" s="117">
        <f t="shared" ref="S135" si="271">K135-G135</f>
        <v>832962</v>
      </c>
      <c r="T135" s="117">
        <f t="shared" ref="T135" si="272">L135-H135</f>
        <v>832962</v>
      </c>
    </row>
    <row r="136" spans="1:20" s="40" customFormat="1">
      <c r="A136" s="23" t="s">
        <v>93</v>
      </c>
      <c r="B136" s="23" t="s">
        <v>40</v>
      </c>
      <c r="C136" s="23" t="s">
        <v>7</v>
      </c>
      <c r="D136" s="24" t="s">
        <v>55</v>
      </c>
      <c r="E136" s="115">
        <f t="shared" si="255"/>
        <v>68241032.849999994</v>
      </c>
      <c r="F136" s="115">
        <f>31854860.18+17855056.58+575789.12+17156053.86</f>
        <v>67441759.739999995</v>
      </c>
      <c r="G136" s="115">
        <f>700294.11+98979</f>
        <v>799273.11</v>
      </c>
      <c r="H136" s="115">
        <f t="shared" si="265"/>
        <v>799273.11</v>
      </c>
      <c r="I136" s="115">
        <f t="shared" si="179"/>
        <v>74559790.600000009</v>
      </c>
      <c r="J136" s="115">
        <f>37209293.65+19020650+17151351.3</f>
        <v>73381294.950000003</v>
      </c>
      <c r="K136" s="115">
        <f>34400+1144095.65</f>
        <v>1178495.6499999999</v>
      </c>
      <c r="L136" s="115">
        <f>34400</f>
        <v>34400</v>
      </c>
      <c r="M136" s="116">
        <f t="shared" si="181"/>
        <v>1.0925946968576694</v>
      </c>
      <c r="N136" s="116">
        <f t="shared" si="182"/>
        <v>1.0880691018872872</v>
      </c>
      <c r="O136" s="116">
        <f t="shared" si="183"/>
        <v>1.4744592746276675</v>
      </c>
      <c r="P136" s="116">
        <f t="shared" si="184"/>
        <v>4.3039105869581928E-2</v>
      </c>
      <c r="Q136" s="117">
        <f t="shared" si="185"/>
        <v>6318757.7500000149</v>
      </c>
      <c r="R136" s="117">
        <f t="shared" si="186"/>
        <v>5939535.2100000083</v>
      </c>
      <c r="S136" s="117">
        <f t="shared" si="187"/>
        <v>379222.53999999992</v>
      </c>
      <c r="T136" s="117">
        <f t="shared" si="188"/>
        <v>-764873.11</v>
      </c>
    </row>
    <row r="137" spans="1:20" s="40" customFormat="1">
      <c r="A137" s="128">
        <v>1217130</v>
      </c>
      <c r="B137" s="128">
        <v>7130</v>
      </c>
      <c r="C137" s="129" t="s">
        <v>349</v>
      </c>
      <c r="D137" s="90" t="s">
        <v>350</v>
      </c>
      <c r="E137" s="115">
        <f t="shared" ref="E137" si="273">F137+G137</f>
        <v>0</v>
      </c>
      <c r="F137" s="115"/>
      <c r="G137" s="115"/>
      <c r="H137" s="115">
        <f t="shared" ref="H137" si="274">G137</f>
        <v>0</v>
      </c>
      <c r="I137" s="115">
        <f t="shared" ref="I137" si="275">J137+K137</f>
        <v>55000</v>
      </c>
      <c r="J137" s="115">
        <v>55000</v>
      </c>
      <c r="K137" s="115"/>
      <c r="L137" s="115"/>
      <c r="M137" s="116" t="str">
        <f t="shared" ref="M137" si="276">IFERROR((I137/E137),"")</f>
        <v/>
      </c>
      <c r="N137" s="116" t="str">
        <f t="shared" ref="N137" si="277">IFERROR((J137/F137),"")</f>
        <v/>
      </c>
      <c r="O137" s="116" t="str">
        <f t="shared" ref="O137" si="278">IFERROR((K137/G137),"")</f>
        <v/>
      </c>
      <c r="P137" s="116" t="str">
        <f t="shared" ref="P137" si="279">IFERROR((L137/H137),"")</f>
        <v/>
      </c>
      <c r="Q137" s="117">
        <f t="shared" ref="Q137" si="280">I137-E137</f>
        <v>55000</v>
      </c>
      <c r="R137" s="117">
        <f t="shared" ref="R137" si="281">J137-F137</f>
        <v>55000</v>
      </c>
      <c r="S137" s="117">
        <f t="shared" ref="S137" si="282">K137-G137</f>
        <v>0</v>
      </c>
      <c r="T137" s="117">
        <f t="shared" ref="T137" si="283">L137-H137</f>
        <v>0</v>
      </c>
    </row>
    <row r="138" spans="1:20" s="40" customFormat="1" ht="36">
      <c r="A138" s="22" t="s">
        <v>340</v>
      </c>
      <c r="B138" s="22" t="s">
        <v>327</v>
      </c>
      <c r="C138" s="22" t="s">
        <v>269</v>
      </c>
      <c r="D138" s="68" t="s">
        <v>328</v>
      </c>
      <c r="E138" s="115">
        <f t="shared" si="255"/>
        <v>4444844.7300000004</v>
      </c>
      <c r="F138" s="115"/>
      <c r="G138" s="115">
        <f>297682.55+1079585.33+3067576.85</f>
        <v>4444844.7300000004</v>
      </c>
      <c r="H138" s="115">
        <f t="shared" si="265"/>
        <v>4444844.7300000004</v>
      </c>
      <c r="I138" s="115">
        <f t="shared" si="179"/>
        <v>0</v>
      </c>
      <c r="J138" s="115"/>
      <c r="K138" s="115"/>
      <c r="L138" s="115"/>
      <c r="M138" s="116">
        <f t="shared" si="181"/>
        <v>0</v>
      </c>
      <c r="N138" s="116" t="str">
        <f t="shared" si="182"/>
        <v/>
      </c>
      <c r="O138" s="116">
        <f t="shared" si="183"/>
        <v>0</v>
      </c>
      <c r="P138" s="116">
        <f t="shared" si="184"/>
        <v>0</v>
      </c>
      <c r="Q138" s="117">
        <f t="shared" si="185"/>
        <v>-4444844.7300000004</v>
      </c>
      <c r="R138" s="117">
        <f t="shared" si="186"/>
        <v>0</v>
      </c>
      <c r="S138" s="117">
        <f t="shared" si="187"/>
        <v>-4444844.7300000004</v>
      </c>
      <c r="T138" s="117">
        <f t="shared" si="188"/>
        <v>-4444844.7300000004</v>
      </c>
    </row>
    <row r="139" spans="1:20" s="40" customFormat="1" ht="36">
      <c r="A139" s="22" t="s">
        <v>382</v>
      </c>
      <c r="B139" s="22" t="s">
        <v>383</v>
      </c>
      <c r="C139" s="22" t="s">
        <v>20</v>
      </c>
      <c r="D139" s="81" t="s">
        <v>309</v>
      </c>
      <c r="E139" s="115">
        <f t="shared" ref="E139:E141" si="284">F139+G139</f>
        <v>99700</v>
      </c>
      <c r="F139" s="115">
        <v>99700</v>
      </c>
      <c r="G139" s="115"/>
      <c r="H139" s="115"/>
      <c r="I139" s="115">
        <f t="shared" ref="I139:I141" si="285">J139+K139</f>
        <v>0</v>
      </c>
      <c r="J139" s="115"/>
      <c r="K139" s="115"/>
      <c r="L139" s="115"/>
      <c r="M139" s="116">
        <f t="shared" ref="M139:M141" si="286">IFERROR((I139/E139),"")</f>
        <v>0</v>
      </c>
      <c r="N139" s="116">
        <f t="shared" ref="N139:N141" si="287">IFERROR((J139/F139),"")</f>
        <v>0</v>
      </c>
      <c r="O139" s="116" t="str">
        <f t="shared" ref="O139:O141" si="288">IFERROR((K139/G139),"")</f>
        <v/>
      </c>
      <c r="P139" s="116" t="str">
        <f t="shared" ref="P139:P141" si="289">IFERROR((L139/H139),"")</f>
        <v/>
      </c>
      <c r="Q139" s="117">
        <f t="shared" ref="Q139:Q141" si="290">I139-E139</f>
        <v>-99700</v>
      </c>
      <c r="R139" s="117">
        <f t="shared" ref="R139:R141" si="291">J139-F139</f>
        <v>-99700</v>
      </c>
      <c r="S139" s="117">
        <f t="shared" ref="S139:S141" si="292">K139-G139</f>
        <v>0</v>
      </c>
      <c r="T139" s="117">
        <f t="shared" ref="T139:T141" si="293">L139-H139</f>
        <v>0</v>
      </c>
    </row>
    <row r="140" spans="1:20" s="40" customFormat="1" ht="72">
      <c r="A140" s="22" t="s">
        <v>384</v>
      </c>
      <c r="B140" s="22" t="s">
        <v>385</v>
      </c>
      <c r="C140" s="22" t="s">
        <v>20</v>
      </c>
      <c r="D140" s="81" t="s">
        <v>386</v>
      </c>
      <c r="E140" s="115">
        <f t="shared" si="284"/>
        <v>297595.03000000003</v>
      </c>
      <c r="F140" s="115">
        <v>297595.03000000003</v>
      </c>
      <c r="G140" s="115"/>
      <c r="H140" s="115"/>
      <c r="I140" s="115">
        <f t="shared" si="285"/>
        <v>0</v>
      </c>
      <c r="J140" s="115"/>
      <c r="K140" s="115"/>
      <c r="L140" s="115"/>
      <c r="M140" s="116">
        <f t="shared" si="286"/>
        <v>0</v>
      </c>
      <c r="N140" s="116">
        <f t="shared" si="287"/>
        <v>0</v>
      </c>
      <c r="O140" s="116" t="str">
        <f t="shared" si="288"/>
        <v/>
      </c>
      <c r="P140" s="116" t="str">
        <f t="shared" si="289"/>
        <v/>
      </c>
      <c r="Q140" s="117">
        <f t="shared" si="290"/>
        <v>-297595.03000000003</v>
      </c>
      <c r="R140" s="117">
        <f t="shared" si="291"/>
        <v>-297595.03000000003</v>
      </c>
      <c r="S140" s="117">
        <f t="shared" si="292"/>
        <v>0</v>
      </c>
      <c r="T140" s="117">
        <f t="shared" si="293"/>
        <v>0</v>
      </c>
    </row>
    <row r="141" spans="1:20" s="40" customFormat="1" ht="72">
      <c r="A141" s="22" t="s">
        <v>387</v>
      </c>
      <c r="B141" s="22" t="s">
        <v>388</v>
      </c>
      <c r="C141" s="22" t="s">
        <v>20</v>
      </c>
      <c r="D141" s="81" t="s">
        <v>389</v>
      </c>
      <c r="E141" s="115">
        <f t="shared" si="284"/>
        <v>130000</v>
      </c>
      <c r="F141" s="115">
        <v>130000</v>
      </c>
      <c r="G141" s="115"/>
      <c r="H141" s="115"/>
      <c r="I141" s="115">
        <f t="shared" si="285"/>
        <v>0</v>
      </c>
      <c r="J141" s="115"/>
      <c r="K141" s="115"/>
      <c r="L141" s="115"/>
      <c r="M141" s="116">
        <f t="shared" si="286"/>
        <v>0</v>
      </c>
      <c r="N141" s="116">
        <f t="shared" si="287"/>
        <v>0</v>
      </c>
      <c r="O141" s="116" t="str">
        <f t="shared" si="288"/>
        <v/>
      </c>
      <c r="P141" s="116" t="str">
        <f t="shared" si="289"/>
        <v/>
      </c>
      <c r="Q141" s="117">
        <f t="shared" si="290"/>
        <v>-130000</v>
      </c>
      <c r="R141" s="117">
        <f t="shared" si="291"/>
        <v>-130000</v>
      </c>
      <c r="S141" s="117">
        <f t="shared" si="292"/>
        <v>0</v>
      </c>
      <c r="T141" s="117">
        <f t="shared" si="293"/>
        <v>0</v>
      </c>
    </row>
    <row r="142" spans="1:20" s="40" customFormat="1" ht="54">
      <c r="A142" s="23" t="s">
        <v>124</v>
      </c>
      <c r="B142" s="23" t="s">
        <v>102</v>
      </c>
      <c r="C142" s="23" t="s">
        <v>41</v>
      </c>
      <c r="D142" s="38" t="s">
        <v>103</v>
      </c>
      <c r="E142" s="115">
        <f t="shared" si="255"/>
        <v>23999998.800000001</v>
      </c>
      <c r="F142" s="115">
        <v>23999998.800000001</v>
      </c>
      <c r="G142" s="115"/>
      <c r="H142" s="115"/>
      <c r="I142" s="115">
        <f t="shared" si="179"/>
        <v>25688469.600000001</v>
      </c>
      <c r="J142" s="115">
        <v>25688469.600000001</v>
      </c>
      <c r="K142" s="115"/>
      <c r="L142" s="115"/>
      <c r="M142" s="116">
        <f t="shared" si="181"/>
        <v>1.0703529535176477</v>
      </c>
      <c r="N142" s="116">
        <f t="shared" si="182"/>
        <v>1.0703529535176477</v>
      </c>
      <c r="O142" s="116" t="str">
        <f t="shared" si="183"/>
        <v/>
      </c>
      <c r="P142" s="116" t="str">
        <f t="shared" si="184"/>
        <v/>
      </c>
      <c r="Q142" s="117">
        <f t="shared" si="185"/>
        <v>1688470.8000000007</v>
      </c>
      <c r="R142" s="117">
        <f t="shared" si="186"/>
        <v>1688470.8000000007</v>
      </c>
      <c r="S142" s="117">
        <f t="shared" si="187"/>
        <v>0</v>
      </c>
      <c r="T142" s="117">
        <f t="shared" si="188"/>
        <v>0</v>
      </c>
    </row>
    <row r="143" spans="1:20" s="40" customFormat="1">
      <c r="A143" s="21">
        <v>1217640</v>
      </c>
      <c r="B143" s="21">
        <v>7640</v>
      </c>
      <c r="C143" s="22" t="s">
        <v>273</v>
      </c>
      <c r="D143" s="68" t="s">
        <v>274</v>
      </c>
      <c r="E143" s="115">
        <f t="shared" si="255"/>
        <v>293519.15999999997</v>
      </c>
      <c r="F143" s="115"/>
      <c r="G143" s="115">
        <f>293519.16</f>
        <v>293519.15999999997</v>
      </c>
      <c r="H143" s="115">
        <f>G143</f>
        <v>293519.15999999997</v>
      </c>
      <c r="I143" s="115">
        <f t="shared" si="179"/>
        <v>0</v>
      </c>
      <c r="J143" s="115"/>
      <c r="K143" s="115"/>
      <c r="L143" s="115"/>
      <c r="M143" s="116">
        <f t="shared" si="181"/>
        <v>0</v>
      </c>
      <c r="N143" s="116" t="str">
        <f t="shared" si="182"/>
        <v/>
      </c>
      <c r="O143" s="116">
        <f t="shared" si="183"/>
        <v>0</v>
      </c>
      <c r="P143" s="116">
        <f t="shared" si="184"/>
        <v>0</v>
      </c>
      <c r="Q143" s="117">
        <f t="shared" si="185"/>
        <v>-293519.15999999997</v>
      </c>
      <c r="R143" s="117">
        <f t="shared" si="186"/>
        <v>0</v>
      </c>
      <c r="S143" s="117">
        <f t="shared" si="187"/>
        <v>-293519.15999999997</v>
      </c>
      <c r="T143" s="117">
        <f t="shared" si="188"/>
        <v>-293519.15999999997</v>
      </c>
    </row>
    <row r="144" spans="1:20" s="40" customFormat="1" ht="36">
      <c r="A144" s="21">
        <v>1217670</v>
      </c>
      <c r="B144" s="21">
        <v>7670</v>
      </c>
      <c r="C144" s="22" t="s">
        <v>20</v>
      </c>
      <c r="D144" s="81" t="s">
        <v>390</v>
      </c>
      <c r="E144" s="115">
        <f t="shared" ref="E144" si="294">F144+G144</f>
        <v>11733310</v>
      </c>
      <c r="F144" s="115"/>
      <c r="G144" s="115">
        <f>11221310+512000</f>
        <v>11733310</v>
      </c>
      <c r="H144" s="115">
        <f>G144</f>
        <v>11733310</v>
      </c>
      <c r="I144" s="115">
        <f t="shared" ref="I144" si="295">J144+K144</f>
        <v>14519595</v>
      </c>
      <c r="J144" s="115"/>
      <c r="K144" s="115">
        <f>1792500+12175900+551195</f>
        <v>14519595</v>
      </c>
      <c r="L144" s="115">
        <f>1792500+12175900+551195</f>
        <v>14519595</v>
      </c>
      <c r="M144" s="116">
        <f t="shared" ref="M144" si="296">IFERROR((I144/E144),"")</f>
        <v>1.2374679438282974</v>
      </c>
      <c r="N144" s="116" t="str">
        <f t="shared" ref="N144" si="297">IFERROR((J144/F144),"")</f>
        <v/>
      </c>
      <c r="O144" s="116">
        <f t="shared" ref="O144" si="298">IFERROR((K144/G144),"")</f>
        <v>1.2374679438282974</v>
      </c>
      <c r="P144" s="116">
        <f t="shared" ref="P144" si="299">IFERROR((L144/H144),"")</f>
        <v>1.2374679438282974</v>
      </c>
      <c r="Q144" s="117">
        <f t="shared" ref="Q144" si="300">I144-E144</f>
        <v>2786285</v>
      </c>
      <c r="R144" s="117">
        <f t="shared" ref="R144" si="301">J144-F144</f>
        <v>0</v>
      </c>
      <c r="S144" s="117">
        <f t="shared" ref="S144" si="302">K144-G144</f>
        <v>2786285</v>
      </c>
      <c r="T144" s="117">
        <f t="shared" ref="T144" si="303">L144-H144</f>
        <v>2786285</v>
      </c>
    </row>
    <row r="145" spans="1:20" s="40" customFormat="1" ht="162">
      <c r="A145" s="22">
        <v>1217691</v>
      </c>
      <c r="B145" s="22">
        <v>7691</v>
      </c>
      <c r="C145" s="22" t="s">
        <v>20</v>
      </c>
      <c r="D145" s="68" t="s">
        <v>290</v>
      </c>
      <c r="E145" s="115">
        <f t="shared" si="255"/>
        <v>430001.19</v>
      </c>
      <c r="F145" s="115"/>
      <c r="G145" s="115">
        <v>430001.19</v>
      </c>
      <c r="H145" s="115"/>
      <c r="I145" s="115">
        <f t="shared" si="179"/>
        <v>222381</v>
      </c>
      <c r="J145" s="115"/>
      <c r="K145" s="115">
        <v>222381</v>
      </c>
      <c r="L145" s="115"/>
      <c r="M145" s="116">
        <f t="shared" si="181"/>
        <v>0.51716368505863897</v>
      </c>
      <c r="N145" s="116" t="str">
        <f t="shared" si="182"/>
        <v/>
      </c>
      <c r="O145" s="116">
        <f t="shared" si="183"/>
        <v>0.51716368505863897</v>
      </c>
      <c r="P145" s="116" t="str">
        <f t="shared" si="184"/>
        <v/>
      </c>
      <c r="Q145" s="117">
        <f t="shared" si="185"/>
        <v>-207620.19</v>
      </c>
      <c r="R145" s="117">
        <f t="shared" si="186"/>
        <v>0</v>
      </c>
      <c r="S145" s="117">
        <f t="shared" si="187"/>
        <v>-207620.19</v>
      </c>
      <c r="T145" s="117">
        <f t="shared" si="188"/>
        <v>0</v>
      </c>
    </row>
    <row r="146" spans="1:20" s="40" customFormat="1" ht="36">
      <c r="A146" s="21">
        <v>1217693</v>
      </c>
      <c r="B146" s="21" t="s">
        <v>134</v>
      </c>
      <c r="C146" s="21" t="s">
        <v>20</v>
      </c>
      <c r="D146" s="68" t="s">
        <v>244</v>
      </c>
      <c r="E146" s="115">
        <f t="shared" si="255"/>
        <v>52514529.680000007</v>
      </c>
      <c r="F146" s="115">
        <f>8739790.82+197849.6+38465220.06</f>
        <v>47402860.480000004</v>
      </c>
      <c r="G146" s="115">
        <f>5111669.2</f>
        <v>5111669.2</v>
      </c>
      <c r="H146" s="115">
        <f>G146</f>
        <v>5111669.2</v>
      </c>
      <c r="I146" s="115">
        <f t="shared" si="179"/>
        <v>53872818.43</v>
      </c>
      <c r="J146" s="115">
        <f>3709985.45+26000000+24162832.98</f>
        <v>53872818.43</v>
      </c>
      <c r="K146" s="115"/>
      <c r="L146" s="115"/>
      <c r="M146" s="116">
        <f t="shared" si="181"/>
        <v>1.0258650083753353</v>
      </c>
      <c r="N146" s="116">
        <f t="shared" si="182"/>
        <v>1.1364887663842516</v>
      </c>
      <c r="O146" s="116">
        <f t="shared" si="183"/>
        <v>0</v>
      </c>
      <c r="P146" s="116">
        <f t="shared" si="184"/>
        <v>0</v>
      </c>
      <c r="Q146" s="117">
        <f t="shared" si="185"/>
        <v>1358288.7499999925</v>
      </c>
      <c r="R146" s="117">
        <f t="shared" si="186"/>
        <v>6469957.9499999955</v>
      </c>
      <c r="S146" s="117">
        <f t="shared" si="187"/>
        <v>-5111669.2</v>
      </c>
      <c r="T146" s="117">
        <f t="shared" si="188"/>
        <v>-5111669.2</v>
      </c>
    </row>
    <row r="147" spans="1:20" s="40" customFormat="1" ht="72">
      <c r="A147" s="21">
        <v>1217700</v>
      </c>
      <c r="B147" s="21">
        <v>7700</v>
      </c>
      <c r="C147" s="22" t="s">
        <v>6</v>
      </c>
      <c r="D147" s="68" t="s">
        <v>341</v>
      </c>
      <c r="E147" s="115">
        <f t="shared" si="255"/>
        <v>3514793.36</v>
      </c>
      <c r="F147" s="115"/>
      <c r="G147" s="115">
        <f>3514793.36</f>
        <v>3514793.36</v>
      </c>
      <c r="H147" s="115"/>
      <c r="I147" s="115">
        <f t="shared" si="179"/>
        <v>420801.44</v>
      </c>
      <c r="J147" s="115"/>
      <c r="K147" s="115">
        <v>420801.44</v>
      </c>
      <c r="L147" s="115"/>
      <c r="M147" s="116">
        <f t="shared" si="181"/>
        <v>0.1197229529305814</v>
      </c>
      <c r="N147" s="116" t="str">
        <f t="shared" si="182"/>
        <v/>
      </c>
      <c r="O147" s="116">
        <f t="shared" si="183"/>
        <v>0.1197229529305814</v>
      </c>
      <c r="P147" s="116" t="str">
        <f t="shared" si="184"/>
        <v/>
      </c>
      <c r="Q147" s="117">
        <f t="shared" si="185"/>
        <v>-3093991.92</v>
      </c>
      <c r="R147" s="117">
        <f t="shared" si="186"/>
        <v>0</v>
      </c>
      <c r="S147" s="117">
        <f t="shared" si="187"/>
        <v>-3093991.92</v>
      </c>
      <c r="T147" s="117">
        <f t="shared" si="188"/>
        <v>0</v>
      </c>
    </row>
    <row r="148" spans="1:20" s="40" customFormat="1" ht="54">
      <c r="A148" s="21">
        <v>1218110</v>
      </c>
      <c r="B148" s="21">
        <v>8110</v>
      </c>
      <c r="C148" s="22" t="s">
        <v>5</v>
      </c>
      <c r="D148" s="68" t="s">
        <v>136</v>
      </c>
      <c r="E148" s="115">
        <f t="shared" si="255"/>
        <v>5636410.4499999993</v>
      </c>
      <c r="F148" s="115">
        <f>2967480.12+107842.01+41299.4+265928</f>
        <v>3382549.53</v>
      </c>
      <c r="G148" s="115">
        <f>839973.03+1413887.89</f>
        <v>2253860.92</v>
      </c>
      <c r="H148" s="115">
        <f>839973.03+1413887.89</f>
        <v>2253860.92</v>
      </c>
      <c r="I148" s="115">
        <f t="shared" si="179"/>
        <v>4382689.62</v>
      </c>
      <c r="J148" s="115">
        <f>1986239.59+248666.48+723456.72</f>
        <v>2958362.79</v>
      </c>
      <c r="K148" s="115">
        <f>629621+122205.83+672500</f>
        <v>1424326.83</v>
      </c>
      <c r="L148" s="115">
        <f>629621+122205.83+672500</f>
        <v>1424326.83</v>
      </c>
      <c r="M148" s="116">
        <f t="shared" si="181"/>
        <v>0.77756750663891072</v>
      </c>
      <c r="N148" s="116">
        <f t="shared" si="182"/>
        <v>0.87459555692004909</v>
      </c>
      <c r="O148" s="116">
        <f t="shared" si="183"/>
        <v>0.63194974337635712</v>
      </c>
      <c r="P148" s="116">
        <f t="shared" si="184"/>
        <v>0.63194974337635712</v>
      </c>
      <c r="Q148" s="117">
        <f t="shared" si="185"/>
        <v>-1253720.8299999991</v>
      </c>
      <c r="R148" s="117">
        <f t="shared" si="186"/>
        <v>-424186.73999999976</v>
      </c>
      <c r="S148" s="117">
        <f t="shared" si="187"/>
        <v>-829534.08999999985</v>
      </c>
      <c r="T148" s="117">
        <f t="shared" si="188"/>
        <v>-829534.08999999985</v>
      </c>
    </row>
    <row r="149" spans="1:20" s="40" customFormat="1">
      <c r="A149" s="21">
        <v>1218240</v>
      </c>
      <c r="B149" s="21">
        <v>8240</v>
      </c>
      <c r="C149" s="22" t="s">
        <v>221</v>
      </c>
      <c r="D149" s="20" t="s">
        <v>245</v>
      </c>
      <c r="E149" s="115">
        <f t="shared" si="255"/>
        <v>466169.58</v>
      </c>
      <c r="F149" s="115">
        <v>101403</v>
      </c>
      <c r="G149" s="115">
        <f>306868.25+57898.33</f>
        <v>364766.58</v>
      </c>
      <c r="H149" s="115"/>
      <c r="I149" s="115">
        <f t="shared" si="179"/>
        <v>12700</v>
      </c>
      <c r="J149" s="115">
        <v>12700</v>
      </c>
      <c r="K149" s="115"/>
      <c r="L149" s="115"/>
      <c r="M149" s="116">
        <f t="shared" si="181"/>
        <v>2.7243304893468167E-2</v>
      </c>
      <c r="N149" s="116">
        <f t="shared" si="182"/>
        <v>0.12524284291391774</v>
      </c>
      <c r="O149" s="116">
        <f t="shared" si="183"/>
        <v>0</v>
      </c>
      <c r="P149" s="116" t="str">
        <f t="shared" si="184"/>
        <v/>
      </c>
      <c r="Q149" s="117">
        <f t="shared" si="185"/>
        <v>-453469.58</v>
      </c>
      <c r="R149" s="117">
        <f t="shared" si="186"/>
        <v>-88703</v>
      </c>
      <c r="S149" s="117">
        <f t="shared" si="187"/>
        <v>-364766.58</v>
      </c>
      <c r="T149" s="117">
        <f t="shared" si="188"/>
        <v>0</v>
      </c>
    </row>
    <row r="150" spans="1:20" s="40" customFormat="1" ht="36">
      <c r="A150" s="21">
        <v>1218340</v>
      </c>
      <c r="B150" s="21">
        <v>8340</v>
      </c>
      <c r="C150" s="22" t="s">
        <v>291</v>
      </c>
      <c r="D150" s="20" t="s">
        <v>292</v>
      </c>
      <c r="E150" s="115">
        <f t="shared" si="255"/>
        <v>0</v>
      </c>
      <c r="F150" s="115"/>
      <c r="G150" s="115"/>
      <c r="H150" s="115"/>
      <c r="I150" s="115">
        <f t="shared" si="179"/>
        <v>99000</v>
      </c>
      <c r="J150" s="115"/>
      <c r="K150" s="115">
        <v>99000</v>
      </c>
      <c r="L150" s="115"/>
      <c r="M150" s="116" t="str">
        <f t="shared" si="181"/>
        <v/>
      </c>
      <c r="N150" s="116" t="str">
        <f t="shared" si="182"/>
        <v/>
      </c>
      <c r="O150" s="116" t="str">
        <f t="shared" si="183"/>
        <v/>
      </c>
      <c r="P150" s="116" t="str">
        <f t="shared" si="184"/>
        <v/>
      </c>
      <c r="Q150" s="117">
        <f t="shared" si="185"/>
        <v>99000</v>
      </c>
      <c r="R150" s="117">
        <f t="shared" si="186"/>
        <v>0</v>
      </c>
      <c r="S150" s="117">
        <f t="shared" si="187"/>
        <v>99000</v>
      </c>
      <c r="T150" s="117">
        <f t="shared" si="188"/>
        <v>0</v>
      </c>
    </row>
    <row r="151" spans="1:20" s="40" customFormat="1" ht="62.4">
      <c r="A151" s="130" t="s">
        <v>412</v>
      </c>
      <c r="B151" s="131">
        <v>8733</v>
      </c>
      <c r="C151" s="130" t="s">
        <v>41</v>
      </c>
      <c r="D151" s="91" t="s">
        <v>413</v>
      </c>
      <c r="E151" s="115">
        <f t="shared" ref="E151" si="304">F151+G151</f>
        <v>0</v>
      </c>
      <c r="F151" s="115"/>
      <c r="G151" s="115"/>
      <c r="H151" s="115"/>
      <c r="I151" s="115">
        <f t="shared" ref="I151" si="305">J151+K151</f>
        <v>676289.7</v>
      </c>
      <c r="J151" s="115">
        <v>182391.6</v>
      </c>
      <c r="K151" s="115">
        <v>493898.1</v>
      </c>
      <c r="L151" s="115">
        <v>493898.1</v>
      </c>
      <c r="M151" s="116" t="str">
        <f t="shared" ref="M151" si="306">IFERROR((I151/E151),"")</f>
        <v/>
      </c>
      <c r="N151" s="116" t="str">
        <f t="shared" ref="N151" si="307">IFERROR((J151/F151),"")</f>
        <v/>
      </c>
      <c r="O151" s="116" t="str">
        <f t="shared" ref="O151" si="308">IFERROR((K151/G151),"")</f>
        <v/>
      </c>
      <c r="P151" s="116" t="str">
        <f t="shared" ref="P151" si="309">IFERROR((L151/H151),"")</f>
        <v/>
      </c>
      <c r="Q151" s="117">
        <f t="shared" ref="Q151" si="310">I151-E151</f>
        <v>676289.7</v>
      </c>
      <c r="R151" s="117">
        <f t="shared" ref="R151" si="311">J151-F151</f>
        <v>182391.6</v>
      </c>
      <c r="S151" s="117">
        <f t="shared" ref="S151" si="312">K151-G151</f>
        <v>493898.1</v>
      </c>
      <c r="T151" s="117">
        <f t="shared" ref="T151" si="313">L151-H151</f>
        <v>493898.1</v>
      </c>
    </row>
    <row r="152" spans="1:20" s="40" customFormat="1" ht="62.4">
      <c r="A152" s="123" t="s">
        <v>414</v>
      </c>
      <c r="B152" s="124">
        <v>8741</v>
      </c>
      <c r="C152" s="123" t="s">
        <v>39</v>
      </c>
      <c r="D152" s="92" t="s">
        <v>415</v>
      </c>
      <c r="E152" s="115">
        <f t="shared" ref="E152" si="314">F152+G152</f>
        <v>0</v>
      </c>
      <c r="F152" s="115"/>
      <c r="G152" s="115"/>
      <c r="H152" s="115"/>
      <c r="I152" s="115">
        <f t="shared" ref="I152" si="315">J152+K152</f>
        <v>362500.57</v>
      </c>
      <c r="J152" s="115">
        <v>362500.57</v>
      </c>
      <c r="K152" s="115"/>
      <c r="L152" s="115"/>
      <c r="M152" s="116" t="str">
        <f t="shared" ref="M152" si="316">IFERROR((I152/E152),"")</f>
        <v/>
      </c>
      <c r="N152" s="116" t="str">
        <f t="shared" ref="N152" si="317">IFERROR((J152/F152),"")</f>
        <v/>
      </c>
      <c r="O152" s="116" t="str">
        <f t="shared" ref="O152" si="318">IFERROR((K152/G152),"")</f>
        <v/>
      </c>
      <c r="P152" s="116" t="str">
        <f t="shared" ref="P152" si="319">IFERROR((L152/H152),"")</f>
        <v/>
      </c>
      <c r="Q152" s="117">
        <f t="shared" ref="Q152" si="320">I152-E152</f>
        <v>362500.57</v>
      </c>
      <c r="R152" s="117">
        <f t="shared" ref="R152" si="321">J152-F152</f>
        <v>362500.57</v>
      </c>
      <c r="S152" s="117">
        <f t="shared" ref="S152" si="322">K152-G152</f>
        <v>0</v>
      </c>
      <c r="T152" s="117">
        <f t="shared" ref="T152" si="323">L152-H152</f>
        <v>0</v>
      </c>
    </row>
    <row r="153" spans="1:20" s="40" customFormat="1" ht="62.4">
      <c r="A153" s="123" t="s">
        <v>416</v>
      </c>
      <c r="B153" s="124">
        <v>8746</v>
      </c>
      <c r="C153" s="123" t="s">
        <v>417</v>
      </c>
      <c r="D153" s="93" t="s">
        <v>418</v>
      </c>
      <c r="E153" s="115">
        <f t="shared" ref="E153" si="324">F153+G153</f>
        <v>0</v>
      </c>
      <c r="F153" s="115"/>
      <c r="G153" s="115"/>
      <c r="H153" s="115"/>
      <c r="I153" s="115">
        <f t="shared" ref="I153" si="325">J153+K153</f>
        <v>286315.95</v>
      </c>
      <c r="J153" s="115">
        <f>177315.95+109000</f>
        <v>286315.95</v>
      </c>
      <c r="K153" s="115"/>
      <c r="L153" s="115"/>
      <c r="M153" s="116" t="str">
        <f t="shared" ref="M153" si="326">IFERROR((I153/E153),"")</f>
        <v/>
      </c>
      <c r="N153" s="116" t="str">
        <f t="shared" ref="N153" si="327">IFERROR((J153/F153),"")</f>
        <v/>
      </c>
      <c r="O153" s="116" t="str">
        <f t="shared" ref="O153" si="328">IFERROR((K153/G153),"")</f>
        <v/>
      </c>
      <c r="P153" s="116" t="str">
        <f t="shared" ref="P153" si="329">IFERROR((L153/H153),"")</f>
        <v/>
      </c>
      <c r="Q153" s="117">
        <f t="shared" ref="Q153" si="330">I153-E153</f>
        <v>286315.95</v>
      </c>
      <c r="R153" s="117">
        <f t="shared" ref="R153" si="331">J153-F153</f>
        <v>286315.95</v>
      </c>
      <c r="S153" s="117">
        <f t="shared" ref="S153" si="332">K153-G153</f>
        <v>0</v>
      </c>
      <c r="T153" s="117">
        <f t="shared" ref="T153" si="333">L153-H153</f>
        <v>0</v>
      </c>
    </row>
    <row r="154" spans="1:20" s="40" customFormat="1" ht="46.8">
      <c r="A154" s="132" t="s">
        <v>430</v>
      </c>
      <c r="B154" s="133">
        <v>8761</v>
      </c>
      <c r="C154" s="132" t="s">
        <v>291</v>
      </c>
      <c r="D154" s="98" t="s">
        <v>431</v>
      </c>
      <c r="E154" s="115">
        <f t="shared" ref="E154" si="334">F154+G154</f>
        <v>0</v>
      </c>
      <c r="F154" s="115"/>
      <c r="G154" s="115"/>
      <c r="H154" s="115"/>
      <c r="I154" s="115">
        <f t="shared" ref="I154" si="335">J154+K154</f>
        <v>674628</v>
      </c>
      <c r="J154" s="115"/>
      <c r="K154" s="115">
        <v>674628</v>
      </c>
      <c r="L154" s="115">
        <v>674628</v>
      </c>
      <c r="M154" s="116" t="str">
        <f t="shared" ref="M154" si="336">IFERROR((I154/E154),"")</f>
        <v/>
      </c>
      <c r="N154" s="116" t="str">
        <f t="shared" ref="N154" si="337">IFERROR((J154/F154),"")</f>
        <v/>
      </c>
      <c r="O154" s="116" t="str">
        <f t="shared" ref="O154" si="338">IFERROR((K154/G154),"")</f>
        <v/>
      </c>
      <c r="P154" s="116" t="str">
        <f t="shared" ref="P154" si="339">IFERROR((L154/H154),"")</f>
        <v/>
      </c>
      <c r="Q154" s="117">
        <f t="shared" ref="Q154" si="340">I154-E154</f>
        <v>674628</v>
      </c>
      <c r="R154" s="117">
        <f t="shared" ref="R154" si="341">J154-F154</f>
        <v>0</v>
      </c>
      <c r="S154" s="117">
        <f t="shared" ref="S154" si="342">K154-G154</f>
        <v>674628</v>
      </c>
      <c r="T154" s="117">
        <f t="shared" ref="T154" si="343">L154-H154</f>
        <v>674628</v>
      </c>
    </row>
    <row r="155" spans="1:20" s="40" customFormat="1" ht="54">
      <c r="A155" s="60">
        <v>1218771</v>
      </c>
      <c r="B155" s="63">
        <v>8771</v>
      </c>
      <c r="C155" s="63" t="s">
        <v>128</v>
      </c>
      <c r="D155" s="46" t="s">
        <v>305</v>
      </c>
      <c r="E155" s="115">
        <f t="shared" si="255"/>
        <v>68200</v>
      </c>
      <c r="F155" s="115">
        <v>68200</v>
      </c>
      <c r="G155" s="115"/>
      <c r="H155" s="115"/>
      <c r="I155" s="115">
        <f t="shared" si="179"/>
        <v>0</v>
      </c>
      <c r="J155" s="115"/>
      <c r="K155" s="115"/>
      <c r="L155" s="115"/>
      <c r="M155" s="116">
        <f t="shared" si="181"/>
        <v>0</v>
      </c>
      <c r="N155" s="116">
        <f t="shared" si="182"/>
        <v>0</v>
      </c>
      <c r="O155" s="116" t="str">
        <f t="shared" si="183"/>
        <v/>
      </c>
      <c r="P155" s="116" t="str">
        <f t="shared" si="184"/>
        <v/>
      </c>
      <c r="Q155" s="117">
        <f t="shared" si="185"/>
        <v>-68200</v>
      </c>
      <c r="R155" s="117">
        <f t="shared" si="186"/>
        <v>-68200</v>
      </c>
      <c r="S155" s="117">
        <f t="shared" si="187"/>
        <v>0</v>
      </c>
      <c r="T155" s="117">
        <f t="shared" si="188"/>
        <v>0</v>
      </c>
    </row>
    <row r="156" spans="1:20" s="30" customFormat="1" ht="52.2">
      <c r="A156" s="25" t="s">
        <v>25</v>
      </c>
      <c r="B156" s="25"/>
      <c r="C156" s="25"/>
      <c r="D156" s="10" t="s">
        <v>212</v>
      </c>
      <c r="E156" s="114">
        <f t="shared" ref="E156:L156" si="344">E157</f>
        <v>147403216.85999998</v>
      </c>
      <c r="F156" s="114">
        <f t="shared" si="344"/>
        <v>4361567.16</v>
      </c>
      <c r="G156" s="114">
        <f t="shared" si="344"/>
        <v>143041649.69999999</v>
      </c>
      <c r="H156" s="114">
        <f t="shared" si="344"/>
        <v>142426305</v>
      </c>
      <c r="I156" s="114">
        <f t="shared" si="344"/>
        <v>69631917.680000007</v>
      </c>
      <c r="J156" s="114">
        <f t="shared" si="344"/>
        <v>4512301.21</v>
      </c>
      <c r="K156" s="114">
        <f t="shared" si="344"/>
        <v>65119616.470000006</v>
      </c>
      <c r="L156" s="114">
        <f t="shared" si="344"/>
        <v>64907092.260000005</v>
      </c>
      <c r="M156" s="112">
        <f t="shared" si="181"/>
        <v>0.47239076027855431</v>
      </c>
      <c r="N156" s="112">
        <f t="shared" si="182"/>
        <v>1.0345596076984402</v>
      </c>
      <c r="O156" s="112">
        <f t="shared" si="183"/>
        <v>0.45524933896228698</v>
      </c>
      <c r="P156" s="112">
        <f t="shared" si="184"/>
        <v>0.45572404802610028</v>
      </c>
      <c r="Q156" s="113">
        <f t="shared" si="185"/>
        <v>-77771299.179999977</v>
      </c>
      <c r="R156" s="113">
        <f t="shared" si="186"/>
        <v>150734.04999999981</v>
      </c>
      <c r="S156" s="113">
        <f t="shared" si="187"/>
        <v>-77922033.229999989</v>
      </c>
      <c r="T156" s="113">
        <f t="shared" si="188"/>
        <v>-77519212.739999995</v>
      </c>
    </row>
    <row r="157" spans="1:20" s="30" customFormat="1" ht="52.2">
      <c r="A157" s="25" t="s">
        <v>26</v>
      </c>
      <c r="B157" s="25"/>
      <c r="C157" s="25"/>
      <c r="D157" s="10" t="s">
        <v>212</v>
      </c>
      <c r="E157" s="114">
        <f t="shared" ref="E157:E178" si="345">F157+G157</f>
        <v>147403216.85999998</v>
      </c>
      <c r="F157" s="114">
        <f>F158+F159+F168+F174+F176+F169+F163+F164+F160+F171+F173+F175+F161+F165+F166+F170+F177+F178+F162+F172+F179+F167</f>
        <v>4361567.16</v>
      </c>
      <c r="G157" s="114">
        <f t="shared" ref="G157:H157" si="346">G158+G159+G168+G174+G176+G169+G163+G164+G160+G171+G173+G175+G161+G165+G166+G170+G177+G178+G162+G172+G179+G167</f>
        <v>143041649.69999999</v>
      </c>
      <c r="H157" s="114">
        <f t="shared" si="346"/>
        <v>142426305</v>
      </c>
      <c r="I157" s="114">
        <f t="shared" ref="I157" si="347">J157+K157</f>
        <v>69631917.680000007</v>
      </c>
      <c r="J157" s="114">
        <f>J158+J159+J168+J174+J176+J169+J163+J164+J160+J171+J173+J175+J161+J165+J166+J170+J177+J178+J162+J172+J179+J167</f>
        <v>4512301.21</v>
      </c>
      <c r="K157" s="114">
        <f t="shared" ref="K157:L157" si="348">K158+K159+K168+K174+K176+K169+K163+K164+K160+K171+K173+K175+K161+K165+K166+K170+K177+K178+K162+K172+K179+K167</f>
        <v>65119616.470000006</v>
      </c>
      <c r="L157" s="114">
        <f t="shared" si="348"/>
        <v>64907092.260000005</v>
      </c>
      <c r="M157" s="112">
        <f t="shared" si="181"/>
        <v>0.47239076027855431</v>
      </c>
      <c r="N157" s="112">
        <f t="shared" si="182"/>
        <v>1.0345596076984402</v>
      </c>
      <c r="O157" s="112">
        <f t="shared" si="183"/>
        <v>0.45524933896228698</v>
      </c>
      <c r="P157" s="112">
        <f t="shared" si="184"/>
        <v>0.45572404802610028</v>
      </c>
      <c r="Q157" s="113">
        <f t="shared" si="185"/>
        <v>-77771299.179999977</v>
      </c>
      <c r="R157" s="113">
        <f t="shared" si="186"/>
        <v>150734.04999999981</v>
      </c>
      <c r="S157" s="113">
        <f t="shared" si="187"/>
        <v>-77922033.229999989</v>
      </c>
      <c r="T157" s="113">
        <f t="shared" si="188"/>
        <v>-77519212.739999995</v>
      </c>
    </row>
    <row r="158" spans="1:20" s="40" customFormat="1" ht="90">
      <c r="A158" s="64" t="s">
        <v>306</v>
      </c>
      <c r="B158" s="64" t="s">
        <v>52</v>
      </c>
      <c r="C158" s="64" t="s">
        <v>3</v>
      </c>
      <c r="D158" s="39" t="s">
        <v>307</v>
      </c>
      <c r="E158" s="115">
        <f t="shared" si="345"/>
        <v>538945.43999999994</v>
      </c>
      <c r="F158" s="115"/>
      <c r="G158" s="115">
        <v>538945.43999999994</v>
      </c>
      <c r="H158" s="115">
        <f>G158</f>
        <v>538945.43999999994</v>
      </c>
      <c r="I158" s="115">
        <f t="shared" si="179"/>
        <v>0</v>
      </c>
      <c r="J158" s="115"/>
      <c r="K158" s="115"/>
      <c r="L158" s="115"/>
      <c r="M158" s="116">
        <f t="shared" si="181"/>
        <v>0</v>
      </c>
      <c r="N158" s="116" t="str">
        <f t="shared" si="182"/>
        <v/>
      </c>
      <c r="O158" s="116">
        <f t="shared" si="183"/>
        <v>0</v>
      </c>
      <c r="P158" s="116">
        <f t="shared" si="184"/>
        <v>0</v>
      </c>
      <c r="Q158" s="117">
        <f t="shared" si="185"/>
        <v>-538945.43999999994</v>
      </c>
      <c r="R158" s="117">
        <f t="shared" si="186"/>
        <v>0</v>
      </c>
      <c r="S158" s="117">
        <f t="shared" si="187"/>
        <v>-538945.43999999994</v>
      </c>
      <c r="T158" s="117">
        <f t="shared" si="188"/>
        <v>-538945.43999999994</v>
      </c>
    </row>
    <row r="159" spans="1:20" s="40" customFormat="1" ht="54">
      <c r="A159" s="23" t="s">
        <v>94</v>
      </c>
      <c r="B159" s="23" t="s">
        <v>58</v>
      </c>
      <c r="C159" s="23" t="s">
        <v>3</v>
      </c>
      <c r="D159" s="24" t="s">
        <v>235</v>
      </c>
      <c r="E159" s="115">
        <f t="shared" si="345"/>
        <v>3604298.01</v>
      </c>
      <c r="F159" s="115">
        <v>3604298.01</v>
      </c>
      <c r="G159" s="115"/>
      <c r="H159" s="115"/>
      <c r="I159" s="115">
        <f t="shared" si="179"/>
        <v>4462401.21</v>
      </c>
      <c r="J159" s="115">
        <v>4462401.21</v>
      </c>
      <c r="K159" s="115"/>
      <c r="L159" s="115"/>
      <c r="M159" s="116">
        <f t="shared" si="181"/>
        <v>1.238077760945189</v>
      </c>
      <c r="N159" s="116">
        <f t="shared" si="182"/>
        <v>1.238077760945189</v>
      </c>
      <c r="O159" s="116" t="str">
        <f t="shared" si="183"/>
        <v/>
      </c>
      <c r="P159" s="116" t="str">
        <f t="shared" si="184"/>
        <v/>
      </c>
      <c r="Q159" s="117">
        <f t="shared" si="185"/>
        <v>858103.20000000019</v>
      </c>
      <c r="R159" s="117">
        <f t="shared" si="186"/>
        <v>858103.20000000019</v>
      </c>
      <c r="S159" s="117">
        <f t="shared" si="187"/>
        <v>0</v>
      </c>
      <c r="T159" s="117">
        <f t="shared" si="188"/>
        <v>0</v>
      </c>
    </row>
    <row r="160" spans="1:20" s="40" customFormat="1" ht="36">
      <c r="A160" s="21" t="s">
        <v>268</v>
      </c>
      <c r="B160" s="21" t="s">
        <v>8</v>
      </c>
      <c r="C160" s="21" t="s">
        <v>6</v>
      </c>
      <c r="D160" s="68" t="s">
        <v>108</v>
      </c>
      <c r="E160" s="115">
        <f t="shared" si="345"/>
        <v>202380</v>
      </c>
      <c r="F160" s="115">
        <v>202380</v>
      </c>
      <c r="G160" s="115"/>
      <c r="H160" s="115"/>
      <c r="I160" s="115">
        <f t="shared" si="179"/>
        <v>49900</v>
      </c>
      <c r="J160" s="115">
        <v>49900</v>
      </c>
      <c r="K160" s="115"/>
      <c r="L160" s="115"/>
      <c r="M160" s="116">
        <f t="shared" si="181"/>
        <v>0.24656586619231149</v>
      </c>
      <c r="N160" s="116">
        <f t="shared" si="182"/>
        <v>0.24656586619231149</v>
      </c>
      <c r="O160" s="116" t="str">
        <f t="shared" si="183"/>
        <v/>
      </c>
      <c r="P160" s="116" t="str">
        <f t="shared" si="184"/>
        <v/>
      </c>
      <c r="Q160" s="117">
        <f t="shared" si="185"/>
        <v>-152480</v>
      </c>
      <c r="R160" s="117">
        <f t="shared" si="186"/>
        <v>-152480</v>
      </c>
      <c r="S160" s="117">
        <f t="shared" si="187"/>
        <v>0</v>
      </c>
      <c r="T160" s="117">
        <f t="shared" si="188"/>
        <v>0</v>
      </c>
    </row>
    <row r="161" spans="1:20" s="40" customFormat="1" ht="36">
      <c r="A161" s="22">
        <v>1512010</v>
      </c>
      <c r="B161" s="22">
        <v>2010</v>
      </c>
      <c r="C161" s="22" t="s">
        <v>29</v>
      </c>
      <c r="D161" s="68" t="s">
        <v>160</v>
      </c>
      <c r="E161" s="115">
        <f t="shared" si="345"/>
        <v>10870577.360000001</v>
      </c>
      <c r="F161" s="115"/>
      <c r="G161" s="115">
        <f>507964.15+10362613.21</f>
        <v>10870577.360000001</v>
      </c>
      <c r="H161" s="115">
        <f t="shared" ref="H161:H168" si="349">G161</f>
        <v>10870577.360000001</v>
      </c>
      <c r="I161" s="115">
        <f t="shared" si="179"/>
        <v>1110730.92</v>
      </c>
      <c r="J161" s="115"/>
      <c r="K161" s="115">
        <v>1110730.92</v>
      </c>
      <c r="L161" s="115">
        <v>1110730.92</v>
      </c>
      <c r="M161" s="116">
        <f t="shared" ref="M161" si="350">IFERROR((I161/E161),"")</f>
        <v>0.10217773014404083</v>
      </c>
      <c r="N161" s="116" t="str">
        <f t="shared" ref="N161" si="351">IFERROR((J161/F161),"")</f>
        <v/>
      </c>
      <c r="O161" s="116">
        <f t="shared" ref="O161" si="352">IFERROR((K161/G161),"")</f>
        <v>0.10217773014404083</v>
      </c>
      <c r="P161" s="116">
        <f t="shared" ref="P161" si="353">IFERROR((L161/H161),"")</f>
        <v>0.10217773014404083</v>
      </c>
      <c r="Q161" s="117">
        <f t="shared" si="185"/>
        <v>-9759846.4400000013</v>
      </c>
      <c r="R161" s="117">
        <f t="shared" si="186"/>
        <v>0</v>
      </c>
      <c r="S161" s="117">
        <f t="shared" si="187"/>
        <v>-9759846.4400000013</v>
      </c>
      <c r="T161" s="117">
        <f t="shared" si="188"/>
        <v>-9759846.4400000013</v>
      </c>
    </row>
    <row r="162" spans="1:20" s="40" customFormat="1" ht="54">
      <c r="A162" s="22" t="s">
        <v>391</v>
      </c>
      <c r="B162" s="22" t="s">
        <v>392</v>
      </c>
      <c r="C162" s="22" t="s">
        <v>238</v>
      </c>
      <c r="D162" s="81" t="s">
        <v>239</v>
      </c>
      <c r="E162" s="115">
        <f t="shared" ref="E162" si="354">F162+G162</f>
        <v>443042.63</v>
      </c>
      <c r="F162" s="115"/>
      <c r="G162" s="115">
        <v>443042.63</v>
      </c>
      <c r="H162" s="115">
        <f t="shared" si="349"/>
        <v>443042.63</v>
      </c>
      <c r="I162" s="115">
        <f t="shared" ref="I162" si="355">J162+K162</f>
        <v>0</v>
      </c>
      <c r="J162" s="115"/>
      <c r="K162" s="115"/>
      <c r="L162" s="115"/>
      <c r="M162" s="116">
        <f t="shared" ref="M162" si="356">IFERROR((I162/E162),"")</f>
        <v>0</v>
      </c>
      <c r="N162" s="116" t="str">
        <f t="shared" ref="N162" si="357">IFERROR((J162/F162),"")</f>
        <v/>
      </c>
      <c r="O162" s="116">
        <f t="shared" ref="O162" si="358">IFERROR((K162/G162),"")</f>
        <v>0</v>
      </c>
      <c r="P162" s="116">
        <f t="shared" ref="P162" si="359">IFERROR((L162/H162),"")</f>
        <v>0</v>
      </c>
      <c r="Q162" s="117">
        <f t="shared" ref="Q162" si="360">I162-E162</f>
        <v>-443042.63</v>
      </c>
      <c r="R162" s="117">
        <f t="shared" ref="R162" si="361">J162-F162</f>
        <v>0</v>
      </c>
      <c r="S162" s="117">
        <f t="shared" ref="S162" si="362">K162-G162</f>
        <v>-443042.63</v>
      </c>
      <c r="T162" s="117">
        <f t="shared" ref="T162" si="363">L162-H162</f>
        <v>-443042.63</v>
      </c>
    </row>
    <row r="163" spans="1:20" s="40" customFormat="1" ht="36">
      <c r="A163" s="22" t="s">
        <v>254</v>
      </c>
      <c r="B163" s="22" t="s">
        <v>104</v>
      </c>
      <c r="C163" s="22" t="s">
        <v>39</v>
      </c>
      <c r="D163" s="68" t="s">
        <v>105</v>
      </c>
      <c r="E163" s="115">
        <f t="shared" si="345"/>
        <v>7005255.71</v>
      </c>
      <c r="F163" s="115"/>
      <c r="G163" s="115">
        <v>7005255.71</v>
      </c>
      <c r="H163" s="115">
        <f t="shared" si="349"/>
        <v>7005255.71</v>
      </c>
      <c r="I163" s="115">
        <f t="shared" si="179"/>
        <v>0</v>
      </c>
      <c r="J163" s="115"/>
      <c r="K163" s="115"/>
      <c r="L163" s="115"/>
      <c r="M163" s="116">
        <f t="shared" si="181"/>
        <v>0</v>
      </c>
      <c r="N163" s="116" t="str">
        <f t="shared" si="182"/>
        <v/>
      </c>
      <c r="O163" s="116">
        <f t="shared" si="183"/>
        <v>0</v>
      </c>
      <c r="P163" s="116">
        <f t="shared" si="184"/>
        <v>0</v>
      </c>
      <c r="Q163" s="117">
        <f t="shared" si="185"/>
        <v>-7005255.71</v>
      </c>
      <c r="R163" s="117">
        <f t="shared" si="186"/>
        <v>0</v>
      </c>
      <c r="S163" s="117">
        <f t="shared" si="187"/>
        <v>-7005255.71</v>
      </c>
      <c r="T163" s="117">
        <f t="shared" si="188"/>
        <v>-7005255.71</v>
      </c>
    </row>
    <row r="164" spans="1:20" s="40" customFormat="1" ht="36">
      <c r="A164" s="65">
        <v>1516012</v>
      </c>
      <c r="B164" s="65" t="s">
        <v>125</v>
      </c>
      <c r="C164" s="65" t="s">
        <v>7</v>
      </c>
      <c r="D164" s="48" t="s">
        <v>127</v>
      </c>
      <c r="E164" s="115">
        <f t="shared" si="345"/>
        <v>18213883.800000001</v>
      </c>
      <c r="F164" s="115"/>
      <c r="G164" s="115">
        <v>18213883.800000001</v>
      </c>
      <c r="H164" s="115">
        <f t="shared" si="349"/>
        <v>18213883.800000001</v>
      </c>
      <c r="I164" s="115">
        <f t="shared" si="179"/>
        <v>0</v>
      </c>
      <c r="J164" s="115"/>
      <c r="K164" s="115"/>
      <c r="L164" s="115"/>
      <c r="M164" s="116">
        <f t="shared" si="181"/>
        <v>0</v>
      </c>
      <c r="N164" s="116" t="str">
        <f t="shared" si="182"/>
        <v/>
      </c>
      <c r="O164" s="116">
        <f t="shared" si="183"/>
        <v>0</v>
      </c>
      <c r="P164" s="116">
        <f t="shared" si="184"/>
        <v>0</v>
      </c>
      <c r="Q164" s="117">
        <f t="shared" si="185"/>
        <v>-18213883.800000001</v>
      </c>
      <c r="R164" s="117">
        <f t="shared" si="186"/>
        <v>0</v>
      </c>
      <c r="S164" s="117">
        <f t="shared" si="187"/>
        <v>-18213883.800000001</v>
      </c>
      <c r="T164" s="117">
        <f t="shared" si="188"/>
        <v>-18213883.800000001</v>
      </c>
    </row>
    <row r="165" spans="1:20" s="40" customFormat="1" ht="36">
      <c r="A165" s="22" t="s">
        <v>293</v>
      </c>
      <c r="B165" s="22" t="s">
        <v>106</v>
      </c>
      <c r="C165" s="22" t="s">
        <v>7</v>
      </c>
      <c r="D165" s="68" t="s">
        <v>107</v>
      </c>
      <c r="E165" s="115">
        <f t="shared" si="345"/>
        <v>24067415</v>
      </c>
      <c r="F165" s="115"/>
      <c r="G165" s="115">
        <f>24041681.4+25733.6</f>
        <v>24067415</v>
      </c>
      <c r="H165" s="115">
        <f t="shared" si="349"/>
        <v>24067415</v>
      </c>
      <c r="I165" s="115">
        <f t="shared" si="179"/>
        <v>382749.55</v>
      </c>
      <c r="J165" s="115"/>
      <c r="K165" s="115">
        <v>382749.55</v>
      </c>
      <c r="L165" s="115">
        <v>382749.55</v>
      </c>
      <c r="M165" s="116">
        <f t="shared" si="181"/>
        <v>1.5903226416297721E-2</v>
      </c>
      <c r="N165" s="116" t="str">
        <f t="shared" si="182"/>
        <v/>
      </c>
      <c r="O165" s="116">
        <f t="shared" si="183"/>
        <v>1.5903226416297721E-2</v>
      </c>
      <c r="P165" s="116">
        <f t="shared" si="184"/>
        <v>1.5903226416297721E-2</v>
      </c>
      <c r="Q165" s="117">
        <f t="shared" si="185"/>
        <v>-23684665.449999999</v>
      </c>
      <c r="R165" s="117">
        <f t="shared" si="186"/>
        <v>0</v>
      </c>
      <c r="S165" s="117">
        <f t="shared" si="187"/>
        <v>-23684665.449999999</v>
      </c>
      <c r="T165" s="117">
        <f t="shared" si="188"/>
        <v>-23684665.449999999</v>
      </c>
    </row>
    <row r="166" spans="1:20" s="40" customFormat="1" ht="36">
      <c r="A166" s="22" t="s">
        <v>294</v>
      </c>
      <c r="B166" s="22" t="s">
        <v>288</v>
      </c>
      <c r="C166" s="22" t="s">
        <v>7</v>
      </c>
      <c r="D166" s="68" t="s">
        <v>289</v>
      </c>
      <c r="E166" s="115">
        <f t="shared" si="345"/>
        <v>4350226.4400000004</v>
      </c>
      <c r="F166" s="115"/>
      <c r="G166" s="115">
        <v>4350226.4400000004</v>
      </c>
      <c r="H166" s="115">
        <f t="shared" si="349"/>
        <v>4350226.4400000004</v>
      </c>
      <c r="I166" s="115">
        <f>J166+K166</f>
        <v>9291160.2300000004</v>
      </c>
      <c r="J166" s="115"/>
      <c r="K166" s="115">
        <f>8891260.23+399900</f>
        <v>9291160.2300000004</v>
      </c>
      <c r="L166" s="115">
        <f>8891260.23+399900</f>
        <v>9291160.2300000004</v>
      </c>
      <c r="M166" s="116">
        <f t="shared" ref="M166" si="364">IFERROR((I166/E166),"")</f>
        <v>2.1357877246500299</v>
      </c>
      <c r="N166" s="116" t="str">
        <f t="shared" ref="N166" si="365">IFERROR((J166/F166),"")</f>
        <v/>
      </c>
      <c r="O166" s="116">
        <f t="shared" ref="O166" si="366">IFERROR((K166/G166),"")</f>
        <v>2.1357877246500299</v>
      </c>
      <c r="P166" s="116">
        <f t="shared" ref="P166" si="367">IFERROR((L166/H166),"")</f>
        <v>2.1357877246500299</v>
      </c>
      <c r="Q166" s="117">
        <f t="shared" si="185"/>
        <v>4940933.79</v>
      </c>
      <c r="R166" s="117">
        <f t="shared" si="186"/>
        <v>0</v>
      </c>
      <c r="S166" s="117">
        <f t="shared" si="187"/>
        <v>4940933.79</v>
      </c>
      <c r="T166" s="117">
        <f t="shared" si="188"/>
        <v>4940933.79</v>
      </c>
    </row>
    <row r="167" spans="1:20" s="40" customFormat="1" ht="31.2">
      <c r="A167" s="133">
        <v>1516017</v>
      </c>
      <c r="B167" s="132" t="s">
        <v>155</v>
      </c>
      <c r="C167" s="132" t="s">
        <v>7</v>
      </c>
      <c r="D167" s="99" t="s">
        <v>432</v>
      </c>
      <c r="E167" s="115">
        <f t="shared" ref="E167" si="368">F167+G167</f>
        <v>0</v>
      </c>
      <c r="F167" s="115"/>
      <c r="G167" s="115"/>
      <c r="H167" s="115">
        <f t="shared" ref="H167" si="369">G167</f>
        <v>0</v>
      </c>
      <c r="I167" s="115">
        <f>J167+K167</f>
        <v>325134.46000000002</v>
      </c>
      <c r="J167" s="115"/>
      <c r="K167" s="115">
        <v>325134.46000000002</v>
      </c>
      <c r="L167" s="115">
        <v>325134.46000000002</v>
      </c>
      <c r="M167" s="116" t="str">
        <f t="shared" ref="M167" si="370">IFERROR((I167/E167),"")</f>
        <v/>
      </c>
      <c r="N167" s="116" t="str">
        <f t="shared" ref="N167" si="371">IFERROR((J167/F167),"")</f>
        <v/>
      </c>
      <c r="O167" s="116" t="str">
        <f t="shared" ref="O167" si="372">IFERROR((K167/G167),"")</f>
        <v/>
      </c>
      <c r="P167" s="116" t="str">
        <f t="shared" ref="P167" si="373">IFERROR((L167/H167),"")</f>
        <v/>
      </c>
      <c r="Q167" s="117">
        <f t="shared" ref="Q167" si="374">I167-E167</f>
        <v>325134.46000000002</v>
      </c>
      <c r="R167" s="117">
        <f t="shared" ref="R167" si="375">J167-F167</f>
        <v>0</v>
      </c>
      <c r="S167" s="117">
        <f t="shared" ref="S167" si="376">K167-G167</f>
        <v>325134.46000000002</v>
      </c>
      <c r="T167" s="117">
        <f t="shared" ref="T167" si="377">L167-H167</f>
        <v>325134.46000000002</v>
      </c>
    </row>
    <row r="168" spans="1:20" s="40" customFormat="1">
      <c r="A168" s="23" t="s">
        <v>229</v>
      </c>
      <c r="B168" s="23" t="s">
        <v>40</v>
      </c>
      <c r="C168" s="23" t="s">
        <v>7</v>
      </c>
      <c r="D168" s="24" t="s">
        <v>55</v>
      </c>
      <c r="E168" s="115">
        <f t="shared" si="345"/>
        <v>8532105.0899999999</v>
      </c>
      <c r="F168" s="115"/>
      <c r="G168" s="115">
        <f>8532105.09</f>
        <v>8532105.0899999999</v>
      </c>
      <c r="H168" s="115">
        <f t="shared" si="349"/>
        <v>8532105.0899999999</v>
      </c>
      <c r="I168" s="115">
        <f t="shared" si="179"/>
        <v>0</v>
      </c>
      <c r="J168" s="115"/>
      <c r="K168" s="115"/>
      <c r="L168" s="115"/>
      <c r="M168" s="116">
        <f t="shared" si="181"/>
        <v>0</v>
      </c>
      <c r="N168" s="116" t="str">
        <f t="shared" si="182"/>
        <v/>
      </c>
      <c r="O168" s="116">
        <f t="shared" si="183"/>
        <v>0</v>
      </c>
      <c r="P168" s="116">
        <f t="shared" si="184"/>
        <v>0</v>
      </c>
      <c r="Q168" s="117">
        <f t="shared" si="185"/>
        <v>-8532105.0899999999</v>
      </c>
      <c r="R168" s="117">
        <f t="shared" si="186"/>
        <v>0</v>
      </c>
      <c r="S168" s="117">
        <f t="shared" si="187"/>
        <v>-8532105.0899999999</v>
      </c>
      <c r="T168" s="117">
        <f t="shared" si="188"/>
        <v>-8532105.0899999999</v>
      </c>
    </row>
    <row r="169" spans="1:20" s="40" customFormat="1" ht="72">
      <c r="A169" s="22" t="s">
        <v>252</v>
      </c>
      <c r="B169" s="22">
        <v>6050</v>
      </c>
      <c r="C169" s="22" t="s">
        <v>7</v>
      </c>
      <c r="D169" s="68" t="s">
        <v>253</v>
      </c>
      <c r="E169" s="115">
        <f t="shared" si="345"/>
        <v>554889.15</v>
      </c>
      <c r="F169" s="115">
        <v>554889.15</v>
      </c>
      <c r="G169" s="115"/>
      <c r="H169" s="115"/>
      <c r="I169" s="115">
        <f t="shared" si="179"/>
        <v>1194872.49</v>
      </c>
      <c r="J169" s="115"/>
      <c r="K169" s="115">
        <v>1194872.49</v>
      </c>
      <c r="L169" s="115">
        <v>1194872.49</v>
      </c>
      <c r="M169" s="116">
        <f t="shared" si="181"/>
        <v>2.1533534941167978</v>
      </c>
      <c r="N169" s="116">
        <f t="shared" si="182"/>
        <v>0</v>
      </c>
      <c r="O169" s="116" t="str">
        <f t="shared" si="183"/>
        <v/>
      </c>
      <c r="P169" s="116" t="str">
        <f t="shared" si="184"/>
        <v/>
      </c>
      <c r="Q169" s="117">
        <f t="shared" si="185"/>
        <v>639983.34</v>
      </c>
      <c r="R169" s="117">
        <f t="shared" si="186"/>
        <v>-554889.15</v>
      </c>
      <c r="S169" s="117">
        <f t="shared" si="187"/>
        <v>1194872.49</v>
      </c>
      <c r="T169" s="117">
        <f t="shared" si="188"/>
        <v>1194872.49</v>
      </c>
    </row>
    <row r="170" spans="1:20" s="40" customFormat="1" ht="36">
      <c r="A170" s="58">
        <v>1517310</v>
      </c>
      <c r="B170" s="59" t="s">
        <v>327</v>
      </c>
      <c r="C170" s="59" t="s">
        <v>269</v>
      </c>
      <c r="D170" s="49" t="s">
        <v>328</v>
      </c>
      <c r="E170" s="115">
        <f t="shared" si="345"/>
        <v>20151864.039999999</v>
      </c>
      <c r="F170" s="115"/>
      <c r="G170" s="115">
        <f>1430743.55+16871108.49+1850012</f>
        <v>20151864.039999999</v>
      </c>
      <c r="H170" s="115">
        <f t="shared" ref="H170:H177" si="378">G170</f>
        <v>20151864.039999999</v>
      </c>
      <c r="I170" s="115">
        <f t="shared" si="179"/>
        <v>17418394.039999999</v>
      </c>
      <c r="J170" s="115"/>
      <c r="K170" s="115">
        <f>8433377.81+8985016.23</f>
        <v>17418394.039999999</v>
      </c>
      <c r="L170" s="115">
        <f>8433377.81+8985016.23</f>
        <v>17418394.039999999</v>
      </c>
      <c r="M170" s="116">
        <f t="shared" ref="M170:M197" si="379">IFERROR((I170/E170),"")</f>
        <v>0.86435646873290439</v>
      </c>
      <c r="N170" s="116" t="str">
        <f t="shared" ref="N170:N197" si="380">IFERROR((J170/F170),"")</f>
        <v/>
      </c>
      <c r="O170" s="116">
        <f t="shared" ref="O170:O197" si="381">IFERROR((K170/G170),"")</f>
        <v>0.86435646873290439</v>
      </c>
      <c r="P170" s="116">
        <f t="shared" ref="P170:P197" si="382">IFERROR((L170/H170),"")</f>
        <v>0.86435646873290439</v>
      </c>
      <c r="Q170" s="117">
        <f t="shared" ref="Q170:Q197" si="383">I170-E170</f>
        <v>-2733470</v>
      </c>
      <c r="R170" s="117">
        <f t="shared" ref="R170:R197" si="384">J170-F170</f>
        <v>0</v>
      </c>
      <c r="S170" s="117">
        <f t="shared" ref="S170:S197" si="385">K170-G170</f>
        <v>-2733470</v>
      </c>
      <c r="T170" s="117">
        <f t="shared" ref="T170:T197" si="386">L170-H170</f>
        <v>-2733470</v>
      </c>
    </row>
    <row r="171" spans="1:20" s="40" customFormat="1">
      <c r="A171" s="60">
        <v>1517321</v>
      </c>
      <c r="B171" s="60">
        <v>7321</v>
      </c>
      <c r="C171" s="63" t="s">
        <v>269</v>
      </c>
      <c r="D171" s="46" t="s">
        <v>308</v>
      </c>
      <c r="E171" s="115">
        <f t="shared" si="345"/>
        <v>632871.19999999995</v>
      </c>
      <c r="F171" s="115"/>
      <c r="G171" s="115">
        <f>632871.2</f>
        <v>632871.19999999995</v>
      </c>
      <c r="H171" s="115">
        <f t="shared" si="378"/>
        <v>632871.19999999995</v>
      </c>
      <c r="I171" s="115">
        <f t="shared" si="179"/>
        <v>557583.1</v>
      </c>
      <c r="J171" s="115"/>
      <c r="K171" s="115">
        <v>557583.1</v>
      </c>
      <c r="L171" s="115">
        <v>557583.1</v>
      </c>
      <c r="M171" s="116">
        <f t="shared" si="379"/>
        <v>0.88103724738935829</v>
      </c>
      <c r="N171" s="116" t="str">
        <f t="shared" si="380"/>
        <v/>
      </c>
      <c r="O171" s="116">
        <f t="shared" si="381"/>
        <v>0.88103724738935829</v>
      </c>
      <c r="P171" s="116">
        <f t="shared" si="382"/>
        <v>0.88103724738935829</v>
      </c>
      <c r="Q171" s="117">
        <f t="shared" si="383"/>
        <v>-75288.099999999977</v>
      </c>
      <c r="R171" s="117">
        <f t="shared" si="384"/>
        <v>0</v>
      </c>
      <c r="S171" s="117">
        <f t="shared" si="385"/>
        <v>-75288.099999999977</v>
      </c>
      <c r="T171" s="117">
        <f t="shared" si="386"/>
        <v>-75288.099999999977</v>
      </c>
    </row>
    <row r="172" spans="1:20" s="40" customFormat="1" ht="36">
      <c r="A172" s="22" t="s">
        <v>393</v>
      </c>
      <c r="B172" s="22" t="s">
        <v>394</v>
      </c>
      <c r="C172" s="22" t="s">
        <v>20</v>
      </c>
      <c r="D172" s="81" t="s">
        <v>395</v>
      </c>
      <c r="E172" s="115">
        <f t="shared" ref="E172" si="387">F172+G172</f>
        <v>7411280.8700000001</v>
      </c>
      <c r="F172" s="115"/>
      <c r="G172" s="115">
        <v>7411280.8700000001</v>
      </c>
      <c r="H172" s="115">
        <f t="shared" si="378"/>
        <v>7411280.8700000001</v>
      </c>
      <c r="I172" s="115">
        <f t="shared" ref="I172" si="388">J172+K172</f>
        <v>10675714.380000001</v>
      </c>
      <c r="J172" s="115"/>
      <c r="K172" s="115">
        <v>10675714.380000001</v>
      </c>
      <c r="L172" s="115">
        <v>10675714.380000001</v>
      </c>
      <c r="M172" s="116">
        <f t="shared" ref="M172" si="389">IFERROR((I172/E172),"")</f>
        <v>1.4404681953444844</v>
      </c>
      <c r="N172" s="116" t="str">
        <f t="shared" ref="N172" si="390">IFERROR((J172/F172),"")</f>
        <v/>
      </c>
      <c r="O172" s="116">
        <f t="shared" ref="O172" si="391">IFERROR((K172/G172),"")</f>
        <v>1.4404681953444844</v>
      </c>
      <c r="P172" s="116">
        <f t="shared" ref="P172" si="392">IFERROR((L172/H172),"")</f>
        <v>1.4404681953444844</v>
      </c>
      <c r="Q172" s="117">
        <f t="shared" ref="Q172" si="393">I172-E172</f>
        <v>3264433.5100000007</v>
      </c>
      <c r="R172" s="117">
        <f t="shared" ref="R172" si="394">J172-F172</f>
        <v>0</v>
      </c>
      <c r="S172" s="117">
        <f t="shared" ref="S172" si="395">K172-G172</f>
        <v>3264433.5100000007</v>
      </c>
      <c r="T172" s="117">
        <f t="shared" ref="T172" si="396">L172-H172</f>
        <v>3264433.5100000007</v>
      </c>
    </row>
    <row r="173" spans="1:20" s="40" customFormat="1" ht="36">
      <c r="A173" s="60">
        <v>1517370</v>
      </c>
      <c r="B173" s="60">
        <v>7370</v>
      </c>
      <c r="C173" s="63" t="s">
        <v>20</v>
      </c>
      <c r="D173" s="46" t="s">
        <v>309</v>
      </c>
      <c r="E173" s="115">
        <f t="shared" si="345"/>
        <v>1734539.73</v>
      </c>
      <c r="F173" s="115"/>
      <c r="G173" s="115">
        <f>245600+1203455.44+285484.29</f>
        <v>1734539.73</v>
      </c>
      <c r="H173" s="115">
        <f t="shared" si="378"/>
        <v>1734539.73</v>
      </c>
      <c r="I173" s="115">
        <f t="shared" si="179"/>
        <v>7664434.9000000004</v>
      </c>
      <c r="J173" s="115"/>
      <c r="K173" s="115">
        <v>7664434.9000000004</v>
      </c>
      <c r="L173" s="115">
        <v>7664434.9000000004</v>
      </c>
      <c r="M173" s="116" t="s">
        <v>358</v>
      </c>
      <c r="N173" s="116" t="str">
        <f t="shared" si="380"/>
        <v/>
      </c>
      <c r="O173" s="116" t="s">
        <v>358</v>
      </c>
      <c r="P173" s="116" t="s">
        <v>358</v>
      </c>
      <c r="Q173" s="117">
        <f t="shared" si="383"/>
        <v>5929895.1699999999</v>
      </c>
      <c r="R173" s="117">
        <f t="shared" si="384"/>
        <v>0</v>
      </c>
      <c r="S173" s="117">
        <f t="shared" si="385"/>
        <v>5929895.1699999999</v>
      </c>
      <c r="T173" s="117">
        <f t="shared" si="386"/>
        <v>5929895.1699999999</v>
      </c>
    </row>
    <row r="174" spans="1:20" s="40" customFormat="1" ht="36">
      <c r="A174" s="23" t="s">
        <v>236</v>
      </c>
      <c r="B174" s="23" t="s">
        <v>233</v>
      </c>
      <c r="C174" s="23" t="s">
        <v>20</v>
      </c>
      <c r="D174" s="24" t="s">
        <v>234</v>
      </c>
      <c r="E174" s="115">
        <f t="shared" si="345"/>
        <v>385498.86</v>
      </c>
      <c r="F174" s="115"/>
      <c r="G174" s="115">
        <v>385498.86</v>
      </c>
      <c r="H174" s="115">
        <f t="shared" si="378"/>
        <v>385498.86</v>
      </c>
      <c r="I174" s="115">
        <f t="shared" si="179"/>
        <v>0</v>
      </c>
      <c r="J174" s="115"/>
      <c r="K174" s="115"/>
      <c r="L174" s="115"/>
      <c r="M174" s="116">
        <f t="shared" si="379"/>
        <v>0</v>
      </c>
      <c r="N174" s="116" t="str">
        <f t="shared" si="380"/>
        <v/>
      </c>
      <c r="O174" s="116">
        <f t="shared" si="381"/>
        <v>0</v>
      </c>
      <c r="P174" s="116">
        <f t="shared" si="382"/>
        <v>0</v>
      </c>
      <c r="Q174" s="117">
        <f t="shared" si="383"/>
        <v>-385498.86</v>
      </c>
      <c r="R174" s="117">
        <f t="shared" si="384"/>
        <v>0</v>
      </c>
      <c r="S174" s="117">
        <f t="shared" si="385"/>
        <v>-385498.86</v>
      </c>
      <c r="T174" s="117">
        <f t="shared" si="386"/>
        <v>-385498.86</v>
      </c>
    </row>
    <row r="175" spans="1:20" s="40" customFormat="1">
      <c r="A175" s="22" t="s">
        <v>271</v>
      </c>
      <c r="B175" s="22" t="s">
        <v>272</v>
      </c>
      <c r="C175" s="22" t="s">
        <v>273</v>
      </c>
      <c r="D175" s="68" t="s">
        <v>274</v>
      </c>
      <c r="E175" s="115">
        <f t="shared" si="345"/>
        <v>9834244.5</v>
      </c>
      <c r="F175" s="115"/>
      <c r="G175" s="115">
        <v>9834244.5</v>
      </c>
      <c r="H175" s="115">
        <f t="shared" si="378"/>
        <v>9834244.5</v>
      </c>
      <c r="I175" s="115">
        <f t="shared" si="179"/>
        <v>5907548.5999999996</v>
      </c>
      <c r="J175" s="115"/>
      <c r="K175" s="115">
        <v>5907548.5999999996</v>
      </c>
      <c r="L175" s="115">
        <v>5907548.5999999996</v>
      </c>
      <c r="M175" s="116">
        <f t="shared" si="379"/>
        <v>0.60071199165324796</v>
      </c>
      <c r="N175" s="116" t="str">
        <f t="shared" si="380"/>
        <v/>
      </c>
      <c r="O175" s="116">
        <f t="shared" si="381"/>
        <v>0.60071199165324796</v>
      </c>
      <c r="P175" s="116">
        <f t="shared" si="382"/>
        <v>0.60071199165324796</v>
      </c>
      <c r="Q175" s="117">
        <f t="shared" si="383"/>
        <v>-3926695.9000000004</v>
      </c>
      <c r="R175" s="117">
        <f t="shared" si="384"/>
        <v>0</v>
      </c>
      <c r="S175" s="117">
        <f t="shared" si="385"/>
        <v>-3926695.9000000004</v>
      </c>
      <c r="T175" s="117">
        <f t="shared" si="386"/>
        <v>-3926695.9000000004</v>
      </c>
    </row>
    <row r="176" spans="1:20" s="40" customFormat="1" ht="54">
      <c r="A176" s="22" t="s">
        <v>246</v>
      </c>
      <c r="B176" s="21">
        <v>8110</v>
      </c>
      <c r="C176" s="22" t="s">
        <v>5</v>
      </c>
      <c r="D176" s="68" t="s">
        <v>136</v>
      </c>
      <c r="E176" s="115">
        <f t="shared" si="345"/>
        <v>25245755.349999998</v>
      </c>
      <c r="F176" s="115"/>
      <c r="G176" s="115">
        <f>22826.4+25222928.95</f>
        <v>25245755.349999998</v>
      </c>
      <c r="H176" s="115">
        <f t="shared" si="378"/>
        <v>25245755.349999998</v>
      </c>
      <c r="I176" s="115">
        <f t="shared" si="179"/>
        <v>10378769.59</v>
      </c>
      <c r="J176" s="115"/>
      <c r="K176" s="115">
        <f>5314559.09+5064210.5</f>
        <v>10378769.59</v>
      </c>
      <c r="L176" s="115">
        <f>5314559.09+5064210.5</f>
        <v>10378769.59</v>
      </c>
      <c r="M176" s="116">
        <f t="shared" si="379"/>
        <v>0.41110948934233416</v>
      </c>
      <c r="N176" s="116" t="str">
        <f t="shared" si="380"/>
        <v/>
      </c>
      <c r="O176" s="116">
        <f t="shared" si="381"/>
        <v>0.41110948934233416</v>
      </c>
      <c r="P176" s="116">
        <f t="shared" si="382"/>
        <v>0.41110948934233416</v>
      </c>
      <c r="Q176" s="117">
        <f t="shared" si="383"/>
        <v>-14866985.759999998</v>
      </c>
      <c r="R176" s="117">
        <f t="shared" si="384"/>
        <v>0</v>
      </c>
      <c r="S176" s="117">
        <f t="shared" si="385"/>
        <v>-14866985.759999998</v>
      </c>
      <c r="T176" s="117">
        <f t="shared" si="386"/>
        <v>-14866985.759999998</v>
      </c>
    </row>
    <row r="177" spans="1:20" s="40" customFormat="1" ht="36">
      <c r="A177" s="22" t="s">
        <v>342</v>
      </c>
      <c r="B177" s="22" t="s">
        <v>343</v>
      </c>
      <c r="C177" s="22" t="s">
        <v>344</v>
      </c>
      <c r="D177" s="68" t="s">
        <v>345</v>
      </c>
      <c r="E177" s="115">
        <f t="shared" si="345"/>
        <v>42720</v>
      </c>
      <c r="F177" s="115"/>
      <c r="G177" s="115">
        <v>42720</v>
      </c>
      <c r="H177" s="115">
        <f t="shared" si="378"/>
        <v>42720</v>
      </c>
      <c r="I177" s="115">
        <f t="shared" si="179"/>
        <v>0</v>
      </c>
      <c r="J177" s="115"/>
      <c r="K177" s="115"/>
      <c r="L177" s="115"/>
      <c r="M177" s="116">
        <f t="shared" si="379"/>
        <v>0</v>
      </c>
      <c r="N177" s="116" t="str">
        <f t="shared" si="380"/>
        <v/>
      </c>
      <c r="O177" s="116">
        <f t="shared" si="381"/>
        <v>0</v>
      </c>
      <c r="P177" s="116">
        <f t="shared" si="382"/>
        <v>0</v>
      </c>
      <c r="Q177" s="117">
        <f t="shared" si="383"/>
        <v>-42720</v>
      </c>
      <c r="R177" s="117">
        <f t="shared" si="384"/>
        <v>0</v>
      </c>
      <c r="S177" s="117">
        <f t="shared" si="385"/>
        <v>-42720</v>
      </c>
      <c r="T177" s="117">
        <f t="shared" si="386"/>
        <v>-42720</v>
      </c>
    </row>
    <row r="178" spans="1:20" s="40" customFormat="1" ht="36">
      <c r="A178" s="22" t="s">
        <v>346</v>
      </c>
      <c r="B178" s="22" t="s">
        <v>347</v>
      </c>
      <c r="C178" s="22" t="s">
        <v>291</v>
      </c>
      <c r="D178" s="68" t="s">
        <v>292</v>
      </c>
      <c r="E178" s="115">
        <f t="shared" si="345"/>
        <v>615344.69999999995</v>
      </c>
      <c r="F178" s="115"/>
      <c r="G178" s="115">
        <v>615344.69999999995</v>
      </c>
      <c r="H178" s="115"/>
      <c r="I178" s="115">
        <f t="shared" ref="I178" si="397">J178+K178</f>
        <v>212524.21</v>
      </c>
      <c r="J178" s="115"/>
      <c r="K178" s="115">
        <v>212524.21</v>
      </c>
      <c r="L178" s="115"/>
      <c r="M178" s="116">
        <f t="shared" si="379"/>
        <v>0.34537424308684223</v>
      </c>
      <c r="N178" s="116" t="str">
        <f t="shared" si="380"/>
        <v/>
      </c>
      <c r="O178" s="116">
        <f t="shared" si="381"/>
        <v>0.34537424308684223</v>
      </c>
      <c r="P178" s="116" t="str">
        <f t="shared" si="382"/>
        <v/>
      </c>
      <c r="Q178" s="117">
        <f t="shared" si="383"/>
        <v>-402820.49</v>
      </c>
      <c r="R178" s="117">
        <f t="shared" si="384"/>
        <v>0</v>
      </c>
      <c r="S178" s="117">
        <f t="shared" si="385"/>
        <v>-402820.49</v>
      </c>
      <c r="T178" s="117">
        <f t="shared" si="386"/>
        <v>0</v>
      </c>
    </row>
    <row r="179" spans="1:20" s="40" customFormat="1" ht="36">
      <c r="A179" s="23" t="s">
        <v>396</v>
      </c>
      <c r="B179" s="23" t="s">
        <v>397</v>
      </c>
      <c r="C179" s="23" t="s">
        <v>7</v>
      </c>
      <c r="D179" s="24" t="s">
        <v>398</v>
      </c>
      <c r="E179" s="115">
        <f t="shared" ref="E179" si="398">F179+G179</f>
        <v>2966078.98</v>
      </c>
      <c r="F179" s="115"/>
      <c r="G179" s="115">
        <v>2966078.98</v>
      </c>
      <c r="H179" s="115">
        <f>G179</f>
        <v>2966078.98</v>
      </c>
      <c r="I179" s="115">
        <f t="shared" ref="I179" si="399">J179+K179</f>
        <v>0</v>
      </c>
      <c r="J179" s="115"/>
      <c r="K179" s="115"/>
      <c r="L179" s="115"/>
      <c r="M179" s="116">
        <f t="shared" ref="M179" si="400">IFERROR((I179/E179),"")</f>
        <v>0</v>
      </c>
      <c r="N179" s="116" t="str">
        <f t="shared" ref="N179" si="401">IFERROR((J179/F179),"")</f>
        <v/>
      </c>
      <c r="O179" s="116">
        <f t="shared" ref="O179" si="402">IFERROR((K179/G179),"")</f>
        <v>0</v>
      </c>
      <c r="P179" s="116">
        <f t="shared" ref="P179" si="403">IFERROR((L179/H179),"")</f>
        <v>0</v>
      </c>
      <c r="Q179" s="117">
        <f t="shared" ref="Q179" si="404">I179-E179</f>
        <v>-2966078.98</v>
      </c>
      <c r="R179" s="117">
        <f t="shared" ref="R179" si="405">J179-F179</f>
        <v>0</v>
      </c>
      <c r="S179" s="117">
        <f t="shared" ref="S179" si="406">K179-G179</f>
        <v>-2966078.98</v>
      </c>
      <c r="T179" s="117">
        <f t="shared" ref="T179" si="407">L179-H179</f>
        <v>-2966078.98</v>
      </c>
    </row>
    <row r="180" spans="1:20" s="30" customFormat="1" ht="52.2">
      <c r="A180" s="25" t="s">
        <v>95</v>
      </c>
      <c r="B180" s="25"/>
      <c r="C180" s="25"/>
      <c r="D180" s="10" t="s">
        <v>213</v>
      </c>
      <c r="E180" s="114">
        <f t="shared" ref="E180:L180" si="408">E181</f>
        <v>21374533.960000005</v>
      </c>
      <c r="F180" s="114">
        <f t="shared" si="408"/>
        <v>19485126.730000004</v>
      </c>
      <c r="G180" s="114">
        <f t="shared" si="408"/>
        <v>1889407.23</v>
      </c>
      <c r="H180" s="114">
        <f t="shared" si="408"/>
        <v>1889407.23</v>
      </c>
      <c r="I180" s="114">
        <f t="shared" si="408"/>
        <v>20746016.84</v>
      </c>
      <c r="J180" s="114">
        <f t="shared" si="408"/>
        <v>20717516.84</v>
      </c>
      <c r="K180" s="114">
        <f t="shared" si="408"/>
        <v>28500</v>
      </c>
      <c r="L180" s="114">
        <f t="shared" si="408"/>
        <v>28500</v>
      </c>
      <c r="M180" s="112">
        <f t="shared" si="379"/>
        <v>0.97059504917505091</v>
      </c>
      <c r="N180" s="112">
        <f t="shared" si="380"/>
        <v>1.063247733878095</v>
      </c>
      <c r="O180" s="112">
        <f t="shared" si="381"/>
        <v>1.5084095978610181E-2</v>
      </c>
      <c r="P180" s="112">
        <f t="shared" si="382"/>
        <v>1.5084095978610181E-2</v>
      </c>
      <c r="Q180" s="113">
        <f t="shared" si="383"/>
        <v>-628517.12000000477</v>
      </c>
      <c r="R180" s="113">
        <f t="shared" si="384"/>
        <v>1232390.1099999957</v>
      </c>
      <c r="S180" s="113">
        <f t="shared" si="385"/>
        <v>-1860907.23</v>
      </c>
      <c r="T180" s="113">
        <f t="shared" si="386"/>
        <v>-1860907.23</v>
      </c>
    </row>
    <row r="181" spans="1:20" s="30" customFormat="1" ht="52.2">
      <c r="A181" s="25" t="s">
        <v>96</v>
      </c>
      <c r="B181" s="25"/>
      <c r="C181" s="25"/>
      <c r="D181" s="10" t="s">
        <v>213</v>
      </c>
      <c r="E181" s="114">
        <f t="shared" ref="E181:E189" si="409">F181+G181</f>
        <v>21374533.960000005</v>
      </c>
      <c r="F181" s="114">
        <f>F182+F187+F184+F186+F189+F183+F188+F185</f>
        <v>19485126.730000004</v>
      </c>
      <c r="G181" s="114">
        <f t="shared" ref="G181:H181" si="410">G182+G187+G184+G186+G189+G183+G188</f>
        <v>1889407.23</v>
      </c>
      <c r="H181" s="114">
        <f t="shared" si="410"/>
        <v>1889407.23</v>
      </c>
      <c r="I181" s="114">
        <f t="shared" ref="I181" si="411">J181+K181</f>
        <v>20746016.84</v>
      </c>
      <c r="J181" s="114">
        <f>J182+J187+J184+J186+J183+J189+J188+J185</f>
        <v>20717516.84</v>
      </c>
      <c r="K181" s="114">
        <f>K182+K187+K184+K186+K183+K189+K188+K185</f>
        <v>28500</v>
      </c>
      <c r="L181" s="114">
        <f>L182+L187+L184+L186+L183+L189+L188+L185</f>
        <v>28500</v>
      </c>
      <c r="M181" s="112">
        <f t="shared" si="379"/>
        <v>0.97059504917505091</v>
      </c>
      <c r="N181" s="112">
        <f t="shared" si="380"/>
        <v>1.063247733878095</v>
      </c>
      <c r="O181" s="112">
        <f t="shared" si="381"/>
        <v>1.5084095978610181E-2</v>
      </c>
      <c r="P181" s="112">
        <f t="shared" si="382"/>
        <v>1.5084095978610181E-2</v>
      </c>
      <c r="Q181" s="113">
        <f t="shared" si="383"/>
        <v>-628517.12000000477</v>
      </c>
      <c r="R181" s="113">
        <f t="shared" si="384"/>
        <v>1232390.1099999957</v>
      </c>
      <c r="S181" s="113">
        <f t="shared" si="385"/>
        <v>-1860907.23</v>
      </c>
      <c r="T181" s="113">
        <f t="shared" si="386"/>
        <v>-1860907.23</v>
      </c>
    </row>
    <row r="182" spans="1:20" s="40" customFormat="1" ht="54">
      <c r="A182" s="23" t="s">
        <v>97</v>
      </c>
      <c r="B182" s="23" t="s">
        <v>58</v>
      </c>
      <c r="C182" s="23" t="s">
        <v>3</v>
      </c>
      <c r="D182" s="24" t="s">
        <v>235</v>
      </c>
      <c r="E182" s="115">
        <f t="shared" si="409"/>
        <v>2968218.95</v>
      </c>
      <c r="F182" s="115">
        <v>2938218.95</v>
      </c>
      <c r="G182" s="115">
        <v>30000</v>
      </c>
      <c r="H182" s="115">
        <f>G182</f>
        <v>30000</v>
      </c>
      <c r="I182" s="115">
        <f t="shared" ref="I182:I197" si="412">J182+K182</f>
        <v>3878976.31</v>
      </c>
      <c r="J182" s="115">
        <v>3878976.31</v>
      </c>
      <c r="K182" s="115"/>
      <c r="L182" s="115"/>
      <c r="M182" s="116">
        <f t="shared" si="379"/>
        <v>1.3068363134060579</v>
      </c>
      <c r="N182" s="116">
        <f t="shared" si="380"/>
        <v>1.3201794610983637</v>
      </c>
      <c r="O182" s="116">
        <f t="shared" si="381"/>
        <v>0</v>
      </c>
      <c r="P182" s="116">
        <f t="shared" si="382"/>
        <v>0</v>
      </c>
      <c r="Q182" s="117">
        <f t="shared" si="383"/>
        <v>910757.35999999987</v>
      </c>
      <c r="R182" s="117">
        <f t="shared" si="384"/>
        <v>940757.35999999987</v>
      </c>
      <c r="S182" s="117">
        <f t="shared" si="385"/>
        <v>-30000</v>
      </c>
      <c r="T182" s="117">
        <f t="shared" si="386"/>
        <v>-30000</v>
      </c>
    </row>
    <row r="183" spans="1:20" s="40" customFormat="1" ht="36">
      <c r="A183" s="60" t="s">
        <v>310</v>
      </c>
      <c r="B183" s="60" t="s">
        <v>8</v>
      </c>
      <c r="C183" s="60" t="s">
        <v>6</v>
      </c>
      <c r="D183" s="46" t="s">
        <v>108</v>
      </c>
      <c r="E183" s="115">
        <f t="shared" si="409"/>
        <v>30537.279999999999</v>
      </c>
      <c r="F183" s="115">
        <v>30537.279999999999</v>
      </c>
      <c r="G183" s="115"/>
      <c r="H183" s="115">
        <f t="shared" ref="H183:H184" si="413">G183</f>
        <v>0</v>
      </c>
      <c r="I183" s="115">
        <f t="shared" si="412"/>
        <v>99900</v>
      </c>
      <c r="J183" s="115">
        <v>99900</v>
      </c>
      <c r="K183" s="115"/>
      <c r="L183" s="115"/>
      <c r="M183" s="116" t="s">
        <v>356</v>
      </c>
      <c r="N183" s="116" t="s">
        <v>356</v>
      </c>
      <c r="O183" s="116" t="str">
        <f t="shared" si="381"/>
        <v/>
      </c>
      <c r="P183" s="116" t="str">
        <f t="shared" si="382"/>
        <v/>
      </c>
      <c r="Q183" s="117">
        <f t="shared" si="383"/>
        <v>69362.720000000001</v>
      </c>
      <c r="R183" s="117">
        <f t="shared" si="384"/>
        <v>69362.720000000001</v>
      </c>
      <c r="S183" s="117">
        <f t="shared" si="385"/>
        <v>0</v>
      </c>
      <c r="T183" s="117">
        <f t="shared" si="386"/>
        <v>0</v>
      </c>
    </row>
    <row r="184" spans="1:20" s="40" customFormat="1" ht="36">
      <c r="A184" s="21" t="s">
        <v>247</v>
      </c>
      <c r="B184" s="21" t="s">
        <v>155</v>
      </c>
      <c r="C184" s="21" t="s">
        <v>7</v>
      </c>
      <c r="D184" s="68" t="s">
        <v>248</v>
      </c>
      <c r="E184" s="115">
        <f t="shared" si="409"/>
        <v>128437.21</v>
      </c>
      <c r="F184" s="115">
        <v>128437.21</v>
      </c>
      <c r="G184" s="115"/>
      <c r="H184" s="115">
        <f t="shared" si="413"/>
        <v>0</v>
      </c>
      <c r="I184" s="115">
        <f t="shared" si="412"/>
        <v>194000</v>
      </c>
      <c r="J184" s="115">
        <v>194000</v>
      </c>
      <c r="K184" s="115"/>
      <c r="L184" s="115"/>
      <c r="M184" s="116">
        <f t="shared" si="379"/>
        <v>1.5104656975965143</v>
      </c>
      <c r="N184" s="116">
        <f t="shared" si="380"/>
        <v>1.5104656975965143</v>
      </c>
      <c r="O184" s="116" t="str">
        <f t="shared" si="381"/>
        <v/>
      </c>
      <c r="P184" s="116" t="str">
        <f t="shared" si="382"/>
        <v/>
      </c>
      <c r="Q184" s="117">
        <f t="shared" si="383"/>
        <v>65562.789999999994</v>
      </c>
      <c r="R184" s="117">
        <f t="shared" si="384"/>
        <v>65562.789999999994</v>
      </c>
      <c r="S184" s="117">
        <f t="shared" si="385"/>
        <v>0</v>
      </c>
      <c r="T184" s="117">
        <f t="shared" si="386"/>
        <v>0</v>
      </c>
    </row>
    <row r="185" spans="1:20" s="40" customFormat="1">
      <c r="A185" s="70" t="s">
        <v>351</v>
      </c>
      <c r="B185" s="70" t="s">
        <v>352</v>
      </c>
      <c r="C185" s="70" t="s">
        <v>349</v>
      </c>
      <c r="D185" s="71" t="s">
        <v>350</v>
      </c>
      <c r="E185" s="115">
        <f t="shared" si="409"/>
        <v>94000</v>
      </c>
      <c r="F185" s="115">
        <v>94000</v>
      </c>
      <c r="G185" s="115"/>
      <c r="H185" s="115"/>
      <c r="I185" s="115">
        <f t="shared" si="412"/>
        <v>194000</v>
      </c>
      <c r="J185" s="115">
        <v>194000</v>
      </c>
      <c r="K185" s="115"/>
      <c r="L185" s="115"/>
      <c r="M185" s="116">
        <f t="shared" si="379"/>
        <v>2.0638297872340425</v>
      </c>
      <c r="N185" s="116">
        <f t="shared" si="380"/>
        <v>2.0638297872340425</v>
      </c>
      <c r="O185" s="116" t="str">
        <f t="shared" si="381"/>
        <v/>
      </c>
      <c r="P185" s="116" t="str">
        <f t="shared" si="382"/>
        <v/>
      </c>
      <c r="Q185" s="117">
        <f t="shared" si="383"/>
        <v>100000</v>
      </c>
      <c r="R185" s="117">
        <f t="shared" si="384"/>
        <v>100000</v>
      </c>
      <c r="S185" s="117">
        <f t="shared" si="385"/>
        <v>0</v>
      </c>
      <c r="T185" s="117">
        <f t="shared" si="386"/>
        <v>0</v>
      </c>
    </row>
    <row r="186" spans="1:20" s="40" customFormat="1" ht="36">
      <c r="A186" s="21">
        <v>3117350</v>
      </c>
      <c r="B186" s="21">
        <v>7350</v>
      </c>
      <c r="C186" s="22" t="s">
        <v>269</v>
      </c>
      <c r="D186" s="68" t="s">
        <v>270</v>
      </c>
      <c r="E186" s="115">
        <f t="shared" si="409"/>
        <v>1414343.89</v>
      </c>
      <c r="F186" s="115">
        <f>1414343.89</f>
        <v>1414343.89</v>
      </c>
      <c r="G186" s="115"/>
      <c r="H186" s="115">
        <f t="shared" ref="H186:H187" si="414">G186</f>
        <v>0</v>
      </c>
      <c r="I186" s="115">
        <f t="shared" si="412"/>
        <v>1499932</v>
      </c>
      <c r="J186" s="115">
        <v>1499932</v>
      </c>
      <c r="K186" s="115"/>
      <c r="L186" s="115"/>
      <c r="M186" s="116">
        <f t="shared" si="379"/>
        <v>1.0605143562362334</v>
      </c>
      <c r="N186" s="116">
        <f t="shared" si="380"/>
        <v>1.0605143562362334</v>
      </c>
      <c r="O186" s="116" t="str">
        <f t="shared" si="381"/>
        <v/>
      </c>
      <c r="P186" s="116" t="str">
        <f t="shared" si="382"/>
        <v/>
      </c>
      <c r="Q186" s="117">
        <f t="shared" si="383"/>
        <v>85588.110000000102</v>
      </c>
      <c r="R186" s="117">
        <f t="shared" si="384"/>
        <v>85588.110000000102</v>
      </c>
      <c r="S186" s="117">
        <f t="shared" si="385"/>
        <v>0</v>
      </c>
      <c r="T186" s="117">
        <f t="shared" si="386"/>
        <v>0</v>
      </c>
    </row>
    <row r="187" spans="1:20" s="40" customFormat="1" ht="36">
      <c r="A187" s="23" t="s">
        <v>178</v>
      </c>
      <c r="B187" s="23" t="s">
        <v>134</v>
      </c>
      <c r="C187" s="23" t="s">
        <v>20</v>
      </c>
      <c r="D187" s="24" t="s">
        <v>135</v>
      </c>
      <c r="E187" s="115">
        <f t="shared" si="409"/>
        <v>16605988.82</v>
      </c>
      <c r="F187" s="115">
        <f>1452837.67+476332.69+218752.3+12598658.93</f>
        <v>14746581.59</v>
      </c>
      <c r="G187" s="115">
        <f>85300+1774107.23</f>
        <v>1859407.23</v>
      </c>
      <c r="H187" s="115">
        <f t="shared" si="414"/>
        <v>1859407.23</v>
      </c>
      <c r="I187" s="115">
        <f t="shared" si="412"/>
        <v>14771208.84</v>
      </c>
      <c r="J187" s="115">
        <f>1711497.66+77702.39+12953508.79</f>
        <v>14742708.84</v>
      </c>
      <c r="K187" s="115">
        <v>28500</v>
      </c>
      <c r="L187" s="115">
        <v>28500</v>
      </c>
      <c r="M187" s="116">
        <f t="shared" si="379"/>
        <v>0.88951094693077115</v>
      </c>
      <c r="N187" s="116">
        <f t="shared" si="380"/>
        <v>0.99973737981400201</v>
      </c>
      <c r="O187" s="116">
        <f t="shared" si="381"/>
        <v>1.5327465409500425E-2</v>
      </c>
      <c r="P187" s="116">
        <f t="shared" si="382"/>
        <v>1.5327465409500425E-2</v>
      </c>
      <c r="Q187" s="117">
        <f t="shared" si="383"/>
        <v>-1834779.9800000004</v>
      </c>
      <c r="R187" s="117">
        <f t="shared" si="384"/>
        <v>-3872.75</v>
      </c>
      <c r="S187" s="117">
        <f t="shared" si="385"/>
        <v>-1830907.23</v>
      </c>
      <c r="T187" s="117">
        <f t="shared" si="386"/>
        <v>-1830907.23</v>
      </c>
    </row>
    <row r="188" spans="1:20" s="40" customFormat="1" ht="54">
      <c r="A188" s="21">
        <v>3118110</v>
      </c>
      <c r="B188" s="21">
        <v>8110</v>
      </c>
      <c r="C188" s="22" t="s">
        <v>5</v>
      </c>
      <c r="D188" s="68" t="s">
        <v>136</v>
      </c>
      <c r="E188" s="115">
        <f t="shared" si="409"/>
        <v>23757.599999999999</v>
      </c>
      <c r="F188" s="115">
        <f>17076+6681.6</f>
        <v>23757.599999999999</v>
      </c>
      <c r="G188" s="115"/>
      <c r="H188" s="115"/>
      <c r="I188" s="115">
        <f t="shared" si="412"/>
        <v>0</v>
      </c>
      <c r="J188" s="115"/>
      <c r="K188" s="115"/>
      <c r="L188" s="115"/>
      <c r="M188" s="116">
        <f t="shared" si="379"/>
        <v>0</v>
      </c>
      <c r="N188" s="116">
        <f t="shared" si="380"/>
        <v>0</v>
      </c>
      <c r="O188" s="116" t="str">
        <f t="shared" si="381"/>
        <v/>
      </c>
      <c r="P188" s="116" t="str">
        <f t="shared" si="382"/>
        <v/>
      </c>
      <c r="Q188" s="117">
        <f t="shared" si="383"/>
        <v>-23757.599999999999</v>
      </c>
      <c r="R188" s="117">
        <f t="shared" si="384"/>
        <v>-23757.599999999999</v>
      </c>
      <c r="S188" s="117">
        <f t="shared" si="385"/>
        <v>0</v>
      </c>
      <c r="T188" s="117">
        <f t="shared" si="386"/>
        <v>0</v>
      </c>
    </row>
    <row r="189" spans="1:20" s="40" customFormat="1" ht="30" customHeight="1">
      <c r="A189" s="63" t="s">
        <v>311</v>
      </c>
      <c r="B189" s="63" t="s">
        <v>249</v>
      </c>
      <c r="C189" s="63" t="s">
        <v>221</v>
      </c>
      <c r="D189" s="50" t="s">
        <v>245</v>
      </c>
      <c r="E189" s="115">
        <f t="shared" si="409"/>
        <v>109250.21</v>
      </c>
      <c r="F189" s="115">
        <v>109250.21</v>
      </c>
      <c r="G189" s="115"/>
      <c r="H189" s="115"/>
      <c r="I189" s="115">
        <f t="shared" si="412"/>
        <v>107999.69</v>
      </c>
      <c r="J189" s="115">
        <v>107999.69</v>
      </c>
      <c r="K189" s="115"/>
      <c r="L189" s="115"/>
      <c r="M189" s="116">
        <f t="shared" si="379"/>
        <v>0.98855361467955072</v>
      </c>
      <c r="N189" s="116">
        <f t="shared" si="380"/>
        <v>0.98855361467955072</v>
      </c>
      <c r="O189" s="116" t="str">
        <f t="shared" si="381"/>
        <v/>
      </c>
      <c r="P189" s="116" t="str">
        <f t="shared" si="382"/>
        <v/>
      </c>
      <c r="Q189" s="117">
        <f t="shared" si="383"/>
        <v>-1250.5200000000041</v>
      </c>
      <c r="R189" s="117">
        <f t="shared" si="384"/>
        <v>-1250.5200000000041</v>
      </c>
      <c r="S189" s="117">
        <f t="shared" si="385"/>
        <v>0</v>
      </c>
      <c r="T189" s="117">
        <f t="shared" si="386"/>
        <v>0</v>
      </c>
    </row>
    <row r="190" spans="1:20" s="30" customFormat="1" ht="52.2">
      <c r="A190" s="25" t="s">
        <v>98</v>
      </c>
      <c r="B190" s="25"/>
      <c r="C190" s="25"/>
      <c r="D190" s="10" t="s">
        <v>214</v>
      </c>
      <c r="E190" s="114">
        <f t="shared" ref="E190:L190" si="415">E191</f>
        <v>101558782.90000001</v>
      </c>
      <c r="F190" s="114">
        <f t="shared" si="415"/>
        <v>74153544.620000005</v>
      </c>
      <c r="G190" s="114">
        <f t="shared" si="415"/>
        <v>27405238.280000001</v>
      </c>
      <c r="H190" s="114">
        <f t="shared" si="415"/>
        <v>27404279.280000001</v>
      </c>
      <c r="I190" s="114">
        <f t="shared" si="415"/>
        <v>99923031.769999996</v>
      </c>
      <c r="J190" s="114">
        <f t="shared" si="415"/>
        <v>25477692.550000001</v>
      </c>
      <c r="K190" s="114">
        <f t="shared" si="415"/>
        <v>74445339.219999999</v>
      </c>
      <c r="L190" s="114">
        <f t="shared" si="415"/>
        <v>74445206.469999999</v>
      </c>
      <c r="M190" s="112">
        <f t="shared" si="379"/>
        <v>0.98389355323792471</v>
      </c>
      <c r="N190" s="112">
        <f t="shared" si="380"/>
        <v>0.34358023855178454</v>
      </c>
      <c r="O190" s="112">
        <f t="shared" si="381"/>
        <v>2.7164638548072495</v>
      </c>
      <c r="P190" s="112">
        <f t="shared" si="382"/>
        <v>2.7165540720616974</v>
      </c>
      <c r="Q190" s="113">
        <f t="shared" si="383"/>
        <v>-1635751.1300000101</v>
      </c>
      <c r="R190" s="113">
        <f t="shared" si="384"/>
        <v>-48675852.070000008</v>
      </c>
      <c r="S190" s="113">
        <f t="shared" si="385"/>
        <v>47040100.939999998</v>
      </c>
      <c r="T190" s="113">
        <f t="shared" si="386"/>
        <v>47040927.189999998</v>
      </c>
    </row>
    <row r="191" spans="1:20" s="30" customFormat="1" ht="52.2">
      <c r="A191" s="25" t="s">
        <v>99</v>
      </c>
      <c r="B191" s="25"/>
      <c r="C191" s="25"/>
      <c r="D191" s="10" t="s">
        <v>215</v>
      </c>
      <c r="E191" s="114">
        <f t="shared" ref="E191:E196" si="416">F191+G191</f>
        <v>101558782.90000001</v>
      </c>
      <c r="F191" s="114">
        <f>F192+F193+F194+F196+F195</f>
        <v>74153544.620000005</v>
      </c>
      <c r="G191" s="114">
        <f t="shared" ref="G191:H191" si="417">G192+G193+G194+G196+G195</f>
        <v>27405238.280000001</v>
      </c>
      <c r="H191" s="114">
        <f t="shared" si="417"/>
        <v>27404279.280000001</v>
      </c>
      <c r="I191" s="114">
        <f t="shared" ref="I191" si="418">J191+K191</f>
        <v>99923031.769999996</v>
      </c>
      <c r="J191" s="114">
        <f>J192+J193+J194+J196+J195</f>
        <v>25477692.550000001</v>
      </c>
      <c r="K191" s="114">
        <f t="shared" ref="K191:L191" si="419">K192+K193+K194+K196+K195</f>
        <v>74445339.219999999</v>
      </c>
      <c r="L191" s="114">
        <f t="shared" si="419"/>
        <v>74445206.469999999</v>
      </c>
      <c r="M191" s="112">
        <f t="shared" si="379"/>
        <v>0.98389355323792471</v>
      </c>
      <c r="N191" s="112">
        <f t="shared" si="380"/>
        <v>0.34358023855178454</v>
      </c>
      <c r="O191" s="112">
        <f t="shared" ref="O191" si="420">IFERROR((K191/G191),"")</f>
        <v>2.7164638548072495</v>
      </c>
      <c r="P191" s="112">
        <f t="shared" ref="P191" si="421">IFERROR((L191/H191),"")</f>
        <v>2.7165540720616974</v>
      </c>
      <c r="Q191" s="113">
        <f t="shared" si="383"/>
        <v>-1635751.1300000101</v>
      </c>
      <c r="R191" s="113">
        <f t="shared" si="384"/>
        <v>-48675852.070000008</v>
      </c>
      <c r="S191" s="113">
        <f t="shared" si="385"/>
        <v>47040100.939999998</v>
      </c>
      <c r="T191" s="113">
        <f t="shared" si="386"/>
        <v>47040927.189999998</v>
      </c>
    </row>
    <row r="192" spans="1:20" s="40" customFormat="1" ht="54">
      <c r="A192" s="23" t="s">
        <v>100</v>
      </c>
      <c r="B192" s="23" t="s">
        <v>58</v>
      </c>
      <c r="C192" s="23" t="s">
        <v>3</v>
      </c>
      <c r="D192" s="24" t="s">
        <v>235</v>
      </c>
      <c r="E192" s="115">
        <f t="shared" si="416"/>
        <v>5123511.6100000003</v>
      </c>
      <c r="F192" s="115">
        <v>5028372.6100000003</v>
      </c>
      <c r="G192" s="115">
        <f>959+94180</f>
        <v>95139</v>
      </c>
      <c r="H192" s="115">
        <v>94180</v>
      </c>
      <c r="I192" s="115">
        <f t="shared" si="412"/>
        <v>6370105.4199999999</v>
      </c>
      <c r="J192" s="115">
        <v>6369972.6699999999</v>
      </c>
      <c r="K192" s="115">
        <v>132.75</v>
      </c>
      <c r="L192" s="115"/>
      <c r="M192" s="116">
        <f t="shared" si="379"/>
        <v>1.2433084776400067</v>
      </c>
      <c r="N192" s="116">
        <f t="shared" si="380"/>
        <v>1.2668060153959035</v>
      </c>
      <c r="O192" s="116">
        <f t="shared" si="381"/>
        <v>1.3953268375744962E-3</v>
      </c>
      <c r="P192" s="116">
        <f t="shared" si="382"/>
        <v>0</v>
      </c>
      <c r="Q192" s="117">
        <f t="shared" si="383"/>
        <v>1246593.8099999996</v>
      </c>
      <c r="R192" s="117">
        <f t="shared" si="384"/>
        <v>1341600.0599999996</v>
      </c>
      <c r="S192" s="117">
        <f t="shared" si="385"/>
        <v>-95006.25</v>
      </c>
      <c r="T192" s="117">
        <f t="shared" si="386"/>
        <v>-94180</v>
      </c>
    </row>
    <row r="193" spans="1:20" s="40" customFormat="1" ht="36">
      <c r="A193" s="23" t="s">
        <v>109</v>
      </c>
      <c r="B193" s="23" t="s">
        <v>8</v>
      </c>
      <c r="C193" s="23" t="s">
        <v>6</v>
      </c>
      <c r="D193" s="24" t="s">
        <v>108</v>
      </c>
      <c r="E193" s="115">
        <f t="shared" si="416"/>
        <v>44408</v>
      </c>
      <c r="F193" s="115">
        <v>44408</v>
      </c>
      <c r="G193" s="115"/>
      <c r="H193" s="115">
        <f t="shared" ref="H193" si="422">G193</f>
        <v>0</v>
      </c>
      <c r="I193" s="115">
        <f t="shared" si="412"/>
        <v>50850</v>
      </c>
      <c r="J193" s="115">
        <v>50850</v>
      </c>
      <c r="K193" s="115"/>
      <c r="L193" s="115"/>
      <c r="M193" s="116">
        <f t="shared" si="379"/>
        <v>1.1450639524410016</v>
      </c>
      <c r="N193" s="116">
        <f t="shared" si="380"/>
        <v>1.1450639524410016</v>
      </c>
      <c r="O193" s="116" t="str">
        <f t="shared" si="381"/>
        <v/>
      </c>
      <c r="P193" s="116" t="str">
        <f t="shared" si="382"/>
        <v/>
      </c>
      <c r="Q193" s="117">
        <f t="shared" si="383"/>
        <v>6442</v>
      </c>
      <c r="R193" s="117">
        <f t="shared" si="384"/>
        <v>6442</v>
      </c>
      <c r="S193" s="117">
        <f t="shared" si="385"/>
        <v>0</v>
      </c>
      <c r="T193" s="117">
        <f t="shared" si="386"/>
        <v>0</v>
      </c>
    </row>
    <row r="194" spans="1:20" s="40" customFormat="1">
      <c r="A194" s="23" t="s">
        <v>111</v>
      </c>
      <c r="B194" s="23" t="s">
        <v>110</v>
      </c>
      <c r="C194" s="23" t="s">
        <v>8</v>
      </c>
      <c r="D194" s="24" t="s">
        <v>2</v>
      </c>
      <c r="E194" s="115">
        <f t="shared" si="416"/>
        <v>10294700</v>
      </c>
      <c r="F194" s="115">
        <v>10294700</v>
      </c>
      <c r="G194" s="115"/>
      <c r="H194" s="115"/>
      <c r="I194" s="115">
        <f t="shared" si="412"/>
        <v>0</v>
      </c>
      <c r="J194" s="115"/>
      <c r="K194" s="115"/>
      <c r="L194" s="115"/>
      <c r="M194" s="116">
        <f t="shared" si="379"/>
        <v>0</v>
      </c>
      <c r="N194" s="116">
        <f t="shared" si="380"/>
        <v>0</v>
      </c>
      <c r="O194" s="116" t="str">
        <f t="shared" si="381"/>
        <v/>
      </c>
      <c r="P194" s="116" t="str">
        <f t="shared" si="382"/>
        <v/>
      </c>
      <c r="Q194" s="117">
        <f t="shared" si="383"/>
        <v>-10294700</v>
      </c>
      <c r="R194" s="117">
        <f t="shared" si="384"/>
        <v>-10294700</v>
      </c>
      <c r="S194" s="117">
        <f t="shared" si="385"/>
        <v>0</v>
      </c>
      <c r="T194" s="117">
        <f t="shared" si="386"/>
        <v>0</v>
      </c>
    </row>
    <row r="195" spans="1:20" s="40" customFormat="1">
      <c r="A195" s="23" t="s">
        <v>163</v>
      </c>
      <c r="B195" s="23" t="s">
        <v>161</v>
      </c>
      <c r="C195" s="23" t="s">
        <v>8</v>
      </c>
      <c r="D195" s="16" t="s">
        <v>162</v>
      </c>
      <c r="E195" s="115">
        <f t="shared" si="416"/>
        <v>36120000</v>
      </c>
      <c r="F195" s="115">
        <v>35120000</v>
      </c>
      <c r="G195" s="115">
        <v>1000000</v>
      </c>
      <c r="H195" s="115">
        <f t="shared" ref="H195:H196" si="423">G195</f>
        <v>1000000</v>
      </c>
      <c r="I195" s="115">
        <f t="shared" si="412"/>
        <v>6207500</v>
      </c>
      <c r="J195" s="115">
        <v>4124000</v>
      </c>
      <c r="K195" s="115">
        <v>2083500</v>
      </c>
      <c r="L195" s="115">
        <v>2083500</v>
      </c>
      <c r="M195" s="116">
        <f t="shared" si="379"/>
        <v>0.1718576965669989</v>
      </c>
      <c r="N195" s="116">
        <f t="shared" si="380"/>
        <v>0.1174259681093394</v>
      </c>
      <c r="O195" s="116">
        <f t="shared" si="381"/>
        <v>2.0834999999999999</v>
      </c>
      <c r="P195" s="116">
        <f t="shared" si="382"/>
        <v>2.0834999999999999</v>
      </c>
      <c r="Q195" s="117">
        <f t="shared" si="383"/>
        <v>-29912500</v>
      </c>
      <c r="R195" s="117">
        <f t="shared" si="384"/>
        <v>-30996000</v>
      </c>
      <c r="S195" s="117">
        <f t="shared" si="385"/>
        <v>1083500</v>
      </c>
      <c r="T195" s="117">
        <f t="shared" si="386"/>
        <v>1083500</v>
      </c>
    </row>
    <row r="196" spans="1:20" s="40" customFormat="1" ht="54">
      <c r="A196" s="23" t="s">
        <v>159</v>
      </c>
      <c r="B196" s="23" t="s">
        <v>157</v>
      </c>
      <c r="C196" s="37" t="s">
        <v>8</v>
      </c>
      <c r="D196" s="15" t="s">
        <v>158</v>
      </c>
      <c r="E196" s="115">
        <f t="shared" si="416"/>
        <v>49976163.290000007</v>
      </c>
      <c r="F196" s="115">
        <v>23666064.010000002</v>
      </c>
      <c r="G196" s="115">
        <v>26310099.280000001</v>
      </c>
      <c r="H196" s="115">
        <f t="shared" si="423"/>
        <v>26310099.280000001</v>
      </c>
      <c r="I196" s="115">
        <f t="shared" si="412"/>
        <v>87294576.349999994</v>
      </c>
      <c r="J196" s="115">
        <v>14932869.880000001</v>
      </c>
      <c r="K196" s="115">
        <v>72361706.469999999</v>
      </c>
      <c r="L196" s="115">
        <v>72361706.469999999</v>
      </c>
      <c r="M196" s="116">
        <f t="shared" si="379"/>
        <v>1.7467242501880336</v>
      </c>
      <c r="N196" s="116">
        <f t="shared" si="380"/>
        <v>0.63098240052465737</v>
      </c>
      <c r="O196" s="116">
        <f t="shared" ref="O196" si="424">IFERROR((K196/G196),"")</f>
        <v>2.7503395445188148</v>
      </c>
      <c r="P196" s="116">
        <f t="shared" ref="P196" si="425">IFERROR((L196/H196),"")</f>
        <v>2.7503395445188148</v>
      </c>
      <c r="Q196" s="117">
        <f t="shared" si="383"/>
        <v>37318413.059999987</v>
      </c>
      <c r="R196" s="117">
        <f t="shared" si="384"/>
        <v>-8733194.1300000008</v>
      </c>
      <c r="S196" s="117">
        <f t="shared" si="385"/>
        <v>46051607.189999998</v>
      </c>
      <c r="T196" s="117">
        <f t="shared" si="386"/>
        <v>46051607.189999998</v>
      </c>
    </row>
    <row r="197" spans="1:20" s="30" customFormat="1" ht="17.399999999999999">
      <c r="A197" s="25"/>
      <c r="B197" s="25"/>
      <c r="C197" s="25"/>
      <c r="D197" s="17" t="s">
        <v>1</v>
      </c>
      <c r="E197" s="114">
        <f t="shared" ref="E197" si="426">F197+G197</f>
        <v>1153966212.4100001</v>
      </c>
      <c r="F197" s="114">
        <f>F8+F43+F75+F103+F115+F124+F156+F180+F190+F98</f>
        <v>911415961.11000013</v>
      </c>
      <c r="G197" s="114">
        <f>G8+G43+G75+G103+G115+G124+G156+G180+G190+G98</f>
        <v>242550251.29999998</v>
      </c>
      <c r="H197" s="114">
        <f>H8+H43+H75+H103+H115+H124+H156+H180+H190+H98</f>
        <v>223311719.83999997</v>
      </c>
      <c r="I197" s="114">
        <f t="shared" si="412"/>
        <v>1175749142.53</v>
      </c>
      <c r="J197" s="114">
        <f>J8+J43+J75+J103+J115+J124+J156+J180+J190+J98</f>
        <v>937959522.98000002</v>
      </c>
      <c r="K197" s="114">
        <f>K8+K43+K75+K103+K115+K124+K156+K180+K190+K98</f>
        <v>237789619.54999998</v>
      </c>
      <c r="L197" s="114">
        <f>L8+L43+L75+L103+L115+L124+L156+L180+L190+L98</f>
        <v>208467372.08000001</v>
      </c>
      <c r="M197" s="112">
        <f t="shared" si="379"/>
        <v>1.0188765753154136</v>
      </c>
      <c r="N197" s="112">
        <f t="shared" si="380"/>
        <v>1.0291234332100931</v>
      </c>
      <c r="O197" s="112">
        <f t="shared" si="381"/>
        <v>0.98037259609303895</v>
      </c>
      <c r="P197" s="112">
        <f t="shared" si="382"/>
        <v>0.93352633811321795</v>
      </c>
      <c r="Q197" s="113">
        <f t="shared" si="383"/>
        <v>21782930.119999886</v>
      </c>
      <c r="R197" s="113">
        <f t="shared" si="384"/>
        <v>26543561.869999886</v>
      </c>
      <c r="S197" s="113">
        <f t="shared" si="385"/>
        <v>-4760631.75</v>
      </c>
      <c r="T197" s="113">
        <f t="shared" si="386"/>
        <v>-14844347.759999961</v>
      </c>
    </row>
    <row r="198" spans="1:20" s="30" customFormat="1" ht="17.399999999999999">
      <c r="A198" s="76"/>
      <c r="B198" s="76"/>
      <c r="C198" s="76"/>
      <c r="D198" s="77"/>
      <c r="E198" s="78"/>
      <c r="F198" s="78"/>
      <c r="G198" s="78"/>
      <c r="H198" s="78"/>
      <c r="I198" s="78"/>
      <c r="J198" s="78"/>
      <c r="K198" s="78"/>
      <c r="L198" s="78"/>
      <c r="M198" s="79"/>
      <c r="N198" s="79"/>
      <c r="O198" s="79"/>
      <c r="P198" s="79"/>
      <c r="Q198" s="80"/>
      <c r="R198" s="80"/>
      <c r="S198" s="80"/>
      <c r="T198" s="80"/>
    </row>
    <row r="199" spans="1:20">
      <c r="A199" s="29"/>
      <c r="B199" s="1"/>
      <c r="C199" s="1"/>
      <c r="D199" s="1" t="s">
        <v>184</v>
      </c>
      <c r="E199" s="2"/>
      <c r="F199" s="2"/>
      <c r="G199" s="5"/>
      <c r="H199" s="3"/>
      <c r="J199" s="6"/>
      <c r="K199" s="4" t="s">
        <v>219</v>
      </c>
      <c r="L199" s="7"/>
      <c r="M199" s="3"/>
      <c r="N199" s="4"/>
      <c r="O199" s="4"/>
      <c r="P199" s="4"/>
      <c r="Q199" s="5"/>
      <c r="R199" s="5"/>
      <c r="S199" s="5"/>
      <c r="T199" s="5"/>
    </row>
    <row r="200" spans="1:20">
      <c r="E200" s="33"/>
      <c r="F200" s="33"/>
      <c r="G200" s="5"/>
      <c r="J200" s="5"/>
      <c r="K200" s="34"/>
      <c r="Q200" s="34"/>
      <c r="R200" s="34"/>
      <c r="S200" s="34"/>
      <c r="T200" s="34"/>
    </row>
    <row r="201" spans="1:20">
      <c r="I201" s="34"/>
      <c r="J201" s="34"/>
      <c r="K201" s="34"/>
      <c r="L201" s="34"/>
    </row>
    <row r="202" spans="1:20">
      <c r="I202" s="34"/>
      <c r="J202" s="34"/>
      <c r="K202" s="34"/>
      <c r="L202" s="34"/>
    </row>
    <row r="204" spans="1:20">
      <c r="H204" s="34"/>
    </row>
    <row r="205" spans="1:20">
      <c r="H205" s="34"/>
    </row>
    <row r="206" spans="1:20">
      <c r="H206" s="34"/>
    </row>
  </sheetData>
  <mergeCells count="29">
    <mergeCell ref="R3:T3"/>
    <mergeCell ref="R4:R6"/>
    <mergeCell ref="S4:T4"/>
    <mergeCell ref="S5:S6"/>
    <mergeCell ref="E2:H2"/>
    <mergeCell ref="E3:E6"/>
    <mergeCell ref="F3:H3"/>
    <mergeCell ref="M2:P2"/>
    <mergeCell ref="M3:M6"/>
    <mergeCell ref="N3:P3"/>
    <mergeCell ref="G5:G6"/>
    <mergeCell ref="O5:O6"/>
    <mergeCell ref="G4:H4"/>
    <mergeCell ref="A1:T1"/>
    <mergeCell ref="K4:L4"/>
    <mergeCell ref="N4:N6"/>
    <mergeCell ref="O4:P4"/>
    <mergeCell ref="K5:K6"/>
    <mergeCell ref="I2:L2"/>
    <mergeCell ref="I3:I6"/>
    <mergeCell ref="J3:L3"/>
    <mergeCell ref="J4:J6"/>
    <mergeCell ref="A2:A6"/>
    <mergeCell ref="B2:B6"/>
    <mergeCell ref="C2:C6"/>
    <mergeCell ref="D2:D6"/>
    <mergeCell ref="F4:F6"/>
    <mergeCell ref="Q2:T2"/>
    <mergeCell ref="Q3:Q6"/>
  </mergeCells>
  <pageMargins left="0.35433070866141736" right="0.35433070866141736" top="0.55118110236220474" bottom="0.31496062992125984" header="0.15748031496062992" footer="0.11811023622047245"/>
  <pageSetup paperSize="9" scale="35" fitToHeight="13" orientation="landscape" r:id="rId1"/>
  <headerFooter differentFirst="1" alignWithMargins="0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2</vt:i4>
      </vt:variant>
    </vt:vector>
  </HeadingPairs>
  <TitlesOfParts>
    <vt:vector size="3" baseType="lpstr">
      <vt:lpstr>2024</vt:lpstr>
      <vt:lpstr>'2024'!Заголовки_для_друку</vt:lpstr>
      <vt:lpstr>'2024'!Область_друку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220FU6</cp:lastModifiedBy>
  <cp:lastPrinted>2025-01-19T14:21:41Z</cp:lastPrinted>
  <dcterms:created xsi:type="dcterms:W3CDTF">2012-12-15T07:44:03Z</dcterms:created>
  <dcterms:modified xsi:type="dcterms:W3CDTF">2025-01-19T19:46:53Z</dcterms:modified>
</cp:coreProperties>
</file>