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02_НАСТУПНЕ\на сайт\"/>
    </mc:Choice>
  </mc:AlternateContent>
  <bookViews>
    <workbookView xWindow="-108" yWindow="-108" windowWidth="23256" windowHeight="12576"/>
  </bookViews>
  <sheets>
    <sheet name="2025" sheetId="1" r:id="rId1"/>
  </sheets>
  <definedNames>
    <definedName name="_xlnm.Print_Titles" localSheetId="0">'2025'!$13:$17</definedName>
    <definedName name="_xlnm.Print_Area" localSheetId="0">'2025'!$A$1:$P$201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0" i="1" l="1"/>
  <c r="K60" i="1"/>
  <c r="F60" i="1"/>
  <c r="F120" i="1"/>
  <c r="F26" i="1"/>
  <c r="F127" i="1" l="1"/>
  <c r="F126" i="1"/>
  <c r="F92" i="1"/>
  <c r="F53" i="1"/>
  <c r="O135" i="1" l="1"/>
  <c r="K135" i="1"/>
  <c r="F182" i="1" l="1"/>
  <c r="F138" i="1" l="1"/>
  <c r="I138" i="1"/>
  <c r="L122" i="1" l="1"/>
  <c r="M122" i="1"/>
  <c r="N122" i="1"/>
  <c r="O122" i="1"/>
  <c r="K122" i="1"/>
  <c r="F195" i="1"/>
  <c r="G195" i="1"/>
  <c r="H195" i="1"/>
  <c r="I195" i="1"/>
  <c r="K195" i="1"/>
  <c r="L195" i="1"/>
  <c r="M195" i="1"/>
  <c r="N195" i="1"/>
  <c r="O195" i="1"/>
  <c r="O181" i="1"/>
  <c r="K181" i="1"/>
  <c r="F181" i="1"/>
  <c r="E181" i="1" s="1"/>
  <c r="E186" i="1"/>
  <c r="P186" i="1" s="1"/>
  <c r="J185" i="1"/>
  <c r="P185" i="1" s="1"/>
  <c r="J186" i="1"/>
  <c r="E185" i="1"/>
  <c r="J184" i="1"/>
  <c r="P184" i="1" s="1"/>
  <c r="E184" i="1"/>
  <c r="O182" i="1"/>
  <c r="K182" i="1"/>
  <c r="F178" i="1"/>
  <c r="F168" i="1"/>
  <c r="F189" i="1"/>
  <c r="G189" i="1"/>
  <c r="H189" i="1"/>
  <c r="I189" i="1"/>
  <c r="K189" i="1"/>
  <c r="L189" i="1"/>
  <c r="M189" i="1"/>
  <c r="N189" i="1"/>
  <c r="O189" i="1"/>
  <c r="L150" i="1"/>
  <c r="M150" i="1"/>
  <c r="N150" i="1"/>
  <c r="O150" i="1"/>
  <c r="K150" i="1"/>
  <c r="G150" i="1"/>
  <c r="H150" i="1"/>
  <c r="I150" i="1"/>
  <c r="F150" i="1"/>
  <c r="J155" i="1" l="1"/>
  <c r="E155" i="1"/>
  <c r="P155" i="1" s="1"/>
  <c r="J151" i="1"/>
  <c r="E151" i="1"/>
  <c r="P151" i="1" s="1"/>
  <c r="O148" i="1"/>
  <c r="K148" i="1"/>
  <c r="I146" i="1"/>
  <c r="O139" i="1"/>
  <c r="K139" i="1"/>
  <c r="J139" i="1"/>
  <c r="E139" i="1"/>
  <c r="O138" i="1"/>
  <c r="K138" i="1"/>
  <c r="P139" i="1" l="1"/>
  <c r="F125" i="1" l="1"/>
  <c r="O118" i="1"/>
  <c r="F118" i="1"/>
  <c r="F117" i="1"/>
  <c r="F116" i="1"/>
  <c r="F114" i="1"/>
  <c r="F192" i="1"/>
  <c r="G192" i="1"/>
  <c r="H192" i="1"/>
  <c r="I192" i="1"/>
  <c r="K192" i="1"/>
  <c r="L192" i="1"/>
  <c r="M192" i="1"/>
  <c r="N192" i="1"/>
  <c r="O192" i="1"/>
  <c r="F84" i="1"/>
  <c r="L19" i="1"/>
  <c r="M19" i="1"/>
  <c r="N19" i="1"/>
  <c r="O19" i="1"/>
  <c r="K19" i="1"/>
  <c r="G19" i="1"/>
  <c r="H19" i="1"/>
  <c r="I19" i="1"/>
  <c r="F19" i="1"/>
  <c r="F101" i="1"/>
  <c r="J99" i="1"/>
  <c r="E99" i="1"/>
  <c r="P99" i="1" s="1"/>
  <c r="F94" i="1"/>
  <c r="O82" i="1"/>
  <c r="K82" i="1"/>
  <c r="F80" i="1"/>
  <c r="F72" i="1"/>
  <c r="F70" i="1"/>
  <c r="F67" i="1"/>
  <c r="F61" i="1"/>
  <c r="O59" i="1"/>
  <c r="K59" i="1"/>
  <c r="F59" i="1"/>
  <c r="O54" i="1"/>
  <c r="K54" i="1"/>
  <c r="G51" i="1"/>
  <c r="F51" i="1"/>
  <c r="F47" i="1"/>
  <c r="J41" i="1"/>
  <c r="F36" i="1"/>
  <c r="O29" i="1"/>
  <c r="K29" i="1"/>
  <c r="J46" i="1" l="1"/>
  <c r="F29" i="1" l="1"/>
  <c r="F27" i="1"/>
  <c r="E183" i="1" l="1"/>
  <c r="E182" i="1"/>
  <c r="I197" i="1" l="1"/>
  <c r="L197" i="1"/>
  <c r="M197" i="1"/>
  <c r="N197" i="1"/>
  <c r="L131" i="1" l="1"/>
  <c r="M131" i="1"/>
  <c r="N131" i="1"/>
  <c r="O131" i="1"/>
  <c r="K131" i="1"/>
  <c r="J148" i="1"/>
  <c r="E148" i="1"/>
  <c r="P148" i="1" l="1"/>
  <c r="O156" i="1"/>
  <c r="K156" i="1"/>
  <c r="J182" i="1" l="1"/>
  <c r="P182" i="1" s="1"/>
  <c r="J183" i="1"/>
  <c r="P183" i="1" s="1"/>
  <c r="L190" i="1"/>
  <c r="G191" i="1"/>
  <c r="H191" i="1"/>
  <c r="I191" i="1"/>
  <c r="K191" i="1"/>
  <c r="L191" i="1"/>
  <c r="M191" i="1"/>
  <c r="N191" i="1"/>
  <c r="O191" i="1"/>
  <c r="I190" i="1"/>
  <c r="N190" i="1"/>
  <c r="N172" i="1"/>
  <c r="L181" i="1"/>
  <c r="M181" i="1"/>
  <c r="M172" i="1" s="1"/>
  <c r="N181" i="1"/>
  <c r="N198" i="1" s="1"/>
  <c r="O172" i="1"/>
  <c r="K198" i="1"/>
  <c r="G181" i="1"/>
  <c r="G198" i="1" s="1"/>
  <c r="H181" i="1"/>
  <c r="H198" i="1" s="1"/>
  <c r="I181" i="1"/>
  <c r="F180" i="1"/>
  <c r="F164" i="1"/>
  <c r="N149" i="1"/>
  <c r="L149" i="1"/>
  <c r="M149" i="1"/>
  <c r="O160" i="1"/>
  <c r="J160" i="1" s="1"/>
  <c r="K160" i="1"/>
  <c r="J156" i="1"/>
  <c r="O153" i="1"/>
  <c r="J153" i="1" s="1"/>
  <c r="P153" i="1" s="1"/>
  <c r="K153" i="1"/>
  <c r="E160" i="1"/>
  <c r="J154" i="1"/>
  <c r="J157" i="1"/>
  <c r="J158" i="1"/>
  <c r="J159" i="1"/>
  <c r="E153" i="1"/>
  <c r="E154" i="1"/>
  <c r="E156" i="1"/>
  <c r="E157" i="1"/>
  <c r="E158" i="1"/>
  <c r="F147" i="1"/>
  <c r="J145" i="1"/>
  <c r="E145" i="1"/>
  <c r="J144" i="1"/>
  <c r="E144" i="1"/>
  <c r="J141" i="1"/>
  <c r="E141" i="1"/>
  <c r="J140" i="1"/>
  <c r="E140" i="1"/>
  <c r="J135" i="1"/>
  <c r="J195" i="1" s="1"/>
  <c r="E135" i="1"/>
  <c r="L57" i="1"/>
  <c r="M57" i="1"/>
  <c r="N57" i="1"/>
  <c r="O57" i="1"/>
  <c r="I57" i="1"/>
  <c r="G65" i="1"/>
  <c r="F65" i="1"/>
  <c r="E65" i="1" s="1"/>
  <c r="P65" i="1" s="1"/>
  <c r="G64" i="1"/>
  <c r="F64" i="1"/>
  <c r="E64" i="1" s="1"/>
  <c r="P64" i="1" s="1"/>
  <c r="P63" i="1"/>
  <c r="G91" i="1"/>
  <c r="F91" i="1"/>
  <c r="O197" i="1"/>
  <c r="K197" i="1"/>
  <c r="E80" i="1"/>
  <c r="J73" i="1"/>
  <c r="J74" i="1"/>
  <c r="J75" i="1"/>
  <c r="J76" i="1"/>
  <c r="J77" i="1"/>
  <c r="E73" i="1"/>
  <c r="E74" i="1"/>
  <c r="E75" i="1"/>
  <c r="E76" i="1"/>
  <c r="E77" i="1"/>
  <c r="E78" i="1"/>
  <c r="E79" i="1"/>
  <c r="E71" i="1"/>
  <c r="P71" i="1" s="1"/>
  <c r="F69" i="1"/>
  <c r="J54" i="1"/>
  <c r="E54" i="1"/>
  <c r="O48" i="1"/>
  <c r="K48" i="1"/>
  <c r="L40" i="1"/>
  <c r="L196" i="1" s="1"/>
  <c r="M40" i="1"/>
  <c r="M196" i="1" s="1"/>
  <c r="N40" i="1"/>
  <c r="N196" i="1" s="1"/>
  <c r="O40" i="1"/>
  <c r="K40" i="1"/>
  <c r="F40" i="1"/>
  <c r="P46" i="1"/>
  <c r="O39" i="1"/>
  <c r="K39" i="1"/>
  <c r="F22" i="1"/>
  <c r="F62" i="1" l="1"/>
  <c r="O190" i="1"/>
  <c r="K196" i="1"/>
  <c r="J181" i="1"/>
  <c r="P181" i="1" s="1"/>
  <c r="I172" i="1"/>
  <c r="L198" i="1"/>
  <c r="F190" i="1"/>
  <c r="K149" i="1"/>
  <c r="K172" i="1"/>
  <c r="O196" i="1"/>
  <c r="G62" i="1"/>
  <c r="L172" i="1"/>
  <c r="H172" i="1"/>
  <c r="O198" i="1"/>
  <c r="F57" i="1"/>
  <c r="K190" i="1"/>
  <c r="M198" i="1"/>
  <c r="O149" i="1"/>
  <c r="F131" i="1"/>
  <c r="K57" i="1"/>
  <c r="I198" i="1"/>
  <c r="P157" i="1"/>
  <c r="P156" i="1"/>
  <c r="P154" i="1"/>
  <c r="P158" i="1"/>
  <c r="P160" i="1"/>
  <c r="P135" i="1"/>
  <c r="P145" i="1"/>
  <c r="P73" i="1"/>
  <c r="P74" i="1"/>
  <c r="P77" i="1"/>
  <c r="P144" i="1"/>
  <c r="P141" i="1"/>
  <c r="P140" i="1"/>
  <c r="P75" i="1"/>
  <c r="P76" i="1"/>
  <c r="P54" i="1"/>
  <c r="H21" i="1" l="1"/>
  <c r="F21" i="1"/>
  <c r="J44" i="1" l="1"/>
  <c r="J45" i="1"/>
  <c r="J47" i="1"/>
  <c r="J48" i="1"/>
  <c r="E48" i="1"/>
  <c r="P48" i="1" l="1"/>
  <c r="G173" i="1"/>
  <c r="G172" i="1" s="1"/>
  <c r="F194" i="1" l="1"/>
  <c r="I194" i="1"/>
  <c r="K194" i="1"/>
  <c r="L194" i="1"/>
  <c r="M194" i="1"/>
  <c r="N194" i="1"/>
  <c r="O194" i="1"/>
  <c r="I193" i="1"/>
  <c r="K193" i="1"/>
  <c r="N193" i="1"/>
  <c r="O193" i="1"/>
  <c r="M114" i="1" l="1"/>
  <c r="M190" i="1" s="1"/>
  <c r="J82" i="1" l="1"/>
  <c r="F31" i="1" l="1"/>
  <c r="L162" i="1" l="1"/>
  <c r="M162" i="1"/>
  <c r="N162" i="1"/>
  <c r="O162" i="1"/>
  <c r="K162" i="1"/>
  <c r="H162" i="1"/>
  <c r="I162" i="1"/>
  <c r="F162" i="1"/>
  <c r="J166" i="1"/>
  <c r="E166" i="1"/>
  <c r="P166" i="1" s="1"/>
  <c r="E173" i="1" l="1"/>
  <c r="H114" i="1" l="1"/>
  <c r="H91" i="1" l="1"/>
  <c r="F52" i="1" l="1"/>
  <c r="F197" i="1" s="1"/>
  <c r="F102" i="1" l="1"/>
  <c r="F196" i="1" s="1"/>
  <c r="E105" i="1"/>
  <c r="P105" i="1" s="1"/>
  <c r="E104" i="1"/>
  <c r="P104" i="1" s="1"/>
  <c r="E103" i="1"/>
  <c r="P103" i="1" s="1"/>
  <c r="H60" i="1"/>
  <c r="G60" i="1"/>
  <c r="G40" i="1"/>
  <c r="G196" i="1" s="1"/>
  <c r="H40" i="1"/>
  <c r="H196" i="1" s="1"/>
  <c r="I40" i="1"/>
  <c r="I196" i="1" s="1"/>
  <c r="F30" i="1"/>
  <c r="F191" i="1" s="1"/>
  <c r="E31" i="1"/>
  <c r="E32" i="1"/>
  <c r="P32" i="1" s="1"/>
  <c r="E33" i="1"/>
  <c r="E47" i="1"/>
  <c r="P47" i="1" s="1"/>
  <c r="E45" i="1"/>
  <c r="P45" i="1" s="1"/>
  <c r="P33" i="1" l="1"/>
  <c r="P31" i="1"/>
  <c r="E44" i="1"/>
  <c r="P44" i="1" s="1"/>
  <c r="E43" i="1"/>
  <c r="P43" i="1" s="1"/>
  <c r="E42" i="1"/>
  <c r="P42" i="1" s="1"/>
  <c r="E41" i="1"/>
  <c r="P41" i="1" s="1"/>
  <c r="M118" i="1" l="1"/>
  <c r="M193" i="1" s="1"/>
  <c r="L171" i="1"/>
  <c r="M171" i="1"/>
  <c r="N171" i="1"/>
  <c r="O171" i="1"/>
  <c r="K171" i="1"/>
  <c r="J178" i="1"/>
  <c r="J179" i="1"/>
  <c r="J180" i="1"/>
  <c r="H171" i="1"/>
  <c r="I171" i="1"/>
  <c r="E179" i="1"/>
  <c r="E178" i="1"/>
  <c r="E180" i="1"/>
  <c r="P180" i="1" l="1"/>
  <c r="P179" i="1"/>
  <c r="P178" i="1"/>
  <c r="F177" i="1"/>
  <c r="F172" i="1" l="1"/>
  <c r="E172" i="1" s="1"/>
  <c r="E171" i="1" s="1"/>
  <c r="F198" i="1"/>
  <c r="E177" i="1"/>
  <c r="J176" i="1"/>
  <c r="E176" i="1"/>
  <c r="E198" i="1" s="1"/>
  <c r="P198" i="1" s="1"/>
  <c r="J174" i="1"/>
  <c r="E174" i="1"/>
  <c r="J168" i="1"/>
  <c r="E168" i="1"/>
  <c r="G163" i="1"/>
  <c r="G162" i="1" s="1"/>
  <c r="E159" i="1"/>
  <c r="P159" i="1" s="1"/>
  <c r="G152" i="1"/>
  <c r="J143" i="1"/>
  <c r="E143" i="1"/>
  <c r="I131" i="1"/>
  <c r="H132" i="1"/>
  <c r="H131" i="1" s="1"/>
  <c r="G132" i="1"/>
  <c r="G131" i="1" s="1"/>
  <c r="L123" i="1"/>
  <c r="M123" i="1"/>
  <c r="N123" i="1"/>
  <c r="O123" i="1"/>
  <c r="K123" i="1"/>
  <c r="I123" i="1"/>
  <c r="J129" i="1"/>
  <c r="E129" i="1"/>
  <c r="H125" i="1"/>
  <c r="G125" i="1"/>
  <c r="G124" i="1"/>
  <c r="N112" i="1"/>
  <c r="O112" i="1"/>
  <c r="K112" i="1"/>
  <c r="I112" i="1"/>
  <c r="J121" i="1"/>
  <c r="E121" i="1"/>
  <c r="H119" i="1"/>
  <c r="G119" i="1"/>
  <c r="H118" i="1"/>
  <c r="G118" i="1"/>
  <c r="H117" i="1"/>
  <c r="G117" i="1"/>
  <c r="H116" i="1"/>
  <c r="G116" i="1"/>
  <c r="G114" i="1"/>
  <c r="G113" i="1"/>
  <c r="L107" i="1"/>
  <c r="M107" i="1"/>
  <c r="N107" i="1"/>
  <c r="O107" i="1"/>
  <c r="K107" i="1"/>
  <c r="H107" i="1"/>
  <c r="H106" i="1" s="1"/>
  <c r="I107" i="1"/>
  <c r="I106" i="1" s="1"/>
  <c r="F107" i="1"/>
  <c r="F106" i="1" s="1"/>
  <c r="J110" i="1"/>
  <c r="E110" i="1"/>
  <c r="G108" i="1"/>
  <c r="G107" i="1" s="1"/>
  <c r="G106" i="1" s="1"/>
  <c r="L84" i="1"/>
  <c r="M84" i="1"/>
  <c r="N84" i="1"/>
  <c r="O84" i="1"/>
  <c r="K84" i="1"/>
  <c r="I84" i="1"/>
  <c r="J102" i="1"/>
  <c r="E102" i="1"/>
  <c r="J94" i="1"/>
  <c r="E94" i="1"/>
  <c r="G92" i="1"/>
  <c r="H92" i="1"/>
  <c r="H85" i="1"/>
  <c r="G85" i="1"/>
  <c r="H193" i="1" l="1"/>
  <c r="G193" i="1"/>
  <c r="F193" i="1"/>
  <c r="F123" i="1"/>
  <c r="H123" i="1"/>
  <c r="F171" i="1"/>
  <c r="P176" i="1"/>
  <c r="P174" i="1"/>
  <c r="P168" i="1"/>
  <c r="P121" i="1"/>
  <c r="G123" i="1"/>
  <c r="P143" i="1"/>
  <c r="G112" i="1"/>
  <c r="H112" i="1"/>
  <c r="P110" i="1"/>
  <c r="P129" i="1"/>
  <c r="F112" i="1"/>
  <c r="P102" i="1"/>
  <c r="H84" i="1"/>
  <c r="G84" i="1"/>
  <c r="P94" i="1"/>
  <c r="G171" i="1" l="1"/>
  <c r="E82" i="1"/>
  <c r="P82" i="1" s="1"/>
  <c r="J81" i="1"/>
  <c r="E81" i="1"/>
  <c r="H80" i="1"/>
  <c r="H194" i="1" s="1"/>
  <c r="G80" i="1"/>
  <c r="G194" i="1" s="1"/>
  <c r="H70" i="1"/>
  <c r="G70" i="1"/>
  <c r="H69" i="1"/>
  <c r="G69" i="1"/>
  <c r="H72" i="1"/>
  <c r="G72" i="1"/>
  <c r="H67" i="1"/>
  <c r="G67" i="1"/>
  <c r="H61" i="1"/>
  <c r="G61" i="1"/>
  <c r="H59" i="1"/>
  <c r="G59" i="1"/>
  <c r="H58" i="1"/>
  <c r="G58" i="1"/>
  <c r="H51" i="1"/>
  <c r="H197" i="1" s="1"/>
  <c r="G197" i="1"/>
  <c r="E50" i="1"/>
  <c r="J40" i="1"/>
  <c r="E40" i="1"/>
  <c r="J39" i="1"/>
  <c r="E39" i="1"/>
  <c r="H24" i="1"/>
  <c r="G24" i="1"/>
  <c r="H23" i="1"/>
  <c r="G23" i="1"/>
  <c r="H22" i="1"/>
  <c r="G22" i="1"/>
  <c r="G21" i="1"/>
  <c r="G57" i="1" l="1"/>
  <c r="H57" i="1"/>
  <c r="G190" i="1"/>
  <c r="H190" i="1"/>
  <c r="P50" i="1"/>
  <c r="P81" i="1"/>
  <c r="P40" i="1"/>
  <c r="P39" i="1"/>
  <c r="L35" i="1"/>
  <c r="M35" i="1"/>
  <c r="N35" i="1"/>
  <c r="O35" i="1"/>
  <c r="K35" i="1"/>
  <c r="G35" i="1"/>
  <c r="H35" i="1"/>
  <c r="I35" i="1"/>
  <c r="F35" i="1"/>
  <c r="J36" i="1"/>
  <c r="J37" i="1"/>
  <c r="J38" i="1"/>
  <c r="E37" i="1"/>
  <c r="E38" i="1"/>
  <c r="E36" i="1"/>
  <c r="P36" i="1" l="1"/>
  <c r="P38" i="1"/>
  <c r="P37" i="1"/>
  <c r="L20" i="1" l="1"/>
  <c r="M20" i="1"/>
  <c r="N20" i="1"/>
  <c r="O20" i="1"/>
  <c r="K20" i="1"/>
  <c r="J22" i="1"/>
  <c r="J23" i="1"/>
  <c r="J24" i="1"/>
  <c r="J21" i="1"/>
  <c r="E22" i="1"/>
  <c r="E23" i="1"/>
  <c r="E24" i="1"/>
  <c r="E21" i="1"/>
  <c r="F20" i="1"/>
  <c r="H20" i="1"/>
  <c r="I20" i="1"/>
  <c r="G20" i="1"/>
  <c r="J19" i="1" l="1"/>
  <c r="N199" i="1"/>
  <c r="K199" i="1"/>
  <c r="M199" i="1"/>
  <c r="O199" i="1"/>
  <c r="P24" i="1"/>
  <c r="P21" i="1"/>
  <c r="P23" i="1"/>
  <c r="P22" i="1"/>
  <c r="L106" i="1"/>
  <c r="M106" i="1"/>
  <c r="N106" i="1"/>
  <c r="O106" i="1"/>
  <c r="K106" i="1"/>
  <c r="L83" i="1"/>
  <c r="M83" i="1"/>
  <c r="N83" i="1"/>
  <c r="O83" i="1"/>
  <c r="K83" i="1"/>
  <c r="L56" i="1"/>
  <c r="M56" i="1"/>
  <c r="N56" i="1"/>
  <c r="O56" i="1"/>
  <c r="K56" i="1"/>
  <c r="G161" i="1"/>
  <c r="H161" i="1"/>
  <c r="I161" i="1"/>
  <c r="F161" i="1"/>
  <c r="G149" i="1"/>
  <c r="H149" i="1"/>
  <c r="I149" i="1"/>
  <c r="F149" i="1"/>
  <c r="G130" i="1"/>
  <c r="H130" i="1"/>
  <c r="I130" i="1"/>
  <c r="F130" i="1"/>
  <c r="G122" i="1"/>
  <c r="H122" i="1"/>
  <c r="I122" i="1"/>
  <c r="I199" i="1" s="1"/>
  <c r="F122" i="1"/>
  <c r="G111" i="1"/>
  <c r="H111" i="1"/>
  <c r="I111" i="1"/>
  <c r="F111" i="1"/>
  <c r="F199" i="1" l="1"/>
  <c r="H199" i="1"/>
  <c r="G199" i="1"/>
  <c r="M112" i="1"/>
  <c r="L116" i="1"/>
  <c r="N111" i="1"/>
  <c r="O111" i="1"/>
  <c r="K111" i="1"/>
  <c r="L130" i="1"/>
  <c r="M130" i="1"/>
  <c r="N130" i="1"/>
  <c r="O130" i="1"/>
  <c r="K130" i="1"/>
  <c r="J55" i="1"/>
  <c r="E55" i="1"/>
  <c r="L112" i="1" l="1"/>
  <c r="L111" i="1" s="1"/>
  <c r="L193" i="1"/>
  <c r="L199" i="1" s="1"/>
  <c r="M111" i="1"/>
  <c r="P55" i="1"/>
  <c r="J107" i="1" l="1"/>
  <c r="J108" i="1"/>
  <c r="J109" i="1"/>
  <c r="J111" i="1"/>
  <c r="J112" i="1"/>
  <c r="J113" i="1"/>
  <c r="J114" i="1"/>
  <c r="J115" i="1"/>
  <c r="J116" i="1"/>
  <c r="J117" i="1"/>
  <c r="J118" i="1"/>
  <c r="J119" i="1"/>
  <c r="J120" i="1"/>
  <c r="J122" i="1"/>
  <c r="J123" i="1"/>
  <c r="J124" i="1"/>
  <c r="J125" i="1"/>
  <c r="J126" i="1"/>
  <c r="J127" i="1"/>
  <c r="J128" i="1"/>
  <c r="J130" i="1"/>
  <c r="J131" i="1"/>
  <c r="J132" i="1"/>
  <c r="J133" i="1"/>
  <c r="J134" i="1"/>
  <c r="J136" i="1"/>
  <c r="J137" i="1"/>
  <c r="J138" i="1"/>
  <c r="J142" i="1"/>
  <c r="J146" i="1"/>
  <c r="J147" i="1"/>
  <c r="J149" i="1"/>
  <c r="J150" i="1"/>
  <c r="J152" i="1"/>
  <c r="J161" i="1"/>
  <c r="J162" i="1"/>
  <c r="J163" i="1"/>
  <c r="J164" i="1"/>
  <c r="J165" i="1"/>
  <c r="J167" i="1"/>
  <c r="J169" i="1"/>
  <c r="J170" i="1"/>
  <c r="J171" i="1"/>
  <c r="J172" i="1"/>
  <c r="J173" i="1"/>
  <c r="J175" i="1"/>
  <c r="J177" i="1"/>
  <c r="J198" i="1" s="1"/>
  <c r="J86" i="1"/>
  <c r="J87" i="1"/>
  <c r="J88" i="1"/>
  <c r="J89" i="1"/>
  <c r="J90" i="1"/>
  <c r="J91" i="1"/>
  <c r="J92" i="1"/>
  <c r="J93" i="1"/>
  <c r="J95" i="1"/>
  <c r="J96" i="1"/>
  <c r="J97" i="1"/>
  <c r="J98" i="1"/>
  <c r="J100" i="1"/>
  <c r="J101" i="1"/>
  <c r="J85" i="1"/>
  <c r="G83" i="1"/>
  <c r="H83" i="1"/>
  <c r="I83" i="1"/>
  <c r="J59" i="1"/>
  <c r="J60" i="1"/>
  <c r="J61" i="1"/>
  <c r="J62" i="1"/>
  <c r="J66" i="1"/>
  <c r="J67" i="1"/>
  <c r="J68" i="1"/>
  <c r="J69" i="1"/>
  <c r="J70" i="1"/>
  <c r="J72" i="1"/>
  <c r="J78" i="1"/>
  <c r="J79" i="1"/>
  <c r="J80" i="1"/>
  <c r="J58" i="1"/>
  <c r="G56" i="1"/>
  <c r="H56" i="1"/>
  <c r="I56" i="1"/>
  <c r="J25" i="1"/>
  <c r="J26" i="1"/>
  <c r="J27" i="1"/>
  <c r="J28" i="1"/>
  <c r="J29" i="1"/>
  <c r="J30" i="1"/>
  <c r="J34" i="1"/>
  <c r="J35" i="1"/>
  <c r="J49" i="1"/>
  <c r="J51" i="1"/>
  <c r="J52" i="1"/>
  <c r="J53" i="1"/>
  <c r="J20" i="1"/>
  <c r="L18" i="1"/>
  <c r="M18" i="1"/>
  <c r="N18" i="1"/>
  <c r="O18" i="1"/>
  <c r="K18" i="1"/>
  <c r="G18" i="1"/>
  <c r="H18" i="1"/>
  <c r="I18" i="1"/>
  <c r="F18" i="1"/>
  <c r="E164" i="1"/>
  <c r="E165" i="1"/>
  <c r="E167" i="1"/>
  <c r="E169" i="1"/>
  <c r="E170" i="1"/>
  <c r="E133" i="1"/>
  <c r="E134" i="1"/>
  <c r="E136" i="1"/>
  <c r="E137" i="1"/>
  <c r="E138" i="1"/>
  <c r="E195" i="1" s="1"/>
  <c r="E142" i="1"/>
  <c r="E146" i="1"/>
  <c r="E147" i="1"/>
  <c r="E125" i="1"/>
  <c r="E126" i="1"/>
  <c r="E127" i="1"/>
  <c r="E128" i="1"/>
  <c r="E114" i="1"/>
  <c r="E115" i="1"/>
  <c r="E116" i="1"/>
  <c r="E117" i="1"/>
  <c r="E118" i="1"/>
  <c r="E119" i="1"/>
  <c r="E120" i="1"/>
  <c r="E109" i="1"/>
  <c r="E86" i="1"/>
  <c r="E87" i="1"/>
  <c r="E88" i="1"/>
  <c r="E89" i="1"/>
  <c r="E90" i="1"/>
  <c r="E91" i="1"/>
  <c r="E92" i="1"/>
  <c r="E93" i="1"/>
  <c r="E95" i="1"/>
  <c r="E96" i="1"/>
  <c r="E97" i="1"/>
  <c r="E98" i="1"/>
  <c r="E100" i="1"/>
  <c r="E101" i="1"/>
  <c r="E59" i="1"/>
  <c r="E60" i="1"/>
  <c r="E61" i="1"/>
  <c r="E62" i="1"/>
  <c r="E66" i="1"/>
  <c r="E67" i="1"/>
  <c r="E68" i="1"/>
  <c r="E69" i="1"/>
  <c r="E70" i="1"/>
  <c r="E72" i="1"/>
  <c r="E163" i="1"/>
  <c r="E162" i="1"/>
  <c r="E161" i="1"/>
  <c r="E152" i="1"/>
  <c r="E150" i="1"/>
  <c r="E149" i="1"/>
  <c r="E132" i="1"/>
  <c r="E131" i="1"/>
  <c r="E130" i="1"/>
  <c r="E124" i="1"/>
  <c r="E123" i="1"/>
  <c r="E122" i="1"/>
  <c r="E113" i="1"/>
  <c r="E112" i="1"/>
  <c r="E111" i="1"/>
  <c r="E108" i="1"/>
  <c r="E107" i="1"/>
  <c r="E106" i="1"/>
  <c r="E85" i="1"/>
  <c r="E58" i="1"/>
  <c r="E25" i="1"/>
  <c r="E26" i="1"/>
  <c r="E27" i="1"/>
  <c r="E191" i="1" s="1"/>
  <c r="E28" i="1"/>
  <c r="E29" i="1"/>
  <c r="E30" i="1"/>
  <c r="E34" i="1"/>
  <c r="E35" i="1"/>
  <c r="E49" i="1"/>
  <c r="E196" i="1" s="1"/>
  <c r="E51" i="1"/>
  <c r="E52" i="1"/>
  <c r="E53" i="1"/>
  <c r="E20" i="1"/>
  <c r="E19" i="1"/>
  <c r="E189" i="1" l="1"/>
  <c r="J189" i="1"/>
  <c r="E192" i="1"/>
  <c r="J192" i="1"/>
  <c r="E197" i="1"/>
  <c r="J197" i="1"/>
  <c r="E190" i="1"/>
  <c r="J191" i="1"/>
  <c r="J196" i="1"/>
  <c r="J190" i="1"/>
  <c r="J194" i="1"/>
  <c r="E194" i="1"/>
  <c r="E193" i="1"/>
  <c r="J193" i="1"/>
  <c r="K187" i="1"/>
  <c r="O187" i="1"/>
  <c r="N187" i="1"/>
  <c r="M187" i="1"/>
  <c r="L187" i="1"/>
  <c r="G187" i="1"/>
  <c r="H187" i="1"/>
  <c r="I187" i="1"/>
  <c r="P131" i="1"/>
  <c r="E84" i="1"/>
  <c r="F83" i="1"/>
  <c r="E83" i="1" s="1"/>
  <c r="E57" i="1"/>
  <c r="F56" i="1"/>
  <c r="J106" i="1"/>
  <c r="P106" i="1" s="1"/>
  <c r="J56" i="1"/>
  <c r="P19" i="1"/>
  <c r="J83" i="1"/>
  <c r="J84" i="1"/>
  <c r="J57" i="1"/>
  <c r="J18" i="1"/>
  <c r="E18" i="1"/>
  <c r="P177" i="1"/>
  <c r="P175" i="1"/>
  <c r="P173" i="1"/>
  <c r="P172" i="1"/>
  <c r="P171" i="1"/>
  <c r="P170" i="1"/>
  <c r="P169" i="1"/>
  <c r="P167" i="1"/>
  <c r="P165" i="1"/>
  <c r="P164" i="1"/>
  <c r="P163" i="1"/>
  <c r="P162" i="1"/>
  <c r="P161" i="1"/>
  <c r="P152" i="1"/>
  <c r="P150" i="1"/>
  <c r="P149" i="1"/>
  <c r="P147" i="1"/>
  <c r="P146" i="1"/>
  <c r="P142" i="1"/>
  <c r="P138" i="1"/>
  <c r="P137" i="1"/>
  <c r="P136" i="1"/>
  <c r="P134" i="1"/>
  <c r="P133" i="1"/>
  <c r="P132" i="1"/>
  <c r="P130" i="1"/>
  <c r="P128" i="1"/>
  <c r="P127" i="1"/>
  <c r="P126" i="1"/>
  <c r="P125" i="1"/>
  <c r="P124" i="1"/>
  <c r="P123" i="1"/>
  <c r="P122" i="1"/>
  <c r="P120" i="1"/>
  <c r="P119" i="1"/>
  <c r="P118" i="1"/>
  <c r="P117" i="1"/>
  <c r="P116" i="1"/>
  <c r="P115" i="1"/>
  <c r="P114" i="1"/>
  <c r="P113" i="1"/>
  <c r="P112" i="1"/>
  <c r="P111" i="1"/>
  <c r="P109" i="1"/>
  <c r="P108" i="1"/>
  <c r="P107" i="1"/>
  <c r="P101" i="1"/>
  <c r="P100" i="1"/>
  <c r="P98" i="1"/>
  <c r="P97" i="1"/>
  <c r="P96" i="1"/>
  <c r="P95" i="1"/>
  <c r="P93" i="1"/>
  <c r="P92" i="1"/>
  <c r="P91" i="1"/>
  <c r="P90" i="1"/>
  <c r="P89" i="1"/>
  <c r="P88" i="1"/>
  <c r="P87" i="1"/>
  <c r="P86" i="1"/>
  <c r="P85" i="1"/>
  <c r="P80" i="1"/>
  <c r="P79" i="1"/>
  <c r="P78" i="1"/>
  <c r="P72" i="1"/>
  <c r="P70" i="1"/>
  <c r="P69" i="1"/>
  <c r="P68" i="1"/>
  <c r="P67" i="1"/>
  <c r="P66" i="1"/>
  <c r="P62" i="1"/>
  <c r="P61" i="1"/>
  <c r="P60" i="1"/>
  <c r="P59" i="1"/>
  <c r="P58" i="1"/>
  <c r="P53" i="1"/>
  <c r="P52" i="1"/>
  <c r="P51" i="1"/>
  <c r="P49" i="1"/>
  <c r="P35" i="1"/>
  <c r="P34" i="1"/>
  <c r="P30" i="1"/>
  <c r="P29" i="1"/>
  <c r="P28" i="1"/>
  <c r="P27" i="1"/>
  <c r="P26" i="1"/>
  <c r="P25" i="1"/>
  <c r="P20" i="1"/>
  <c r="P194" i="1" l="1"/>
  <c r="P193" i="1"/>
  <c r="P191" i="1"/>
  <c r="J199" i="1"/>
  <c r="P197" i="1"/>
  <c r="P195" i="1"/>
  <c r="P57" i="1"/>
  <c r="E199" i="1"/>
  <c r="P190" i="1"/>
  <c r="E56" i="1"/>
  <c r="E187" i="1" s="1"/>
  <c r="P189" i="1"/>
  <c r="P196" i="1"/>
  <c r="P84" i="1"/>
  <c r="F187" i="1"/>
  <c r="P83" i="1"/>
  <c r="P18" i="1"/>
  <c r="J187" i="1"/>
  <c r="P199" i="1" l="1"/>
  <c r="P56" i="1"/>
  <c r="P192" i="1"/>
  <c r="P187" i="1"/>
</calcChain>
</file>

<file path=xl/sharedStrings.xml><?xml version="1.0" encoding="utf-8"?>
<sst xmlns="http://schemas.openxmlformats.org/spreadsheetml/2006/main" count="613" uniqueCount="397">
  <si>
    <t>РОЗПОДІЛ</t>
  </si>
  <si>
    <t>1558900000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</si>
  <si>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</si>
  <si>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</si>
  <si>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</si>
  <si>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</si>
  <si>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</si>
  <si>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</si>
  <si>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</si>
  <si>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</si>
  <si>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</si>
  <si>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</si>
  <si>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</si>
  <si>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</si>
  <si>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</si>
  <si>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</si>
  <si>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</si>
  <si>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</si>
  <si>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</si>
  <si>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/>
  </si>
  <si>
    <t>Виконавчий комiтет Чорноморської мiської ради Одеського району Одеської областi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</si>
  <si>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</si>
  <si>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</si>
  <si>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</si>
  <si>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</si>
  <si>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</si>
  <si>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</si>
  <si>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</si>
  <si>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</si>
  <si>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</si>
  <si>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</si>
  <si>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</si>
  <si>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</si>
  <si>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</si>
  <si>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0212010</t>
  </si>
  <si>
    <t>2010</t>
  </si>
  <si>
    <t>0731</t>
  </si>
  <si>
    <t>Багатопрофільна стаціонарна медична допомога населенню</t>
  </si>
  <si>
    <t>0212100</t>
  </si>
  <si>
    <t>2100</t>
  </si>
  <si>
    <t>0722</t>
  </si>
  <si>
    <t>Стоматологічна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</si>
  <si>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</si>
  <si>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</si>
  <si>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</si>
  <si>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</si>
  <si>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</si>
  <si>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2152</t>
  </si>
  <si>
    <t>0763</t>
  </si>
  <si>
    <t>Інші програми та заходи у сфері охорони здоров`я</t>
  </si>
  <si>
    <t>0213242</t>
  </si>
  <si>
    <t>3242</t>
  </si>
  <si>
    <t>1090</t>
  </si>
  <si>
    <t>Інші заходи у сфері соціального захисту і соціального забезпечення</t>
  </si>
  <si>
    <t>0216030</t>
  </si>
  <si>
    <t>6030</t>
  </si>
  <si>
    <t>0620</t>
  </si>
  <si>
    <t>Організація благоустрою населених пунктів</t>
  </si>
  <si>
    <t>0217680</t>
  </si>
  <si>
    <t>7680</t>
  </si>
  <si>
    <t>0490</t>
  </si>
  <si>
    <t>Членські внески до асоціацій органів місцевого самоврядування</t>
  </si>
  <si>
    <t>0218210</t>
  </si>
  <si>
    <t>8210</t>
  </si>
  <si>
    <t>0380</t>
  </si>
  <si>
    <t>Муніципальні формування з охорони громадського порядку</t>
  </si>
  <si>
    <t>0218220</t>
  </si>
  <si>
    <t>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</si>
  <si>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</si>
  <si>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</si>
  <si>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</si>
  <si>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</si>
  <si>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0600000</t>
  </si>
  <si>
    <t>Управління освіти Чорноморської мiської ради Одеського району Одеської областi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</si>
  <si>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</si>
  <si>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</si>
  <si>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</si>
  <si>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</si>
  <si>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</si>
  <si>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</si>
  <si>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</si>
  <si>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</si>
  <si>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</si>
  <si>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</si>
  <si>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</si>
  <si>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</si>
  <si>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</si>
  <si>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</si>
  <si>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</si>
  <si>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</si>
  <si>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</si>
  <si>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</si>
  <si>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</si>
  <si>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0611032</t>
  </si>
  <si>
    <t>1032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</si>
  <si>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</si>
  <si>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</si>
  <si>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</si>
  <si>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</si>
  <si>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</si>
  <si>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0611120</t>
  </si>
  <si>
    <t>1120</t>
  </si>
  <si>
    <t>0950</t>
  </si>
  <si>
    <t>Підвищення кваліфікації, перепідготовка кадрів закладами післядипломної освіти</t>
  </si>
  <si>
    <t>0611141</t>
  </si>
  <si>
    <t>1141</t>
  </si>
  <si>
    <t>0990</t>
  </si>
  <si>
    <t>Забезпечення діяльності інших закладів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</si>
  <si>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</si>
  <si>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</si>
  <si>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</si>
  <si>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0611160</t>
  </si>
  <si>
    <t>1160</t>
  </si>
  <si>
    <t>Забезпечення діяльності центрів професійного розвитку педагогічних працівників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</si>
  <si>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</si>
  <si>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</si>
  <si>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</si>
  <si>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</si>
  <si>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0613242</t>
  </si>
  <si>
    <t>0615031</t>
  </si>
  <si>
    <t>5031</t>
  </si>
  <si>
    <t>0810</t>
  </si>
  <si>
    <t>0800000</t>
  </si>
  <si>
    <t>Управлiння соцiальної полiтики Чорноморської мiської ради Одеського району Одеської областi</t>
  </si>
  <si>
    <t>0810000</t>
  </si>
  <si>
    <t>0810160</t>
  </si>
  <si>
    <t>0810180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</si>
  <si>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</si>
  <si>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</si>
  <si>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</si>
  <si>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</si>
  <si>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</si>
  <si>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</si>
  <si>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</si>
  <si>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</si>
  <si>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</si>
  <si>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</si>
  <si>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</si>
  <si>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</si>
  <si>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</si>
  <si>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</si>
  <si>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</si>
  <si>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</si>
  <si>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</si>
  <si>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0813121</t>
  </si>
  <si>
    <t>3121</t>
  </si>
  <si>
    <t>0813123</t>
  </si>
  <si>
    <t>3123</t>
  </si>
  <si>
    <t>Заходи державної політики з питань сім`ї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</si>
  <si>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</si>
  <si>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</si>
  <si>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</si>
  <si>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</si>
  <si>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</si>
  <si>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</si>
  <si>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</si>
  <si>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</si>
  <si>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</si>
  <si>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</si>
  <si>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</si>
  <si>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</si>
  <si>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</si>
  <si>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</si>
  <si>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</si>
  <si>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</si>
  <si>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0813242</t>
  </si>
  <si>
    <t>0900000</t>
  </si>
  <si>
    <t>Служба у справах дітей Чорноморської міської ради Одеського району Одеської області</t>
  </si>
  <si>
    <t>0910000</t>
  </si>
  <si>
    <t>0910160</t>
  </si>
  <si>
    <t>0913112</t>
  </si>
  <si>
    <t>3112</t>
  </si>
  <si>
    <t>Заходи державної політики з питань дітей та їх соціального захисту</t>
  </si>
  <si>
    <t>1000000</t>
  </si>
  <si>
    <t>Вiддiл культури Чорноморської мiської ради Одеського району Одеської областi</t>
  </si>
  <si>
    <t>1010000</t>
  </si>
  <si>
    <t>1010160</t>
  </si>
  <si>
    <t>1011080</t>
  </si>
  <si>
    <t>1080</t>
  </si>
  <si>
    <t>Надання спеціалізованої освіти мистецькими школами</t>
  </si>
  <si>
    <t>1013140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</si>
  <si>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</si>
  <si>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</si>
  <si>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</si>
  <si>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</si>
  <si>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</si>
  <si>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</si>
  <si>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</si>
  <si>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</si>
  <si>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</si>
  <si>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</si>
  <si>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</si>
  <si>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</si>
  <si>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</si>
  <si>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</si>
  <si>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</si>
  <si>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</si>
  <si>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</si>
  <si>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</si>
  <si>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1100000</t>
  </si>
  <si>
    <t>Вiддiл  молодi та спорту Чорноморської мiської ради Одеського району Одеської областi</t>
  </si>
  <si>
    <t>1110000</t>
  </si>
  <si>
    <t>1110160</t>
  </si>
  <si>
    <t>1113133</t>
  </si>
  <si>
    <t>3133</t>
  </si>
  <si>
    <t>1115011</t>
  </si>
  <si>
    <t>5011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</si>
  <si>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</si>
  <si>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</si>
  <si>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</si>
  <si>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</si>
  <si>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</si>
  <si>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</si>
  <si>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</si>
  <si>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1200000</t>
  </si>
  <si>
    <t>Вiддiл комунального господарства та благоустрою Чорноморської мiської ради Одеського району Одеської областi</t>
  </si>
  <si>
    <t>1210000</t>
  </si>
  <si>
    <t>1210160</t>
  </si>
  <si>
    <t>1210170</t>
  </si>
  <si>
    <t>1213210</t>
  </si>
  <si>
    <t>3210</t>
  </si>
  <si>
    <t>1050</t>
  </si>
  <si>
    <t>Організація та проведення громадських робіт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</si>
  <si>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</si>
  <si>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</si>
  <si>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</si>
  <si>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</si>
  <si>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</si>
  <si>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Інша діяльність, пов`язана з експлуатацією об`єктів житлово-комунального господарства</t>
  </si>
  <si>
    <t>1216030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</si>
  <si>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</si>
  <si>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</si>
  <si>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</si>
  <si>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</si>
  <si>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1217693</t>
  </si>
  <si>
    <t>7693</t>
  </si>
  <si>
    <t>Інші заходи, пов`язані з економічною діяльністю</t>
  </si>
  <si>
    <t>1218110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</si>
  <si>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</si>
  <si>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</si>
  <si>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</si>
  <si>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1500000</t>
  </si>
  <si>
    <t>Управлiння капiтального будiвництва Чорноморської мiської ради Одеського району Одеської областi</t>
  </si>
  <si>
    <t>1510000</t>
  </si>
  <si>
    <t>1510160</t>
  </si>
  <si>
    <t>3100000</t>
  </si>
  <si>
    <t>Управлiння комунальної власностi та земельних вiдносин Чорноморської мiської ради Одеського району Одеської областi</t>
  </si>
  <si>
    <t>3110000</t>
  </si>
  <si>
    <t>3110160</t>
  </si>
  <si>
    <t>3110180</t>
  </si>
  <si>
    <t>3116017</t>
  </si>
  <si>
    <t>3117130</t>
  </si>
  <si>
    <t>7130</t>
  </si>
  <si>
    <t>0421</t>
  </si>
  <si>
    <t>Здійснення заходів із землеустрою</t>
  </si>
  <si>
    <t>7350</t>
  </si>
  <si>
    <t>0443</t>
  </si>
  <si>
    <t>Розроблення схем планування та забудови територій (містобудівної документації)</t>
  </si>
  <si>
    <t>3117693</t>
  </si>
  <si>
    <t>3118240</t>
  </si>
  <si>
    <t>8240</t>
  </si>
  <si>
    <t>Заходи та роботи з територіальної оборони</t>
  </si>
  <si>
    <t>3700000</t>
  </si>
  <si>
    <t>Фiнансове управлiння Чорноморської мiської ради Одеського району Одеської областi</t>
  </si>
  <si>
    <t>3710000</t>
  </si>
  <si>
    <t>3710160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</si>
  <si>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</si>
  <si>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</si>
  <si>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</si>
  <si>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</si>
  <si>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</si>
  <si>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</si>
  <si>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УСЬОГО</t>
  </si>
  <si>
    <t>X</t>
  </si>
  <si>
    <t>0540</t>
  </si>
  <si>
    <t>Природоохоронні заходи за рахунок цільових фондів</t>
  </si>
  <si>
    <t>0218340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</si>
  <si>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</si>
  <si>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</si>
  <si>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</si>
  <si>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Начальник фінансового управління</t>
  </si>
  <si>
    <t>Ольга ЯКОВЕНКО</t>
  </si>
  <si>
    <t>Додаток 3</t>
  </si>
  <si>
    <t>0217350</t>
  </si>
  <si>
    <t>0217520</t>
  </si>
  <si>
    <t>7520</t>
  </si>
  <si>
    <t>Реалізація Національної програми інформатизації</t>
  </si>
  <si>
    <t>0460</t>
  </si>
  <si>
    <t>0218110</t>
  </si>
  <si>
    <t>видатків бюджету Чорноморської міської територіальної громади  на 2025 рік</t>
  </si>
  <si>
    <t>0617520</t>
  </si>
  <si>
    <t>0618110</t>
  </si>
  <si>
    <t>0813140</t>
  </si>
  <si>
    <t>0817520</t>
  </si>
  <si>
    <t>0917520</t>
  </si>
  <si>
    <t>1017520</t>
  </si>
  <si>
    <t>1117520</t>
  </si>
  <si>
    <t>1217520</t>
  </si>
  <si>
    <t>1517520</t>
  </si>
  <si>
    <t>3117520</t>
  </si>
  <si>
    <t>3717520</t>
  </si>
  <si>
    <t>Реверсна дотація</t>
  </si>
  <si>
    <t>Міська цільова програма соціального  захисту та надання соціальних послуг населенню Чорноморської міської територіальної громади на 2021-2025 роки</t>
  </si>
  <si>
    <t>Міська цільова програма підтримки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2025 рік</t>
  </si>
  <si>
    <t>Міська цільова програма фінансової підтримки діяльності  Одеської районної ради Одеської області на 2025 рік</t>
  </si>
  <si>
    <t>КНП "Чорноморський міський центр первинної медико-санітарної допомоги" Чорноморської міської ради Одеського району Одеської області</t>
  </si>
  <si>
    <t>КУ "Муніципальна варта" Чорноморської міської ради Одеського району Одеської області</t>
  </si>
  <si>
    <t>КНП "Чорноморська лікарня" Чорноморської міської ради Одеського району Одеської області</t>
  </si>
  <si>
    <t>КНП "Стоматологічна поліклініка міста Чорноморська" Чорноморської міської ради Одеського району Одеської області</t>
  </si>
  <si>
    <t>Управління соціальної політики Чорноморської мiської ради Одеського району Одеської областi</t>
  </si>
  <si>
    <t>Інша діяльність у сфері житлово-комунального господарства</t>
  </si>
  <si>
    <t>0640</t>
  </si>
  <si>
    <t>3116090</t>
  </si>
  <si>
    <t>Комунальна установа "Територіальний центр соціального обслуговування (надання соціальних послуг) Чорноморської міської ради Одеського району  Одеської області"</t>
  </si>
  <si>
    <t>Комунальна установа "Центр соціальних служб Чорноморської міської ради Одеського району Одеської області"</t>
  </si>
  <si>
    <t>0100</t>
  </si>
  <si>
    <t>Державне управління</t>
  </si>
  <si>
    <t>1000</t>
  </si>
  <si>
    <t>Освіта</t>
  </si>
  <si>
    <t>2000</t>
  </si>
  <si>
    <t>Охорона здоров'я</t>
  </si>
  <si>
    <t>3000</t>
  </si>
  <si>
    <t>Соціальний захист та соціальне забезпечення</t>
  </si>
  <si>
    <t>4000</t>
  </si>
  <si>
    <t>Культура і мистецтво</t>
  </si>
  <si>
    <t>5000</t>
  </si>
  <si>
    <t>Фізична культура і спорт</t>
  </si>
  <si>
    <t>6000</t>
  </si>
  <si>
    <t>Житлово-комунальне господарство</t>
  </si>
  <si>
    <t>7000</t>
  </si>
  <si>
    <t>Економічна діяльність</t>
  </si>
  <si>
    <t>8000</t>
  </si>
  <si>
    <t>Інша діяльність</t>
  </si>
  <si>
    <t>9000</t>
  </si>
  <si>
    <t>Міжбюджетні трансферти</t>
  </si>
  <si>
    <t>0217640</t>
  </si>
  <si>
    <t>7640</t>
  </si>
  <si>
    <t>0470</t>
  </si>
  <si>
    <t>Заходи з енергозбереження</t>
  </si>
  <si>
    <t>до рішення Чорноморської міської ради</t>
  </si>
  <si>
    <t>Здійснення соціальної роботи та надання соціальних послуг центрами соціальних служб та центрами надання соціальних послуг особам/сім'ям, які належать до вразливих груп населення та/або перебувають у складних життєвих обставинах</t>
  </si>
  <si>
    <t>Забезпечення молодіжними центрами соціального становлення та розвитку молоді та інші заходи у сфері  молодіжної політики</t>
  </si>
  <si>
    <t>Розвиток здібностей у дітей та молоді з фізичної культури та спорту комунальними дитячо-юнацькими спортивними школами</t>
  </si>
  <si>
    <t>"Додаток 3</t>
  </si>
  <si>
    <t>від  23.12.2024  № 754 - VIII"</t>
  </si>
  <si>
    <t>КНП "Чорноморська міська лікарня" Чорноморської міської ради Одеського району Одеської області</t>
  </si>
  <si>
    <t>0218240</t>
  </si>
  <si>
    <t>0611152</t>
  </si>
  <si>
    <t>Забезпечення діяльності інклюзивно-ресурсних центрів за рахунок освітньої субвенції</t>
  </si>
  <si>
    <t>0611183</t>
  </si>
  <si>
    <t>0611184</t>
  </si>
  <si>
    <t>0611200</t>
  </si>
  <si>
    <t>0611403</t>
  </si>
  <si>
    <t>0611600</t>
  </si>
  <si>
    <t>1183</t>
  </si>
  <si>
    <t>1184</t>
  </si>
  <si>
    <t>1200</t>
  </si>
  <si>
    <t>1403</t>
  </si>
  <si>
    <t>1600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</si>
  <si>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</si>
  <si>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</si>
  <si>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</si>
  <si>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</si>
  <si>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</si>
  <si>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в тому числі:</t>
  </si>
  <si>
    <t>комунальні заклади загальної середньої освіти</t>
  </si>
  <si>
    <t>приватний заклад загальної середньої освіти</t>
  </si>
  <si>
    <t>Експлуатація та технічне обслуговування житлового фонду</t>
  </si>
  <si>
    <t>0610</t>
  </si>
  <si>
    <t>Реалізація проектів (заходів) з відновлення об'єктів житлово-комунального господарства, пошкоджених/знищених внаслідок збройної агресії, за рахунок коштів місцевих бюджетів</t>
  </si>
  <si>
    <t>1217670</t>
  </si>
  <si>
    <t>7670</t>
  </si>
  <si>
    <t>Внески до статутного капіталу суб'єктів господарювання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</si>
  <si>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</si>
  <si>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</si>
  <si>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1300</t>
  </si>
  <si>
    <t>2171</t>
  </si>
  <si>
    <t>6091</t>
  </si>
  <si>
    <t>7368</t>
  </si>
  <si>
    <t>7370</t>
  </si>
  <si>
    <t>1518110</t>
  </si>
  <si>
    <t>Будівництво освітніх установ та закладів</t>
  </si>
  <si>
    <t>Реалізація проектів (заходів) з відновлення закладів охорони здоров'я, пошкоджених/знищених внаслідок збройної агресії, за рахунок коштів місцевих бюджетів</t>
  </si>
  <si>
    <t>Будівництво об'єктів житлово-комунального господарства</t>
  </si>
  <si>
    <t>Виконання інвестиційних проектів за рахунок субвенцій з інших бюджетів</t>
  </si>
  <si>
    <t>Реалізація інших заходів щодо соціально-економічного розвитку територій</t>
  </si>
  <si>
    <t>Субвенція з місцевого бюджету державному бюджету на виконання програм соціально-економічного розвитку регіонів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</si>
  <si>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</t>
  </si>
  <si>
    <t>Міська цільова програма протидії злочинності на території Чорноморської міської територіальної громади на 2025 рік</t>
  </si>
  <si>
    <t>1217691</t>
  </si>
  <si>
    <t>1218240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</si>
  <si>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</si>
  <si>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0813193</t>
  </si>
  <si>
    <t>Міська цільова програма підтримки Територіального управління Державного бюро розслідувань, розташованого у місті Миколаєві, на 2025 рік</t>
  </si>
  <si>
    <t>Міська програма "Здоров'я населення Чорноморської міської територіальної громади на 2021-2025 роки"</t>
  </si>
  <si>
    <t>Міська цільова програма "Поліцейський офіцер громади" Чорноморської міської територіальної громади на 2025 рік</t>
  </si>
  <si>
    <t>від                 2025  №        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</si>
</sst>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#,&quot;-&quot;"/>
    <numFmt numFmtId="165" formatCode="#,##0.00_ ;\-#,##0.00\ "/>
    <numFmt numFmtId="166" formatCode="#,##0.000"/>
  </numFmts>
  <fonts count="10">
    <font>
      <sz val="10"/>
      <color theme="1"/>
      <name val="Шрифт текста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3">
    <xf numFmtId="0" fontId="0" fillId="0" borderId="0" xfId="0"/>
    <xf numFmtId="0" fontId="2" fillId="2" borderId="1" xfId="0" quotePrefix="1" applyFont="1" applyFill="1" applyBorder="1" applyAlignment="1">
      <alignment vertical="center" wrapText="1"/>
    </xf>
    <xf numFmtId="0" fontId="1" fillId="0" borderId="0" xfId="0" applyFont="1"/>
    <xf numFmtId="0" fontId="4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/>
    <xf numFmtId="4" fontId="1" fillId="0" borderId="0" xfId="0" applyNumberFormat="1" applyFont="1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/>
    </xf>
    <xf numFmtId="0" fontId="1" fillId="2" borderId="1" xfId="0" quotePrefix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164" fontId="3" fillId="2" borderId="0" xfId="0" applyNumberFormat="1" applyFont="1" applyFill="1" applyBorder="1" applyAlignment="1">
      <alignment vertical="center"/>
    </xf>
    <xf numFmtId="49" fontId="6" fillId="2" borderId="1" xfId="0" applyNumberFormat="1" applyFont="1" applyFill="1" applyBorder="1"/>
    <xf numFmtId="49" fontId="6" fillId="2" borderId="1" xfId="0" applyNumberFormat="1" applyFont="1" applyFill="1" applyBorder="1" applyAlignment="1">
      <alignment horizontal="center"/>
    </xf>
    <xf numFmtId="166" fontId="8" fillId="2" borderId="1" xfId="1" applyNumberFormat="1" applyFont="1" applyFill="1" applyBorder="1" applyAlignment="1">
      <alignment wrapText="1"/>
    </xf>
    <xf numFmtId="165" fontId="1" fillId="2" borderId="1" xfId="0" applyNumberFormat="1" applyFont="1" applyFill="1" applyBorder="1"/>
    <xf numFmtId="0" fontId="8" fillId="2" borderId="0" xfId="0" applyFont="1" applyFill="1"/>
    <xf numFmtId="0" fontId="9" fillId="2" borderId="0" xfId="0" applyFont="1" applyFill="1"/>
    <xf numFmtId="0" fontId="3" fillId="2" borderId="1" xfId="0" applyFont="1" applyFill="1" applyBorder="1" applyAlignment="1">
      <alignment wrapText="1"/>
    </xf>
    <xf numFmtId="165" fontId="3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3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_до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8"/>
  <sheetViews>
    <sheetView tabSelected="1" view="pageBreakPreview" zoomScale="70" zoomScaleNormal="70" zoomScaleSheetLayoutView="70" workbookViewId="0">
      <pane xSplit="4" ySplit="17" topLeftCell="E198" activePane="bottomRight" state="frozen"/>
      <selection pane="topRight" activeCell="E1" sqref="E1"/>
      <selection pane="bottomLeft" activeCell="A14" sqref="A14"/>
      <selection pane="bottomRight" activeCell="A202" sqref="A202:XFD211"/>
    </sheetView>
  </sheetViews>
  <sheetFormatPr defaultColWidth="8.88671875" defaultRowHeight="15.6"/>
  <cols>
    <col min="1" max="3" width="12.109375" style="2" customWidth="1"/>
    <col min="4" max="4" width="40.6640625" style="2" customWidth="1"/>
    <col min="5" max="5" width="20.109375" style="2" customWidth="1"/>
    <col min="6" max="6" width="19.5546875" style="2" customWidth="1"/>
    <col min="7" max="7" width="17.33203125" style="2" customWidth="1"/>
    <col min="8" max="8" width="15.6640625" style="2" customWidth="1"/>
    <col min="9" max="9" width="18.6640625" style="2" customWidth="1"/>
    <col min="10" max="11" width="17.6640625" style="2" customWidth="1"/>
    <col min="12" max="14" width="15.6640625" style="2" customWidth="1"/>
    <col min="15" max="15" width="17.33203125" style="2" customWidth="1"/>
    <col min="16" max="16" width="20.5546875" style="2" customWidth="1"/>
    <col min="17" max="17" width="16.5546875" style="2" bestFit="1" customWidth="1"/>
    <col min="18" max="16384" width="8.88671875" style="2"/>
  </cols>
  <sheetData>
    <row r="1" spans="1:16">
      <c r="M1" s="2" t="s">
        <v>282</v>
      </c>
    </row>
    <row r="2" spans="1:16">
      <c r="M2" s="2" t="s">
        <v>339</v>
      </c>
    </row>
    <row r="3" spans="1:16">
      <c r="M3" s="2" t="s">
        <v>396</v>
      </c>
    </row>
    <row r="5" spans="1:16" ht="20.399999999999999" customHeight="1">
      <c r="M5" s="2" t="s">
        <v>343</v>
      </c>
    </row>
    <row r="6" spans="1:16" ht="20.399999999999999" customHeight="1">
      <c r="M6" s="2" t="s">
        <v>339</v>
      </c>
    </row>
    <row r="7" spans="1:16" ht="20.399999999999999" customHeight="1">
      <c r="M7" s="2" t="s">
        <v>344</v>
      </c>
    </row>
    <row r="9" spans="1:16">
      <c r="A9" s="40" t="s">
        <v>0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</row>
    <row r="10" spans="1:16">
      <c r="A10" s="40" t="s">
        <v>289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</row>
    <row r="11" spans="1:16">
      <c r="A11" s="3" t="s">
        <v>1</v>
      </c>
    </row>
    <row r="12" spans="1:16">
      <c r="A12" s="2" t="s">
        <v>2</v>
      </c>
      <c r="P12" s="4" t="s">
        <v>3</v>
      </c>
    </row>
    <row r="13" spans="1:16" ht="26.4" customHeight="1">
      <c r="A13" s="42" t="s">
        <v>4</v>
      </c>
      <c r="B13" s="42" t="s">
        <v>5</v>
      </c>
      <c r="C13" s="42" t="s">
        <v>6</v>
      </c>
      <c r="D13" s="39" t="s">
        <v>7</v>
      </c>
      <c r="E13" s="39" t="s">
        <v>8</v>
      </c>
      <c r="F13" s="39"/>
      <c r="G13" s="39"/>
      <c r="H13" s="39"/>
      <c r="I13" s="39"/>
      <c r="J13" s="39" t="s">
        <v>15</v>
      </c>
      <c r="K13" s="39"/>
      <c r="L13" s="39"/>
      <c r="M13" s="39"/>
      <c r="N13" s="39"/>
      <c r="O13" s="39"/>
      <c r="P13" s="39" t="s">
        <v>17</v>
      </c>
    </row>
    <row r="14" spans="1:16" ht="26.4" customHeight="1">
      <c r="A14" s="42"/>
      <c r="B14" s="42"/>
      <c r="C14" s="42"/>
      <c r="D14" s="39"/>
      <c r="E14" s="39" t="s">
        <v>9</v>
      </c>
      <c r="F14" s="39" t="s">
        <v>10</v>
      </c>
      <c r="G14" s="39" t="s">
        <v>11</v>
      </c>
      <c r="H14" s="39"/>
      <c r="I14" s="39" t="s">
        <v>14</v>
      </c>
      <c r="J14" s="39" t="s">
        <v>9</v>
      </c>
      <c r="K14" s="39" t="s">
        <v>16</v>
      </c>
      <c r="L14" s="39" t="s">
        <v>10</v>
      </c>
      <c r="M14" s="39" t="s">
        <v>11</v>
      </c>
      <c r="N14" s="39"/>
      <c r="O14" s="39" t="s">
        <v>14</v>
      </c>
      <c r="P14" s="39"/>
    </row>
    <row r="15" spans="1:16" ht="30.6" customHeight="1">
      <c r="A15" s="42"/>
      <c r="B15" s="42"/>
      <c r="C15" s="42"/>
      <c r="D15" s="39"/>
      <c r="E15" s="39"/>
      <c r="F15" s="39"/>
      <c r="G15" s="39" t="s">
        <v>12</v>
      </c>
      <c r="H15" s="39" t="s">
        <v>13</v>
      </c>
      <c r="I15" s="39"/>
      <c r="J15" s="39"/>
      <c r="K15" s="39"/>
      <c r="L15" s="39"/>
      <c r="M15" s="39" t="s">
        <v>12</v>
      </c>
      <c r="N15" s="39" t="s">
        <v>13</v>
      </c>
      <c r="O15" s="39"/>
      <c r="P15" s="39"/>
    </row>
    <row r="16" spans="1:16" ht="26.4" customHeight="1">
      <c r="A16" s="42"/>
      <c r="B16" s="42"/>
      <c r="C16" s="42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</row>
    <row r="17" spans="1:17">
      <c r="A17" s="8">
        <v>1</v>
      </c>
      <c r="B17" s="8">
        <v>2</v>
      </c>
      <c r="C17" s="8">
        <v>3</v>
      </c>
      <c r="D17" s="8">
        <v>4</v>
      </c>
      <c r="E17" s="8">
        <v>5</v>
      </c>
      <c r="F17" s="8">
        <v>6</v>
      </c>
      <c r="G17" s="8">
        <v>7</v>
      </c>
      <c r="H17" s="8">
        <v>8</v>
      </c>
      <c r="I17" s="8">
        <v>9</v>
      </c>
      <c r="J17" s="8">
        <v>10</v>
      </c>
      <c r="K17" s="8">
        <v>11</v>
      </c>
      <c r="L17" s="8">
        <v>12</v>
      </c>
      <c r="M17" s="8">
        <v>13</v>
      </c>
      <c r="N17" s="8">
        <v>14</v>
      </c>
      <c r="O17" s="8">
        <v>15</v>
      </c>
      <c r="P17" s="8">
        <v>16</v>
      </c>
    </row>
    <row r="18" spans="1:17" ht="46.8">
      <c r="A18" s="9" t="s">
        <v>18</v>
      </c>
      <c r="B18" s="9" t="s">
        <v>19</v>
      </c>
      <c r="C18" s="9" t="s">
        <v>19</v>
      </c>
      <c r="D18" s="10" t="s">
        <v>20</v>
      </c>
      <c r="E18" s="11">
        <f>F18+I18</f>
        <v>218942750</v>
      </c>
      <c r="F18" s="11">
        <f>F19</f>
        <v>218797250</v>
      </c>
      <c r="G18" s="11">
        <f>G19</f>
        <v>117124450</v>
      </c>
      <c r="H18" s="11">
        <f>H19</f>
        <v>5432100</v>
      </c>
      <c r="I18" s="11">
        <f>I19</f>
        <v>145500</v>
      </c>
      <c r="J18" s="11">
        <f>L18+O18</f>
        <v>14908600</v>
      </c>
      <c r="K18" s="11">
        <f>K19</f>
        <v>13891000</v>
      </c>
      <c r="L18" s="11">
        <f>L19</f>
        <v>1017600</v>
      </c>
      <c r="M18" s="11">
        <f>M19</f>
        <v>0</v>
      </c>
      <c r="N18" s="11">
        <f>N19</f>
        <v>0</v>
      </c>
      <c r="O18" s="11">
        <f>O19</f>
        <v>13891000</v>
      </c>
      <c r="P18" s="11">
        <f t="shared" ref="P18:P79" si="0">E18 + J18</f>
        <v>233851350</v>
      </c>
      <c r="Q18" s="5"/>
    </row>
    <row r="19" spans="1:17" ht="46.8">
      <c r="A19" s="9" t="s">
        <v>21</v>
      </c>
      <c r="B19" s="9" t="s">
        <v>19</v>
      </c>
      <c r="C19" s="9" t="s">
        <v>19</v>
      </c>
      <c r="D19" s="10" t="s">
        <v>20</v>
      </c>
      <c r="E19" s="11">
        <f>F19+I19</f>
        <v>218942750</v>
      </c>
      <c r="F19" s="11">
        <f>F20+F25+F26+F27+F28+F29+F30+F34+F35+F39+F40+F48+F49+F50+F51+F52+F53+F54+F55</f>
        <v>218797250</v>
      </c>
      <c r="G19" s="11">
        <f t="shared" ref="G19:K19" si="1">G20+G25+G26+G27+G28+G29+G30+G34+G35+G39+G40+G48+G49+G50+G51+G52+G53+G54+G55</f>
        <v>117124450</v>
      </c>
      <c r="H19" s="11">
        <f t="shared" si="1"/>
        <v>5432100</v>
      </c>
      <c r="I19" s="11">
        <f t="shared" si="1"/>
        <v>145500</v>
      </c>
      <c r="J19" s="11">
        <f>L19+O19</f>
        <v>14908600</v>
      </c>
      <c r="K19" s="11">
        <f t="shared" si="1"/>
        <v>13891000</v>
      </c>
      <c r="L19" s="11">
        <f t="shared" ref="L19" si="2">L20+L25+L26+L27+L28+L29+L30+L34+L35+L39+L40+L48+L49+L50+L51+L52+L53+L54+L55</f>
        <v>1017600</v>
      </c>
      <c r="M19" s="11">
        <f t="shared" ref="M19" si="3">M20+M25+M26+M27+M28+M29+M30+M34+M35+M39+M40+M48+M49+M50+M51+M52+M53+M54+M55</f>
        <v>0</v>
      </c>
      <c r="N19" s="11">
        <f t="shared" ref="N19" si="4">N20+N25+N26+N27+N28+N29+N30+N34+N35+N39+N40+N48+N49+N50+N51+N52+N53+N54+N55</f>
        <v>0</v>
      </c>
      <c r="O19" s="11">
        <f t="shared" ref="O19" si="5">O20+O25+O26+O27+O28+O29+O30+O34+O35+O39+O40+O48+O49+O50+O51+O52+O53+O54+O55</f>
        <v>13891000</v>
      </c>
      <c r="P19" s="11">
        <f>E19 + J19</f>
        <v>233851350</v>
      </c>
    </row>
    <row r="20" spans="1:17" ht="93.6">
      <c r="A20" s="8" t="s">
        <v>22</v>
      </c>
      <c r="B20" s="8" t="s">
        <v>23</v>
      </c>
      <c r="C20" s="8" t="s">
        <v>24</v>
      </c>
      <c r="D20" s="12" t="s">
        <v>25</v>
      </c>
      <c r="E20" s="13">
        <f>F20+I20</f>
        <v>104833600</v>
      </c>
      <c r="F20" s="13">
        <f>F21+F22+F23+F24</f>
        <v>104833600</v>
      </c>
      <c r="G20" s="13">
        <f>G21+G22+G23+G24</f>
        <v>93494200</v>
      </c>
      <c r="H20" s="13">
        <f t="shared" ref="H20:I20" si="6">H21+H22+H23+H24</f>
        <v>5369600</v>
      </c>
      <c r="I20" s="13">
        <f t="shared" si="6"/>
        <v>0</v>
      </c>
      <c r="J20" s="13">
        <f>L20+O20</f>
        <v>117600</v>
      </c>
      <c r="K20" s="13">
        <f>K21+K22+K23+K24</f>
        <v>0</v>
      </c>
      <c r="L20" s="13">
        <f t="shared" ref="L20:O20" si="7">L21+L22+L23+L24</f>
        <v>117600</v>
      </c>
      <c r="M20" s="13">
        <f t="shared" si="7"/>
        <v>0</v>
      </c>
      <c r="N20" s="13">
        <f t="shared" si="7"/>
        <v>0</v>
      </c>
      <c r="O20" s="13">
        <f t="shared" si="7"/>
        <v>0</v>
      </c>
      <c r="P20" s="13">
        <f t="shared" si="0"/>
        <v>104951200</v>
      </c>
    </row>
    <row r="21" spans="1:17" s="7" customFormat="1" ht="46.8">
      <c r="A21" s="14"/>
      <c r="B21" s="14"/>
      <c r="C21" s="14"/>
      <c r="D21" s="1" t="s">
        <v>20</v>
      </c>
      <c r="E21" s="15">
        <f>F21+I21</f>
        <v>94427400</v>
      </c>
      <c r="F21" s="15">
        <f>93697400+730000</f>
        <v>94427400</v>
      </c>
      <c r="G21" s="15">
        <f>69039000+15188600</f>
        <v>84227600</v>
      </c>
      <c r="H21" s="15">
        <f>1900000+150000+2200000+43100+730000</f>
        <v>5023100</v>
      </c>
      <c r="I21" s="15"/>
      <c r="J21" s="15">
        <f>L21+O21</f>
        <v>117598</v>
      </c>
      <c r="K21" s="15"/>
      <c r="L21" s="15">
        <v>117598</v>
      </c>
      <c r="M21" s="15"/>
      <c r="N21" s="15"/>
      <c r="O21" s="15"/>
      <c r="P21" s="15">
        <f t="shared" si="0"/>
        <v>94544998</v>
      </c>
    </row>
    <row r="22" spans="1:17" s="7" customFormat="1" ht="62.4">
      <c r="A22" s="14"/>
      <c r="B22" s="14"/>
      <c r="C22" s="14"/>
      <c r="D22" s="1" t="s">
        <v>277</v>
      </c>
      <c r="E22" s="15">
        <f t="shared" ref="E22:E24" si="8">F22+I22</f>
        <v>4131100</v>
      </c>
      <c r="F22" s="15">
        <f>4058100+73000</f>
        <v>4131100</v>
      </c>
      <c r="G22" s="15">
        <f>2963900+652000</f>
        <v>3615900</v>
      </c>
      <c r="H22" s="15">
        <f>2500+58000+90000+5000</f>
        <v>155500</v>
      </c>
      <c r="I22" s="15"/>
      <c r="J22" s="15">
        <f t="shared" ref="J22:J24" si="9">L22+O22</f>
        <v>1</v>
      </c>
      <c r="K22" s="15"/>
      <c r="L22" s="15">
        <v>1</v>
      </c>
      <c r="M22" s="15"/>
      <c r="N22" s="15"/>
      <c r="O22" s="15"/>
      <c r="P22" s="15">
        <f t="shared" si="0"/>
        <v>4131101</v>
      </c>
    </row>
    <row r="23" spans="1:17" s="7" customFormat="1" ht="62.4">
      <c r="A23" s="14"/>
      <c r="B23" s="14"/>
      <c r="C23" s="14"/>
      <c r="D23" s="1" t="s">
        <v>278</v>
      </c>
      <c r="E23" s="15">
        <f t="shared" si="8"/>
        <v>2910600</v>
      </c>
      <c r="F23" s="15">
        <v>2910600</v>
      </c>
      <c r="G23" s="15">
        <f>2149400+472900</f>
        <v>2622300</v>
      </c>
      <c r="H23" s="15">
        <f>3200+38000+36600+10000</f>
        <v>87800</v>
      </c>
      <c r="I23" s="15"/>
      <c r="J23" s="15">
        <f t="shared" si="9"/>
        <v>0</v>
      </c>
      <c r="K23" s="15"/>
      <c r="L23" s="15"/>
      <c r="M23" s="15"/>
      <c r="N23" s="15"/>
      <c r="O23" s="15"/>
      <c r="P23" s="15">
        <f t="shared" si="0"/>
        <v>2910600</v>
      </c>
    </row>
    <row r="24" spans="1:17" s="7" customFormat="1" ht="46.8">
      <c r="A24" s="14"/>
      <c r="B24" s="14"/>
      <c r="C24" s="14"/>
      <c r="D24" s="1" t="s">
        <v>279</v>
      </c>
      <c r="E24" s="15">
        <f t="shared" si="8"/>
        <v>3364500</v>
      </c>
      <c r="F24" s="15">
        <v>3364500</v>
      </c>
      <c r="G24" s="15">
        <f>2482300+546100</f>
        <v>3028400</v>
      </c>
      <c r="H24" s="15">
        <f>3200+40000+55000+5000</f>
        <v>103200</v>
      </c>
      <c r="I24" s="15"/>
      <c r="J24" s="15">
        <f t="shared" si="9"/>
        <v>1</v>
      </c>
      <c r="K24" s="15"/>
      <c r="L24" s="15">
        <v>1</v>
      </c>
      <c r="M24" s="15"/>
      <c r="N24" s="15"/>
      <c r="O24" s="15"/>
      <c r="P24" s="15">
        <f t="shared" si="0"/>
        <v>3364501</v>
      </c>
    </row>
    <row r="25" spans="1:17" ht="46.8">
      <c r="A25" s="8" t="s">
        <v>26</v>
      </c>
      <c r="B25" s="8" t="s">
        <v>27</v>
      </c>
      <c r="C25" s="8" t="s">
        <v>28</v>
      </c>
      <c r="D25" s="12" t="s">
        <v>29</v>
      </c>
      <c r="E25" s="13">
        <f t="shared" ref="E25:E55" si="10">F25+I25</f>
        <v>50000</v>
      </c>
      <c r="F25" s="13">
        <v>50000</v>
      </c>
      <c r="G25" s="13">
        <v>0</v>
      </c>
      <c r="H25" s="13">
        <v>0</v>
      </c>
      <c r="I25" s="13">
        <v>0</v>
      </c>
      <c r="J25" s="13">
        <f t="shared" ref="J25:J55" si="11">L25+O25</f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f t="shared" si="0"/>
        <v>50000</v>
      </c>
    </row>
    <row r="26" spans="1:17" ht="31.2">
      <c r="A26" s="8" t="s">
        <v>30</v>
      </c>
      <c r="B26" s="8" t="s">
        <v>31</v>
      </c>
      <c r="C26" s="8" t="s">
        <v>32</v>
      </c>
      <c r="D26" s="12" t="s">
        <v>33</v>
      </c>
      <c r="E26" s="13">
        <f t="shared" si="10"/>
        <v>2313200</v>
      </c>
      <c r="F26" s="13">
        <f>2589200-294000+18000</f>
        <v>2313200</v>
      </c>
      <c r="G26" s="13">
        <v>0</v>
      </c>
      <c r="H26" s="13">
        <v>0</v>
      </c>
      <c r="I26" s="13">
        <v>0</v>
      </c>
      <c r="J26" s="13">
        <f t="shared" si="11"/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f t="shared" si="0"/>
        <v>2313200</v>
      </c>
    </row>
    <row r="27" spans="1:17" ht="31.2">
      <c r="A27" s="8" t="s">
        <v>34</v>
      </c>
      <c r="B27" s="8" t="s">
        <v>35</v>
      </c>
      <c r="C27" s="8" t="s">
        <v>36</v>
      </c>
      <c r="D27" s="12" t="s">
        <v>37</v>
      </c>
      <c r="E27" s="13">
        <f t="shared" si="10"/>
        <v>39514500</v>
      </c>
      <c r="F27" s="13">
        <f>34002900+511600+5000000</f>
        <v>39514500</v>
      </c>
      <c r="G27" s="13">
        <v>0</v>
      </c>
      <c r="H27" s="13">
        <v>0</v>
      </c>
      <c r="I27" s="13">
        <v>0</v>
      </c>
      <c r="J27" s="13">
        <f t="shared" si="11"/>
        <v>2036600</v>
      </c>
      <c r="K27" s="13">
        <v>2036600</v>
      </c>
      <c r="L27" s="13">
        <v>0</v>
      </c>
      <c r="M27" s="13">
        <v>0</v>
      </c>
      <c r="N27" s="13">
        <v>0</v>
      </c>
      <c r="O27" s="13">
        <v>2036600</v>
      </c>
      <c r="P27" s="13">
        <f t="shared" si="0"/>
        <v>41551100</v>
      </c>
    </row>
    <row r="28" spans="1:17">
      <c r="A28" s="8" t="s">
        <v>38</v>
      </c>
      <c r="B28" s="8" t="s">
        <v>39</v>
      </c>
      <c r="C28" s="8" t="s">
        <v>40</v>
      </c>
      <c r="D28" s="12" t="s">
        <v>41</v>
      </c>
      <c r="E28" s="13">
        <f t="shared" si="10"/>
        <v>8701800</v>
      </c>
      <c r="F28" s="13">
        <v>8701800</v>
      </c>
      <c r="G28" s="13">
        <v>0</v>
      </c>
      <c r="H28" s="13">
        <v>0</v>
      </c>
      <c r="I28" s="13">
        <v>0</v>
      </c>
      <c r="J28" s="13">
        <f t="shared" si="11"/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f t="shared" si="0"/>
        <v>8701800</v>
      </c>
    </row>
    <row r="29" spans="1:17" ht="62.4">
      <c r="A29" s="8" t="s">
        <v>42</v>
      </c>
      <c r="B29" s="8" t="s">
        <v>43</v>
      </c>
      <c r="C29" s="8" t="s">
        <v>44</v>
      </c>
      <c r="D29" s="12" t="s">
        <v>45</v>
      </c>
      <c r="E29" s="13">
        <f t="shared" si="10"/>
        <v>4613400</v>
      </c>
      <c r="F29" s="13">
        <f>13402400-8857000+68000</f>
        <v>4613400</v>
      </c>
      <c r="G29" s="13">
        <v>0</v>
      </c>
      <c r="H29" s="13">
        <v>0</v>
      </c>
      <c r="I29" s="13">
        <v>0</v>
      </c>
      <c r="J29" s="13">
        <f t="shared" si="11"/>
        <v>1718100</v>
      </c>
      <c r="K29" s="13">
        <f>1426100+192000+100000</f>
        <v>1718100</v>
      </c>
      <c r="L29" s="13">
        <v>0</v>
      </c>
      <c r="M29" s="13">
        <v>0</v>
      </c>
      <c r="N29" s="13">
        <v>0</v>
      </c>
      <c r="O29" s="13">
        <f>1426100+192000+100000</f>
        <v>1718100</v>
      </c>
      <c r="P29" s="13">
        <f t="shared" si="0"/>
        <v>6331500</v>
      </c>
    </row>
    <row r="30" spans="1:17" ht="31.2">
      <c r="A30" s="8" t="s">
        <v>46</v>
      </c>
      <c r="B30" s="8" t="s">
        <v>47</v>
      </c>
      <c r="C30" s="8" t="s">
        <v>48</v>
      </c>
      <c r="D30" s="12" t="s">
        <v>49</v>
      </c>
      <c r="E30" s="13">
        <f t="shared" si="10"/>
        <v>10835900</v>
      </c>
      <c r="F30" s="13">
        <f>SUM(F31:F33)</f>
        <v>10835900</v>
      </c>
      <c r="G30" s="13">
        <v>0</v>
      </c>
      <c r="H30" s="13">
        <v>0</v>
      </c>
      <c r="I30" s="13">
        <v>0</v>
      </c>
      <c r="J30" s="13">
        <f t="shared" si="11"/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f t="shared" si="0"/>
        <v>10835900</v>
      </c>
    </row>
    <row r="31" spans="1:17" s="7" customFormat="1" ht="46.8">
      <c r="A31" s="14"/>
      <c r="B31" s="14"/>
      <c r="C31" s="14"/>
      <c r="D31" s="1" t="s">
        <v>307</v>
      </c>
      <c r="E31" s="15">
        <f t="shared" si="10"/>
        <v>718300</v>
      </c>
      <c r="F31" s="15">
        <f>718300</f>
        <v>718300</v>
      </c>
      <c r="G31" s="15"/>
      <c r="H31" s="15"/>
      <c r="I31" s="15"/>
      <c r="J31" s="15"/>
      <c r="K31" s="15"/>
      <c r="L31" s="15"/>
      <c r="M31" s="15"/>
      <c r="N31" s="15"/>
      <c r="O31" s="15"/>
      <c r="P31" s="15">
        <f t="shared" si="0"/>
        <v>718300</v>
      </c>
    </row>
    <row r="32" spans="1:17" s="7" customFormat="1" ht="62.4">
      <c r="A32" s="14"/>
      <c r="B32" s="14"/>
      <c r="C32" s="14"/>
      <c r="D32" s="1" t="s">
        <v>305</v>
      </c>
      <c r="E32" s="15">
        <f t="shared" si="10"/>
        <v>8857000</v>
      </c>
      <c r="F32" s="15">
        <v>8857000</v>
      </c>
      <c r="G32" s="15"/>
      <c r="H32" s="15"/>
      <c r="I32" s="15"/>
      <c r="J32" s="15"/>
      <c r="K32" s="15"/>
      <c r="L32" s="15"/>
      <c r="M32" s="15"/>
      <c r="N32" s="15"/>
      <c r="O32" s="15"/>
      <c r="P32" s="15">
        <f t="shared" si="0"/>
        <v>8857000</v>
      </c>
    </row>
    <row r="33" spans="1:16" s="7" customFormat="1" ht="62.4">
      <c r="A33" s="14"/>
      <c r="B33" s="14"/>
      <c r="C33" s="14"/>
      <c r="D33" s="1" t="s">
        <v>308</v>
      </c>
      <c r="E33" s="15">
        <f t="shared" si="10"/>
        <v>1260600</v>
      </c>
      <c r="F33" s="15">
        <v>1260600</v>
      </c>
      <c r="G33" s="15"/>
      <c r="H33" s="15"/>
      <c r="I33" s="15"/>
      <c r="J33" s="15"/>
      <c r="K33" s="15"/>
      <c r="L33" s="15"/>
      <c r="M33" s="15"/>
      <c r="N33" s="15"/>
      <c r="O33" s="15"/>
      <c r="P33" s="15">
        <f t="shared" si="0"/>
        <v>1260600</v>
      </c>
    </row>
    <row r="34" spans="1:16" ht="31.2">
      <c r="A34" s="8" t="s">
        <v>50</v>
      </c>
      <c r="B34" s="8" t="s">
        <v>51</v>
      </c>
      <c r="C34" s="8" t="s">
        <v>52</v>
      </c>
      <c r="D34" s="12" t="s">
        <v>53</v>
      </c>
      <c r="E34" s="13">
        <f t="shared" si="10"/>
        <v>5000000</v>
      </c>
      <c r="F34" s="13">
        <v>5000000</v>
      </c>
      <c r="G34" s="13">
        <v>0</v>
      </c>
      <c r="H34" s="13">
        <v>0</v>
      </c>
      <c r="I34" s="13">
        <v>0</v>
      </c>
      <c r="J34" s="13">
        <f t="shared" si="11"/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f t="shared" si="0"/>
        <v>5000000</v>
      </c>
    </row>
    <row r="35" spans="1:16" ht="31.2">
      <c r="A35" s="8" t="s">
        <v>54</v>
      </c>
      <c r="B35" s="8" t="s">
        <v>55</v>
      </c>
      <c r="C35" s="8" t="s">
        <v>56</v>
      </c>
      <c r="D35" s="12" t="s">
        <v>57</v>
      </c>
      <c r="E35" s="13">
        <f t="shared" si="10"/>
        <v>10068500</v>
      </c>
      <c r="F35" s="13">
        <f>SUM(F36:F38)</f>
        <v>10068500</v>
      </c>
      <c r="G35" s="13">
        <f t="shared" ref="G35:I35" si="12">SUM(G36:G38)</f>
        <v>0</v>
      </c>
      <c r="H35" s="13">
        <f t="shared" si="12"/>
        <v>0</v>
      </c>
      <c r="I35" s="13">
        <f t="shared" si="12"/>
        <v>0</v>
      </c>
      <c r="J35" s="13">
        <f t="shared" si="11"/>
        <v>0</v>
      </c>
      <c r="K35" s="13">
        <f>SUM(K36:K38)</f>
        <v>0</v>
      </c>
      <c r="L35" s="13">
        <f t="shared" ref="L35:O35" si="13">SUM(L36:L38)</f>
        <v>0</v>
      </c>
      <c r="M35" s="13">
        <f t="shared" si="13"/>
        <v>0</v>
      </c>
      <c r="N35" s="13">
        <f t="shared" si="13"/>
        <v>0</v>
      </c>
      <c r="O35" s="13">
        <f t="shared" si="13"/>
        <v>0</v>
      </c>
      <c r="P35" s="13">
        <f t="shared" si="0"/>
        <v>10068500</v>
      </c>
    </row>
    <row r="36" spans="1:16" s="7" customFormat="1" ht="62.4">
      <c r="A36" s="14"/>
      <c r="B36" s="14"/>
      <c r="C36" s="14"/>
      <c r="D36" s="1" t="s">
        <v>277</v>
      </c>
      <c r="E36" s="15">
        <f>F36+I36</f>
        <v>5905400</v>
      </c>
      <c r="F36" s="15">
        <f>3978400-73000+2000000</f>
        <v>5905400</v>
      </c>
      <c r="G36" s="15"/>
      <c r="H36" s="15"/>
      <c r="I36" s="15"/>
      <c r="J36" s="15">
        <f t="shared" si="11"/>
        <v>0</v>
      </c>
      <c r="K36" s="15"/>
      <c r="L36" s="15"/>
      <c r="M36" s="15"/>
      <c r="N36" s="15"/>
      <c r="O36" s="15"/>
      <c r="P36" s="15">
        <f t="shared" si="0"/>
        <v>5905400</v>
      </c>
    </row>
    <row r="37" spans="1:16" s="7" customFormat="1" ht="62.4">
      <c r="A37" s="14"/>
      <c r="B37" s="14"/>
      <c r="C37" s="14"/>
      <c r="D37" s="1" t="s">
        <v>278</v>
      </c>
      <c r="E37" s="15">
        <f t="shared" ref="E37:E38" si="14">F37+I37</f>
        <v>1888200</v>
      </c>
      <c r="F37" s="15">
        <v>1888200</v>
      </c>
      <c r="G37" s="15"/>
      <c r="H37" s="15"/>
      <c r="I37" s="15"/>
      <c r="J37" s="15">
        <f t="shared" si="11"/>
        <v>0</v>
      </c>
      <c r="K37" s="15"/>
      <c r="L37" s="15"/>
      <c r="M37" s="15"/>
      <c r="N37" s="15"/>
      <c r="O37" s="15"/>
      <c r="P37" s="15">
        <f t="shared" si="0"/>
        <v>1888200</v>
      </c>
    </row>
    <row r="38" spans="1:16" s="7" customFormat="1" ht="46.8">
      <c r="A38" s="14"/>
      <c r="B38" s="14"/>
      <c r="C38" s="14"/>
      <c r="D38" s="1" t="s">
        <v>279</v>
      </c>
      <c r="E38" s="15">
        <f t="shared" si="14"/>
        <v>2274900</v>
      </c>
      <c r="F38" s="15">
        <v>2274900</v>
      </c>
      <c r="G38" s="15"/>
      <c r="H38" s="15"/>
      <c r="I38" s="15"/>
      <c r="J38" s="15">
        <f t="shared" si="11"/>
        <v>0</v>
      </c>
      <c r="K38" s="15"/>
      <c r="L38" s="15"/>
      <c r="M38" s="15"/>
      <c r="N38" s="15"/>
      <c r="O38" s="15"/>
      <c r="P38" s="15">
        <f t="shared" si="0"/>
        <v>2274900</v>
      </c>
    </row>
    <row r="39" spans="1:16" ht="46.8">
      <c r="A39" s="16" t="s">
        <v>283</v>
      </c>
      <c r="B39" s="16" t="s">
        <v>255</v>
      </c>
      <c r="C39" s="16" t="s">
        <v>256</v>
      </c>
      <c r="D39" s="12" t="s">
        <v>257</v>
      </c>
      <c r="E39" s="13">
        <f t="shared" si="10"/>
        <v>0</v>
      </c>
      <c r="F39" s="13"/>
      <c r="G39" s="13"/>
      <c r="H39" s="13"/>
      <c r="I39" s="13"/>
      <c r="J39" s="13">
        <f t="shared" si="11"/>
        <v>7340000</v>
      </c>
      <c r="K39" s="13">
        <f>7000000+340000</f>
        <v>7340000</v>
      </c>
      <c r="L39" s="13"/>
      <c r="M39" s="13"/>
      <c r="N39" s="13"/>
      <c r="O39" s="13">
        <f>7000000+340000</f>
        <v>7340000</v>
      </c>
      <c r="P39" s="13">
        <f t="shared" si="0"/>
        <v>7340000</v>
      </c>
    </row>
    <row r="40" spans="1:16" ht="31.2">
      <c r="A40" s="16" t="s">
        <v>284</v>
      </c>
      <c r="B40" s="16" t="s">
        <v>285</v>
      </c>
      <c r="C40" s="16" t="s">
        <v>287</v>
      </c>
      <c r="D40" s="12" t="s">
        <v>286</v>
      </c>
      <c r="E40" s="13">
        <f t="shared" si="10"/>
        <v>1568540</v>
      </c>
      <c r="F40" s="13">
        <f>SUM(F41:F47)</f>
        <v>1423040</v>
      </c>
      <c r="G40" s="13">
        <f t="shared" ref="G40:I40" si="15">SUM(G41:G47)</f>
        <v>0</v>
      </c>
      <c r="H40" s="13">
        <f t="shared" si="15"/>
        <v>0</v>
      </c>
      <c r="I40" s="13">
        <f t="shared" si="15"/>
        <v>145500</v>
      </c>
      <c r="J40" s="13">
        <f t="shared" si="11"/>
        <v>725600</v>
      </c>
      <c r="K40" s="13">
        <f>SUM(K41:K47)</f>
        <v>725600</v>
      </c>
      <c r="L40" s="13">
        <f t="shared" ref="L40:O40" si="16">SUM(L41:L47)</f>
        <v>0</v>
      </c>
      <c r="M40" s="13">
        <f t="shared" si="16"/>
        <v>0</v>
      </c>
      <c r="N40" s="13">
        <f t="shared" si="16"/>
        <v>0</v>
      </c>
      <c r="O40" s="13">
        <f t="shared" si="16"/>
        <v>725600</v>
      </c>
      <c r="P40" s="13">
        <f t="shared" si="0"/>
        <v>2294140</v>
      </c>
    </row>
    <row r="41" spans="1:16" ht="46.8">
      <c r="A41" s="16"/>
      <c r="B41" s="16"/>
      <c r="C41" s="16"/>
      <c r="D41" s="1" t="s">
        <v>20</v>
      </c>
      <c r="E41" s="15">
        <f t="shared" si="10"/>
        <v>1287300</v>
      </c>
      <c r="F41" s="15">
        <v>1287300</v>
      </c>
      <c r="G41" s="13"/>
      <c r="H41" s="13"/>
      <c r="I41" s="13"/>
      <c r="J41" s="13">
        <f>L41+O41</f>
        <v>191600</v>
      </c>
      <c r="K41" s="13">
        <v>191600</v>
      </c>
      <c r="L41" s="13"/>
      <c r="M41" s="13"/>
      <c r="N41" s="13"/>
      <c r="O41" s="13">
        <v>191600</v>
      </c>
      <c r="P41" s="15">
        <f t="shared" si="0"/>
        <v>1478900</v>
      </c>
    </row>
    <row r="42" spans="1:16" ht="62.4">
      <c r="A42" s="16"/>
      <c r="B42" s="16"/>
      <c r="C42" s="16"/>
      <c r="D42" s="1" t="s">
        <v>277</v>
      </c>
      <c r="E42" s="15">
        <f t="shared" si="10"/>
        <v>10400</v>
      </c>
      <c r="F42" s="15">
        <v>10400</v>
      </c>
      <c r="G42" s="13"/>
      <c r="H42" s="13"/>
      <c r="I42" s="13"/>
      <c r="J42" s="13"/>
      <c r="K42" s="13"/>
      <c r="L42" s="13"/>
      <c r="M42" s="13"/>
      <c r="N42" s="13"/>
      <c r="O42" s="13"/>
      <c r="P42" s="15">
        <f t="shared" si="0"/>
        <v>10400</v>
      </c>
    </row>
    <row r="43" spans="1:16" ht="62.4">
      <c r="A43" s="16"/>
      <c r="B43" s="16"/>
      <c r="C43" s="16"/>
      <c r="D43" s="1" t="s">
        <v>278</v>
      </c>
      <c r="E43" s="15">
        <f t="shared" si="10"/>
        <v>18800</v>
      </c>
      <c r="F43" s="15">
        <v>18800</v>
      </c>
      <c r="G43" s="13"/>
      <c r="H43" s="13"/>
      <c r="I43" s="13"/>
      <c r="J43" s="13"/>
      <c r="K43" s="13"/>
      <c r="L43" s="13"/>
      <c r="M43" s="13"/>
      <c r="N43" s="13"/>
      <c r="O43" s="13"/>
      <c r="P43" s="15">
        <f t="shared" si="0"/>
        <v>18800</v>
      </c>
    </row>
    <row r="44" spans="1:16" ht="46.8">
      <c r="A44" s="16"/>
      <c r="B44" s="16"/>
      <c r="C44" s="16"/>
      <c r="D44" s="1" t="s">
        <v>279</v>
      </c>
      <c r="E44" s="15">
        <f t="shared" si="10"/>
        <v>10400</v>
      </c>
      <c r="F44" s="15">
        <v>10400</v>
      </c>
      <c r="G44" s="13"/>
      <c r="H44" s="13"/>
      <c r="I44" s="13"/>
      <c r="J44" s="13">
        <f t="shared" ref="J44:J48" si="17">L44+O44</f>
        <v>0</v>
      </c>
      <c r="K44" s="13"/>
      <c r="L44" s="13"/>
      <c r="M44" s="13"/>
      <c r="N44" s="13"/>
      <c r="O44" s="13"/>
      <c r="P44" s="15">
        <f t="shared" si="0"/>
        <v>10400</v>
      </c>
    </row>
    <row r="45" spans="1:16" ht="62.4">
      <c r="A45" s="16"/>
      <c r="B45" s="16"/>
      <c r="C45" s="16"/>
      <c r="D45" s="1" t="s">
        <v>305</v>
      </c>
      <c r="E45" s="15">
        <f t="shared" si="10"/>
        <v>145500</v>
      </c>
      <c r="F45" s="15"/>
      <c r="G45" s="13"/>
      <c r="H45" s="13"/>
      <c r="I45" s="15">
        <v>145500</v>
      </c>
      <c r="J45" s="13">
        <f t="shared" si="17"/>
        <v>0</v>
      </c>
      <c r="K45" s="13"/>
      <c r="L45" s="13"/>
      <c r="M45" s="13"/>
      <c r="N45" s="13"/>
      <c r="O45" s="13"/>
      <c r="P45" s="15">
        <f t="shared" si="0"/>
        <v>145500</v>
      </c>
    </row>
    <row r="46" spans="1:16" s="7" customFormat="1" ht="46.8">
      <c r="A46" s="19"/>
      <c r="B46" s="19"/>
      <c r="C46" s="19"/>
      <c r="D46" s="1" t="s">
        <v>345</v>
      </c>
      <c r="E46" s="15"/>
      <c r="F46" s="15"/>
      <c r="G46" s="15"/>
      <c r="H46" s="15"/>
      <c r="I46" s="15"/>
      <c r="J46" s="13">
        <f t="shared" si="17"/>
        <v>534000</v>
      </c>
      <c r="K46" s="15">
        <v>534000</v>
      </c>
      <c r="L46" s="15"/>
      <c r="M46" s="15"/>
      <c r="N46" s="15"/>
      <c r="O46" s="15">
        <v>534000</v>
      </c>
      <c r="P46" s="15">
        <f t="shared" si="0"/>
        <v>534000</v>
      </c>
    </row>
    <row r="47" spans="1:16" ht="46.8">
      <c r="A47" s="16"/>
      <c r="B47" s="16"/>
      <c r="C47" s="16"/>
      <c r="D47" s="1" t="s">
        <v>306</v>
      </c>
      <c r="E47" s="15">
        <f t="shared" si="10"/>
        <v>96140</v>
      </c>
      <c r="F47" s="15">
        <f>56900+39240</f>
        <v>96140</v>
      </c>
      <c r="G47" s="13"/>
      <c r="H47" s="13"/>
      <c r="I47" s="13"/>
      <c r="J47" s="13">
        <f t="shared" si="17"/>
        <v>0</v>
      </c>
      <c r="K47" s="13"/>
      <c r="L47" s="13"/>
      <c r="M47" s="13"/>
      <c r="N47" s="13"/>
      <c r="O47" s="13"/>
      <c r="P47" s="15">
        <f t="shared" si="0"/>
        <v>96140</v>
      </c>
    </row>
    <row r="48" spans="1:16">
      <c r="A48" s="16" t="s">
        <v>335</v>
      </c>
      <c r="B48" s="16" t="s">
        <v>336</v>
      </c>
      <c r="C48" s="16" t="s">
        <v>337</v>
      </c>
      <c r="D48" s="12" t="s">
        <v>338</v>
      </c>
      <c r="E48" s="13">
        <f t="shared" si="10"/>
        <v>0</v>
      </c>
      <c r="F48" s="15"/>
      <c r="G48" s="13"/>
      <c r="H48" s="13"/>
      <c r="I48" s="13"/>
      <c r="J48" s="13">
        <f t="shared" si="17"/>
        <v>1500000</v>
      </c>
      <c r="K48" s="13">
        <f>1000000+500000</f>
        <v>1500000</v>
      </c>
      <c r="L48" s="13"/>
      <c r="M48" s="13"/>
      <c r="N48" s="13"/>
      <c r="O48" s="13">
        <f>1000000+500000</f>
        <v>1500000</v>
      </c>
      <c r="P48" s="13">
        <f>E48 + J48</f>
        <v>1500000</v>
      </c>
    </row>
    <row r="49" spans="1:17" ht="31.2">
      <c r="A49" s="8" t="s">
        <v>58</v>
      </c>
      <c r="B49" s="8" t="s">
        <v>59</v>
      </c>
      <c r="C49" s="8" t="s">
        <v>60</v>
      </c>
      <c r="D49" s="12" t="s">
        <v>61</v>
      </c>
      <c r="E49" s="13">
        <f>F49+I49</f>
        <v>112000</v>
      </c>
      <c r="F49" s="13">
        <v>112000</v>
      </c>
      <c r="G49" s="13">
        <v>0</v>
      </c>
      <c r="H49" s="13">
        <v>0</v>
      </c>
      <c r="I49" s="13">
        <v>0</v>
      </c>
      <c r="J49" s="13">
        <f>L49+O49</f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f>E49 + J49</f>
        <v>112000</v>
      </c>
    </row>
    <row r="50" spans="1:17" ht="46.8">
      <c r="A50" s="16" t="s">
        <v>288</v>
      </c>
      <c r="B50" s="16">
        <v>8110</v>
      </c>
      <c r="C50" s="16" t="s">
        <v>239</v>
      </c>
      <c r="D50" s="12" t="s">
        <v>240</v>
      </c>
      <c r="E50" s="13">
        <f>F50+I50</f>
        <v>42000</v>
      </c>
      <c r="F50" s="13">
        <v>42000</v>
      </c>
      <c r="G50" s="13"/>
      <c r="H50" s="13"/>
      <c r="I50" s="13"/>
      <c r="J50" s="13"/>
      <c r="K50" s="13"/>
      <c r="L50" s="13"/>
      <c r="M50" s="13"/>
      <c r="N50" s="13"/>
      <c r="O50" s="13"/>
      <c r="P50" s="13">
        <f>E50 + J50</f>
        <v>42000</v>
      </c>
    </row>
    <row r="51" spans="1:17" ht="31.2">
      <c r="A51" s="8" t="s">
        <v>62</v>
      </c>
      <c r="B51" s="8" t="s">
        <v>63</v>
      </c>
      <c r="C51" s="8" t="s">
        <v>64</v>
      </c>
      <c r="D51" s="12" t="s">
        <v>65</v>
      </c>
      <c r="E51" s="13">
        <f t="shared" si="10"/>
        <v>26336110</v>
      </c>
      <c r="F51" s="13">
        <f>24248400+2126950-39240</f>
        <v>26336110</v>
      </c>
      <c r="G51" s="13">
        <f>17626300+3877000+2126950</f>
        <v>23630250</v>
      </c>
      <c r="H51" s="13">
        <f>53200+9300</f>
        <v>62500</v>
      </c>
      <c r="I51" s="13">
        <v>0</v>
      </c>
      <c r="J51" s="13">
        <f t="shared" si="11"/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f t="shared" si="0"/>
        <v>26336110</v>
      </c>
    </row>
    <row r="52" spans="1:17" ht="31.2">
      <c r="A52" s="8" t="s">
        <v>66</v>
      </c>
      <c r="B52" s="8" t="s">
        <v>67</v>
      </c>
      <c r="C52" s="8" t="s">
        <v>64</v>
      </c>
      <c r="D52" s="12" t="s">
        <v>68</v>
      </c>
      <c r="E52" s="13">
        <f t="shared" si="10"/>
        <v>2083400</v>
      </c>
      <c r="F52" s="13">
        <f>2103400-20000</f>
        <v>2083400</v>
      </c>
      <c r="G52" s="13">
        <v>0</v>
      </c>
      <c r="H52" s="13">
        <v>0</v>
      </c>
      <c r="I52" s="13">
        <v>0</v>
      </c>
      <c r="J52" s="13">
        <f t="shared" si="11"/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f t="shared" si="0"/>
        <v>2083400</v>
      </c>
    </row>
    <row r="53" spans="1:17" ht="31.2">
      <c r="A53" s="8" t="s">
        <v>69</v>
      </c>
      <c r="B53" s="8" t="s">
        <v>70</v>
      </c>
      <c r="C53" s="8" t="s">
        <v>64</v>
      </c>
      <c r="D53" s="12" t="s">
        <v>71</v>
      </c>
      <c r="E53" s="13">
        <f t="shared" si="10"/>
        <v>2847000</v>
      </c>
      <c r="F53" s="13">
        <f>2673200+173800</f>
        <v>2847000</v>
      </c>
      <c r="G53" s="13">
        <v>0</v>
      </c>
      <c r="H53" s="13">
        <v>0</v>
      </c>
      <c r="I53" s="13">
        <v>0</v>
      </c>
      <c r="J53" s="13">
        <f t="shared" si="11"/>
        <v>514000</v>
      </c>
      <c r="K53" s="13">
        <v>514000</v>
      </c>
      <c r="L53" s="13">
        <v>0</v>
      </c>
      <c r="M53" s="13">
        <v>0</v>
      </c>
      <c r="N53" s="13">
        <v>0</v>
      </c>
      <c r="O53" s="13">
        <v>514000</v>
      </c>
      <c r="P53" s="13">
        <f t="shared" si="0"/>
        <v>3361000</v>
      </c>
    </row>
    <row r="54" spans="1:17" ht="31.2">
      <c r="A54" s="16" t="s">
        <v>346</v>
      </c>
      <c r="B54" s="33">
        <v>8240</v>
      </c>
      <c r="C54" s="16" t="s">
        <v>64</v>
      </c>
      <c r="D54" s="12" t="s">
        <v>261</v>
      </c>
      <c r="E54" s="13">
        <f t="shared" si="10"/>
        <v>22800</v>
      </c>
      <c r="F54" s="13">
        <v>22800</v>
      </c>
      <c r="G54" s="13"/>
      <c r="H54" s="13"/>
      <c r="I54" s="13"/>
      <c r="J54" s="13">
        <f t="shared" si="11"/>
        <v>56700</v>
      </c>
      <c r="K54" s="13">
        <f>200500-22800-121000</f>
        <v>56700</v>
      </c>
      <c r="L54" s="13"/>
      <c r="M54" s="13"/>
      <c r="N54" s="13"/>
      <c r="O54" s="13">
        <f>200500-22800-121000</f>
        <v>56700</v>
      </c>
      <c r="P54" s="13">
        <f t="shared" si="0"/>
        <v>79500</v>
      </c>
    </row>
    <row r="55" spans="1:17" ht="31.2">
      <c r="A55" s="16" t="s">
        <v>276</v>
      </c>
      <c r="B55" s="8">
        <v>8340</v>
      </c>
      <c r="C55" s="8" t="s">
        <v>274</v>
      </c>
      <c r="D55" s="12" t="s">
        <v>275</v>
      </c>
      <c r="E55" s="13">
        <f t="shared" si="10"/>
        <v>0</v>
      </c>
      <c r="F55" s="13"/>
      <c r="G55" s="13"/>
      <c r="H55" s="13"/>
      <c r="I55" s="13"/>
      <c r="J55" s="13">
        <f t="shared" si="11"/>
        <v>900000</v>
      </c>
      <c r="K55" s="13"/>
      <c r="L55" s="13">
        <v>900000</v>
      </c>
      <c r="M55" s="13"/>
      <c r="N55" s="13"/>
      <c r="O55" s="13"/>
      <c r="P55" s="13">
        <f t="shared" si="0"/>
        <v>900000</v>
      </c>
    </row>
    <row r="56" spans="1:17" ht="46.8">
      <c r="A56" s="9" t="s">
        <v>72</v>
      </c>
      <c r="B56" s="9" t="s">
        <v>19</v>
      </c>
      <c r="C56" s="9" t="s">
        <v>19</v>
      </c>
      <c r="D56" s="10" t="s">
        <v>73</v>
      </c>
      <c r="E56" s="11">
        <f>F56+I56</f>
        <v>421698254</v>
      </c>
      <c r="F56" s="11">
        <f>F57</f>
        <v>421698254</v>
      </c>
      <c r="G56" s="11">
        <f>G57</f>
        <v>303348544</v>
      </c>
      <c r="H56" s="11">
        <f>H57</f>
        <v>36013400</v>
      </c>
      <c r="I56" s="11">
        <f>I57</f>
        <v>0</v>
      </c>
      <c r="J56" s="11">
        <f>L56+O56</f>
        <v>32820716</v>
      </c>
      <c r="K56" s="11">
        <f>K57</f>
        <v>15815216</v>
      </c>
      <c r="L56" s="11">
        <f t="shared" ref="L56:O56" si="18">L57</f>
        <v>17005500</v>
      </c>
      <c r="M56" s="11">
        <f t="shared" si="18"/>
        <v>0</v>
      </c>
      <c r="N56" s="11">
        <f t="shared" si="18"/>
        <v>0</v>
      </c>
      <c r="O56" s="11">
        <f t="shared" si="18"/>
        <v>15815216</v>
      </c>
      <c r="P56" s="11">
        <f t="shared" si="0"/>
        <v>454518970</v>
      </c>
      <c r="Q56" s="5"/>
    </row>
    <row r="57" spans="1:17" ht="46.8">
      <c r="A57" s="9" t="s">
        <v>74</v>
      </c>
      <c r="B57" s="9" t="s">
        <v>19</v>
      </c>
      <c r="C57" s="9" t="s">
        <v>19</v>
      </c>
      <c r="D57" s="10" t="s">
        <v>73</v>
      </c>
      <c r="E57" s="11">
        <f>F57+I57</f>
        <v>421698254</v>
      </c>
      <c r="F57" s="11">
        <f>SUM(F58:F82)-F64-F65</f>
        <v>421698254</v>
      </c>
      <c r="G57" s="11">
        <f t="shared" ref="G57:I57" si="19">SUM(G58:G82)-G64-G65</f>
        <v>303348544</v>
      </c>
      <c r="H57" s="11">
        <f t="shared" si="19"/>
        <v>36013400</v>
      </c>
      <c r="I57" s="11">
        <f t="shared" si="19"/>
        <v>0</v>
      </c>
      <c r="J57" s="11">
        <f>L57+O57</f>
        <v>32820716</v>
      </c>
      <c r="K57" s="11">
        <f>SUM(K58:K82)-K64-K65</f>
        <v>15815216</v>
      </c>
      <c r="L57" s="11">
        <f t="shared" ref="L57:O57" si="20">SUM(L58:L82)-L64-L65</f>
        <v>17005500</v>
      </c>
      <c r="M57" s="11">
        <f t="shared" si="20"/>
        <v>0</v>
      </c>
      <c r="N57" s="11">
        <f t="shared" si="20"/>
        <v>0</v>
      </c>
      <c r="O57" s="11">
        <f t="shared" si="20"/>
        <v>15815216</v>
      </c>
      <c r="P57" s="11">
        <f>E57 + J57</f>
        <v>454518970</v>
      </c>
    </row>
    <row r="58" spans="1:17" ht="46.8">
      <c r="A58" s="8" t="s">
        <v>75</v>
      </c>
      <c r="B58" s="8" t="s">
        <v>76</v>
      </c>
      <c r="C58" s="8" t="s">
        <v>24</v>
      </c>
      <c r="D58" s="12" t="s">
        <v>77</v>
      </c>
      <c r="E58" s="13">
        <f>F58+I58</f>
        <v>5954600</v>
      </c>
      <c r="F58" s="13">
        <v>5954600</v>
      </c>
      <c r="G58" s="13">
        <f>4429700+974500</f>
        <v>5404200</v>
      </c>
      <c r="H58" s="13">
        <f>222100+10400+210000+8800</f>
        <v>451300</v>
      </c>
      <c r="I58" s="13">
        <v>0</v>
      </c>
      <c r="J58" s="13">
        <f>L58+O58</f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f t="shared" si="0"/>
        <v>5954600</v>
      </c>
    </row>
    <row r="59" spans="1:17">
      <c r="A59" s="8" t="s">
        <v>78</v>
      </c>
      <c r="B59" s="8" t="s">
        <v>79</v>
      </c>
      <c r="C59" s="8" t="s">
        <v>80</v>
      </c>
      <c r="D59" s="12" t="s">
        <v>81</v>
      </c>
      <c r="E59" s="13">
        <f t="shared" ref="E59:E81" si="21">F59+I59</f>
        <v>105360180</v>
      </c>
      <c r="F59" s="13">
        <f>101843700+145980+130000+3240500</f>
        <v>105360180</v>
      </c>
      <c r="G59" s="13">
        <f>65000000+14300000</f>
        <v>79300000</v>
      </c>
      <c r="H59" s="13">
        <f>8000000+660000+3656100+157600+320000</f>
        <v>12793700</v>
      </c>
      <c r="I59" s="13">
        <v>0</v>
      </c>
      <c r="J59" s="13">
        <f t="shared" ref="J59:J82" si="22">L59+O59</f>
        <v>11160687</v>
      </c>
      <c r="K59" s="13">
        <f>1073037+700000</f>
        <v>1773037</v>
      </c>
      <c r="L59" s="13">
        <v>9387650</v>
      </c>
      <c r="M59" s="13">
        <v>0</v>
      </c>
      <c r="N59" s="13">
        <v>0</v>
      </c>
      <c r="O59" s="13">
        <f>1073037+700000</f>
        <v>1773037</v>
      </c>
      <c r="P59" s="13">
        <f t="shared" si="0"/>
        <v>116520867</v>
      </c>
    </row>
    <row r="60" spans="1:17" ht="46.8">
      <c r="A60" s="8" t="s">
        <v>82</v>
      </c>
      <c r="B60" s="8" t="s">
        <v>83</v>
      </c>
      <c r="C60" s="8" t="s">
        <v>84</v>
      </c>
      <c r="D60" s="12" t="s">
        <v>85</v>
      </c>
      <c r="E60" s="13">
        <f t="shared" si="21"/>
        <v>103518080</v>
      </c>
      <c r="F60" s="13">
        <f>95351700+432180+146000+6788200+800000</f>
        <v>103518080</v>
      </c>
      <c r="G60" s="13">
        <f>38229200+8410300</f>
        <v>46639500</v>
      </c>
      <c r="H60" s="13">
        <f>10200000+608000+4800000+900000+675000</f>
        <v>17183000</v>
      </c>
      <c r="I60" s="13">
        <v>0</v>
      </c>
      <c r="J60" s="13">
        <f t="shared" si="22"/>
        <v>2607689</v>
      </c>
      <c r="K60" s="13">
        <f>1800000+800000-200000</f>
        <v>2400000</v>
      </c>
      <c r="L60" s="13">
        <v>207689</v>
      </c>
      <c r="M60" s="13">
        <v>0</v>
      </c>
      <c r="N60" s="13">
        <v>0</v>
      </c>
      <c r="O60" s="13">
        <f>1800000+800000-200000</f>
        <v>2400000</v>
      </c>
      <c r="P60" s="13">
        <f t="shared" si="0"/>
        <v>106125769</v>
      </c>
      <c r="Q60" s="5"/>
    </row>
    <row r="61" spans="1:17" ht="93.6">
      <c r="A61" s="8" t="s">
        <v>86</v>
      </c>
      <c r="B61" s="8" t="s">
        <v>87</v>
      </c>
      <c r="C61" s="8" t="s">
        <v>88</v>
      </c>
      <c r="D61" s="12" t="s">
        <v>89</v>
      </c>
      <c r="E61" s="13">
        <f t="shared" si="21"/>
        <v>15424400</v>
      </c>
      <c r="F61" s="13">
        <f>14574000+13000+837400</f>
        <v>15424400</v>
      </c>
      <c r="G61" s="13">
        <f>7769100+1735200</f>
        <v>9504300</v>
      </c>
      <c r="H61" s="13">
        <f>871200+80500+661100+37300</f>
        <v>1650100</v>
      </c>
      <c r="I61" s="13">
        <v>0</v>
      </c>
      <c r="J61" s="13">
        <f t="shared" si="22"/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f t="shared" si="0"/>
        <v>15424400</v>
      </c>
    </row>
    <row r="62" spans="1:17" s="21" customFormat="1" ht="46.8">
      <c r="A62" s="20" t="s">
        <v>90</v>
      </c>
      <c r="B62" s="20" t="s">
        <v>91</v>
      </c>
      <c r="C62" s="20" t="s">
        <v>84</v>
      </c>
      <c r="D62" s="12" t="s">
        <v>92</v>
      </c>
      <c r="E62" s="13">
        <f t="shared" si="21"/>
        <v>92648774</v>
      </c>
      <c r="F62" s="13">
        <f>F64+F65</f>
        <v>92648774</v>
      </c>
      <c r="G62" s="13">
        <f>G64+G65</f>
        <v>92648774</v>
      </c>
      <c r="H62" s="13">
        <v>0</v>
      </c>
      <c r="I62" s="13">
        <v>0</v>
      </c>
      <c r="J62" s="13">
        <f t="shared" si="22"/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f t="shared" si="0"/>
        <v>92648774</v>
      </c>
    </row>
    <row r="63" spans="1:17" s="34" customFormat="1">
      <c r="A63" s="14"/>
      <c r="B63" s="14"/>
      <c r="C63" s="14"/>
      <c r="D63" s="1" t="s">
        <v>364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>
        <f t="shared" si="0"/>
        <v>0</v>
      </c>
    </row>
    <row r="64" spans="1:17" s="34" customFormat="1" ht="31.2">
      <c r="A64" s="14"/>
      <c r="B64" s="14"/>
      <c r="C64" s="14"/>
      <c r="D64" s="1" t="s">
        <v>365</v>
      </c>
      <c r="E64" s="15">
        <f t="shared" ref="E64:E65" si="23">F64+I64</f>
        <v>92366200</v>
      </c>
      <c r="F64" s="15">
        <f>92366200</f>
        <v>92366200</v>
      </c>
      <c r="G64" s="15">
        <f>92366200</f>
        <v>92366200</v>
      </c>
      <c r="H64" s="15"/>
      <c r="I64" s="15"/>
      <c r="J64" s="15"/>
      <c r="K64" s="15"/>
      <c r="L64" s="15"/>
      <c r="M64" s="15"/>
      <c r="N64" s="15"/>
      <c r="O64" s="15"/>
      <c r="P64" s="15">
        <f t="shared" si="0"/>
        <v>92366200</v>
      </c>
    </row>
    <row r="65" spans="1:16" s="34" customFormat="1" ht="31.2">
      <c r="A65" s="14"/>
      <c r="B65" s="14"/>
      <c r="C65" s="14"/>
      <c r="D65" s="1" t="s">
        <v>366</v>
      </c>
      <c r="E65" s="15">
        <f t="shared" si="23"/>
        <v>282574</v>
      </c>
      <c r="F65" s="15">
        <f>282574</f>
        <v>282574</v>
      </c>
      <c r="G65" s="15">
        <f>282574</f>
        <v>282574</v>
      </c>
      <c r="H65" s="15"/>
      <c r="I65" s="15"/>
      <c r="J65" s="15"/>
      <c r="K65" s="15"/>
      <c r="L65" s="15"/>
      <c r="M65" s="15"/>
      <c r="N65" s="15"/>
      <c r="O65" s="15"/>
      <c r="P65" s="15">
        <f t="shared" si="0"/>
        <v>282574</v>
      </c>
    </row>
    <row r="66" spans="1:16" s="21" customFormat="1" ht="93.6">
      <c r="A66" s="20" t="s">
        <v>93</v>
      </c>
      <c r="B66" s="20" t="s">
        <v>94</v>
      </c>
      <c r="C66" s="20" t="s">
        <v>88</v>
      </c>
      <c r="D66" s="12" t="s">
        <v>95</v>
      </c>
      <c r="E66" s="13">
        <f t="shared" si="21"/>
        <v>10645300</v>
      </c>
      <c r="F66" s="13">
        <v>10645300</v>
      </c>
      <c r="G66" s="13">
        <v>10645300</v>
      </c>
      <c r="H66" s="13">
        <v>0</v>
      </c>
      <c r="I66" s="13">
        <v>0</v>
      </c>
      <c r="J66" s="13">
        <f t="shared" si="22"/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f t="shared" si="0"/>
        <v>10645300</v>
      </c>
    </row>
    <row r="67" spans="1:16" ht="46.8">
      <c r="A67" s="8" t="s">
        <v>96</v>
      </c>
      <c r="B67" s="8" t="s">
        <v>97</v>
      </c>
      <c r="C67" s="8" t="s">
        <v>98</v>
      </c>
      <c r="D67" s="12" t="s">
        <v>99</v>
      </c>
      <c r="E67" s="13">
        <f t="shared" si="21"/>
        <v>23299450</v>
      </c>
      <c r="F67" s="13">
        <f>22476900+13050+16000+793500</f>
        <v>23299450</v>
      </c>
      <c r="G67" s="13">
        <f>15583500+3428400</f>
        <v>19011900</v>
      </c>
      <c r="H67" s="13">
        <f>217600+352800+674300+79100</f>
        <v>1323800</v>
      </c>
      <c r="I67" s="13">
        <v>0</v>
      </c>
      <c r="J67" s="13">
        <f t="shared" si="22"/>
        <v>189360</v>
      </c>
      <c r="K67" s="13">
        <v>0</v>
      </c>
      <c r="L67" s="13">
        <v>189360</v>
      </c>
      <c r="M67" s="13">
        <v>0</v>
      </c>
      <c r="N67" s="13">
        <v>0</v>
      </c>
      <c r="O67" s="13">
        <v>0</v>
      </c>
      <c r="P67" s="13">
        <f t="shared" si="0"/>
        <v>23488810</v>
      </c>
    </row>
    <row r="68" spans="1:16" ht="46.8">
      <c r="A68" s="8" t="s">
        <v>100</v>
      </c>
      <c r="B68" s="8" t="s">
        <v>101</v>
      </c>
      <c r="C68" s="8" t="s">
        <v>102</v>
      </c>
      <c r="D68" s="12" t="s">
        <v>103</v>
      </c>
      <c r="E68" s="13">
        <f t="shared" si="21"/>
        <v>15000</v>
      </c>
      <c r="F68" s="13">
        <v>15000</v>
      </c>
      <c r="G68" s="13">
        <v>0</v>
      </c>
      <c r="H68" s="13">
        <v>0</v>
      </c>
      <c r="I68" s="13">
        <v>0</v>
      </c>
      <c r="J68" s="13">
        <f t="shared" si="22"/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f t="shared" si="0"/>
        <v>15000</v>
      </c>
    </row>
    <row r="69" spans="1:16" ht="31.2">
      <c r="A69" s="8" t="s">
        <v>104</v>
      </c>
      <c r="B69" s="8" t="s">
        <v>105</v>
      </c>
      <c r="C69" s="8" t="s">
        <v>106</v>
      </c>
      <c r="D69" s="12" t="s">
        <v>107</v>
      </c>
      <c r="E69" s="13">
        <f t="shared" si="21"/>
        <v>27731400</v>
      </c>
      <c r="F69" s="13">
        <f>27706400+25000</f>
        <v>27731400</v>
      </c>
      <c r="G69" s="13">
        <f>13803000+3036500</f>
        <v>16839500</v>
      </c>
      <c r="H69" s="13">
        <f>605500+60000+850000+111400</f>
        <v>1626900</v>
      </c>
      <c r="I69" s="13"/>
      <c r="J69" s="13">
        <f t="shared" si="22"/>
        <v>1</v>
      </c>
      <c r="K69" s="13">
        <v>0</v>
      </c>
      <c r="L69" s="13">
        <v>1</v>
      </c>
      <c r="M69" s="13">
        <v>0</v>
      </c>
      <c r="N69" s="13">
        <v>0</v>
      </c>
      <c r="O69" s="13">
        <v>0</v>
      </c>
      <c r="P69" s="13">
        <f t="shared" si="0"/>
        <v>27731401</v>
      </c>
    </row>
    <row r="70" spans="1:16" ht="46.8">
      <c r="A70" s="8" t="s">
        <v>108</v>
      </c>
      <c r="B70" s="8" t="s">
        <v>109</v>
      </c>
      <c r="C70" s="8" t="s">
        <v>106</v>
      </c>
      <c r="D70" s="12" t="s">
        <v>110</v>
      </c>
      <c r="E70" s="13">
        <f t="shared" si="21"/>
        <v>909000</v>
      </c>
      <c r="F70" s="13">
        <f>703000+100000+6000+100000</f>
        <v>909000</v>
      </c>
      <c r="G70" s="13">
        <f>349500+76200</f>
        <v>425700</v>
      </c>
      <c r="H70" s="13">
        <f>50000+6500+58900+7900</f>
        <v>123300</v>
      </c>
      <c r="I70" s="13">
        <v>0</v>
      </c>
      <c r="J70" s="13">
        <f t="shared" si="22"/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f t="shared" si="0"/>
        <v>909000</v>
      </c>
    </row>
    <row r="71" spans="1:16" s="21" customFormat="1" ht="46.8">
      <c r="A71" s="16" t="s">
        <v>347</v>
      </c>
      <c r="B71" s="33">
        <v>1152</v>
      </c>
      <c r="C71" s="33" t="s">
        <v>106</v>
      </c>
      <c r="D71" s="12" t="s">
        <v>348</v>
      </c>
      <c r="E71" s="13">
        <f t="shared" si="21"/>
        <v>1387870</v>
      </c>
      <c r="F71" s="13">
        <v>1387870</v>
      </c>
      <c r="G71" s="13">
        <v>1387870</v>
      </c>
      <c r="H71" s="13"/>
      <c r="I71" s="13"/>
      <c r="J71" s="13"/>
      <c r="K71" s="13"/>
      <c r="L71" s="13"/>
      <c r="M71" s="13"/>
      <c r="N71" s="13"/>
      <c r="O71" s="13"/>
      <c r="P71" s="13">
        <f t="shared" si="0"/>
        <v>1387870</v>
      </c>
    </row>
    <row r="72" spans="1:16" ht="46.8">
      <c r="A72" s="8" t="s">
        <v>111</v>
      </c>
      <c r="B72" s="8" t="s">
        <v>112</v>
      </c>
      <c r="C72" s="8" t="s">
        <v>106</v>
      </c>
      <c r="D72" s="12" t="s">
        <v>113</v>
      </c>
      <c r="E72" s="13">
        <f t="shared" si="21"/>
        <v>4271100</v>
      </c>
      <c r="F72" s="13">
        <f>4125500+145600</f>
        <v>4271100</v>
      </c>
      <c r="G72" s="13">
        <f>3167900+696900</f>
        <v>3864800</v>
      </c>
      <c r="H72" s="13">
        <f>18400+4300+15700+1800</f>
        <v>40200</v>
      </c>
      <c r="I72" s="13">
        <v>0</v>
      </c>
      <c r="J72" s="13">
        <f t="shared" si="22"/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f t="shared" si="0"/>
        <v>4271100</v>
      </c>
    </row>
    <row r="73" spans="1:16" ht="124.8">
      <c r="A73" s="16" t="s">
        <v>349</v>
      </c>
      <c r="B73" s="16" t="s">
        <v>354</v>
      </c>
      <c r="C73" s="16" t="s">
        <v>106</v>
      </c>
      <c r="D73" s="12" t="s">
        <v>359</v>
      </c>
      <c r="E73" s="13">
        <f t="shared" si="21"/>
        <v>0</v>
      </c>
      <c r="F73" s="13"/>
      <c r="G73" s="13"/>
      <c r="H73" s="13"/>
      <c r="I73" s="13"/>
      <c r="J73" s="13">
        <f t="shared" si="22"/>
        <v>1304329</v>
      </c>
      <c r="K73" s="13">
        <v>1304329</v>
      </c>
      <c r="L73" s="13"/>
      <c r="M73" s="13"/>
      <c r="N73" s="13"/>
      <c r="O73" s="13">
        <v>1304329</v>
      </c>
      <c r="P73" s="13">
        <f t="shared" si="0"/>
        <v>1304329</v>
      </c>
    </row>
    <row r="74" spans="1:16" ht="124.8">
      <c r="A74" s="16" t="s">
        <v>350</v>
      </c>
      <c r="B74" s="16" t="s">
        <v>355</v>
      </c>
      <c r="C74" s="16" t="s">
        <v>106</v>
      </c>
      <c r="D74" s="12" t="s">
        <v>360</v>
      </c>
      <c r="E74" s="13">
        <f t="shared" si="21"/>
        <v>0</v>
      </c>
      <c r="F74" s="13"/>
      <c r="G74" s="13"/>
      <c r="H74" s="13"/>
      <c r="I74" s="13"/>
      <c r="J74" s="13">
        <f t="shared" si="22"/>
        <v>3043200</v>
      </c>
      <c r="K74" s="13">
        <v>3043200</v>
      </c>
      <c r="L74" s="13"/>
      <c r="M74" s="13"/>
      <c r="N74" s="13"/>
      <c r="O74" s="13">
        <v>3043200</v>
      </c>
      <c r="P74" s="13">
        <f t="shared" si="0"/>
        <v>3043200</v>
      </c>
    </row>
    <row r="75" spans="1:16" ht="109.2">
      <c r="A75" s="16" t="s">
        <v>351</v>
      </c>
      <c r="B75" s="16" t="s">
        <v>356</v>
      </c>
      <c r="C75" s="16" t="s">
        <v>106</v>
      </c>
      <c r="D75" s="12" t="s">
        <v>361</v>
      </c>
      <c r="E75" s="13">
        <f t="shared" si="21"/>
        <v>330900</v>
      </c>
      <c r="F75" s="13">
        <v>330900</v>
      </c>
      <c r="G75" s="13"/>
      <c r="H75" s="13"/>
      <c r="I75" s="13"/>
      <c r="J75" s="13">
        <f t="shared" si="22"/>
        <v>0</v>
      </c>
      <c r="K75" s="13"/>
      <c r="L75" s="13"/>
      <c r="M75" s="13"/>
      <c r="N75" s="13"/>
      <c r="O75" s="13"/>
      <c r="P75" s="13">
        <f t="shared" si="0"/>
        <v>330900</v>
      </c>
    </row>
    <row r="76" spans="1:16" ht="78">
      <c r="A76" s="16" t="s">
        <v>352</v>
      </c>
      <c r="B76" s="16" t="s">
        <v>357</v>
      </c>
      <c r="C76" s="16" t="s">
        <v>106</v>
      </c>
      <c r="D76" s="12" t="s">
        <v>362</v>
      </c>
      <c r="E76" s="13">
        <f t="shared" si="21"/>
        <v>0</v>
      </c>
      <c r="F76" s="13"/>
      <c r="G76" s="13"/>
      <c r="H76" s="13"/>
      <c r="I76" s="13"/>
      <c r="J76" s="13">
        <f t="shared" si="22"/>
        <v>7220800</v>
      </c>
      <c r="K76" s="13"/>
      <c r="L76" s="13">
        <v>7220800</v>
      </c>
      <c r="M76" s="13"/>
      <c r="N76" s="13"/>
      <c r="O76" s="13"/>
      <c r="P76" s="13">
        <f t="shared" si="0"/>
        <v>7220800</v>
      </c>
    </row>
    <row r="77" spans="1:16" ht="78">
      <c r="A77" s="16" t="s">
        <v>353</v>
      </c>
      <c r="B77" s="16" t="s">
        <v>358</v>
      </c>
      <c r="C77" s="16" t="s">
        <v>106</v>
      </c>
      <c r="D77" s="12" t="s">
        <v>363</v>
      </c>
      <c r="E77" s="13">
        <f t="shared" si="21"/>
        <v>7051000</v>
      </c>
      <c r="F77" s="13">
        <v>7051000</v>
      </c>
      <c r="G77" s="13">
        <v>7051000</v>
      </c>
      <c r="H77" s="13"/>
      <c r="I77" s="13"/>
      <c r="J77" s="13">
        <f t="shared" si="22"/>
        <v>0</v>
      </c>
      <c r="K77" s="13"/>
      <c r="L77" s="13"/>
      <c r="M77" s="13"/>
      <c r="N77" s="13"/>
      <c r="O77" s="13"/>
      <c r="P77" s="13">
        <f t="shared" si="0"/>
        <v>7051000</v>
      </c>
    </row>
    <row r="78" spans="1:16" ht="93.6">
      <c r="A78" s="8" t="s">
        <v>114</v>
      </c>
      <c r="B78" s="8" t="s">
        <v>115</v>
      </c>
      <c r="C78" s="8" t="s">
        <v>116</v>
      </c>
      <c r="D78" s="12" t="s">
        <v>117</v>
      </c>
      <c r="E78" s="13">
        <f t="shared" si="21"/>
        <v>4638400</v>
      </c>
      <c r="F78" s="13">
        <v>4638400</v>
      </c>
      <c r="G78" s="13">
        <v>0</v>
      </c>
      <c r="H78" s="13">
        <v>0</v>
      </c>
      <c r="I78" s="13">
        <v>0</v>
      </c>
      <c r="J78" s="13">
        <f t="shared" si="22"/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f t="shared" si="0"/>
        <v>4638400</v>
      </c>
    </row>
    <row r="79" spans="1:16" ht="31.2">
      <c r="A79" s="8" t="s">
        <v>118</v>
      </c>
      <c r="B79" s="8" t="s">
        <v>51</v>
      </c>
      <c r="C79" s="8" t="s">
        <v>52</v>
      </c>
      <c r="D79" s="12" t="s">
        <v>53</v>
      </c>
      <c r="E79" s="13">
        <f t="shared" si="21"/>
        <v>4101000</v>
      </c>
      <c r="F79" s="13">
        <v>4101000</v>
      </c>
      <c r="G79" s="13">
        <v>0</v>
      </c>
      <c r="H79" s="13">
        <v>0</v>
      </c>
      <c r="I79" s="13">
        <v>0</v>
      </c>
      <c r="J79" s="13">
        <f t="shared" si="22"/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f t="shared" si="0"/>
        <v>4101000</v>
      </c>
    </row>
    <row r="80" spans="1:16" ht="62.4">
      <c r="A80" s="8" t="s">
        <v>119</v>
      </c>
      <c r="B80" s="8" t="s">
        <v>120</v>
      </c>
      <c r="C80" s="8" t="s">
        <v>121</v>
      </c>
      <c r="D80" s="12" t="s">
        <v>342</v>
      </c>
      <c r="E80" s="13">
        <f t="shared" si="21"/>
        <v>13131800</v>
      </c>
      <c r="F80" s="13">
        <f>12646800+12000+473000</f>
        <v>13131800</v>
      </c>
      <c r="G80" s="13">
        <f>8709600+1916100</f>
        <v>10625700</v>
      </c>
      <c r="H80" s="13">
        <f>657600+21600+127000+14900</f>
        <v>821100</v>
      </c>
      <c r="I80" s="13">
        <v>0</v>
      </c>
      <c r="J80" s="13">
        <f t="shared" si="22"/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f t="shared" ref="P80:P118" si="24">E80 + J80</f>
        <v>13131800</v>
      </c>
    </row>
    <row r="81" spans="1:17" ht="31.2">
      <c r="A81" s="16" t="s">
        <v>290</v>
      </c>
      <c r="B81" s="16" t="s">
        <v>285</v>
      </c>
      <c r="C81" s="16" t="s">
        <v>287</v>
      </c>
      <c r="D81" s="12" t="s">
        <v>286</v>
      </c>
      <c r="E81" s="13">
        <f t="shared" si="21"/>
        <v>500000</v>
      </c>
      <c r="F81" s="13">
        <v>500000</v>
      </c>
      <c r="G81" s="13"/>
      <c r="H81" s="13"/>
      <c r="I81" s="13"/>
      <c r="J81" s="13">
        <f t="shared" si="22"/>
        <v>0</v>
      </c>
      <c r="K81" s="13"/>
      <c r="L81" s="13"/>
      <c r="M81" s="13"/>
      <c r="N81" s="13"/>
      <c r="O81" s="13"/>
      <c r="P81" s="13">
        <f t="shared" si="24"/>
        <v>500000</v>
      </c>
    </row>
    <row r="82" spans="1:17" ht="46.8">
      <c r="A82" s="16" t="s">
        <v>291</v>
      </c>
      <c r="B82" s="16">
        <v>8110</v>
      </c>
      <c r="C82" s="16" t="s">
        <v>239</v>
      </c>
      <c r="D82" s="12" t="s">
        <v>240</v>
      </c>
      <c r="E82" s="13">
        <f>F82+I82</f>
        <v>780000</v>
      </c>
      <c r="F82" s="13">
        <v>780000</v>
      </c>
      <c r="G82" s="13"/>
      <c r="H82" s="13"/>
      <c r="I82" s="13"/>
      <c r="J82" s="13">
        <f t="shared" si="22"/>
        <v>7294650</v>
      </c>
      <c r="K82" s="13">
        <f>200000+6894650+200000</f>
        <v>7294650</v>
      </c>
      <c r="L82" s="13"/>
      <c r="M82" s="13"/>
      <c r="N82" s="13"/>
      <c r="O82" s="13">
        <f>200000+6894650+200000</f>
        <v>7294650</v>
      </c>
      <c r="P82" s="13">
        <f>E82 + J82</f>
        <v>8074650</v>
      </c>
    </row>
    <row r="83" spans="1:17" ht="46.8">
      <c r="A83" s="9" t="s">
        <v>122</v>
      </c>
      <c r="B83" s="9" t="s">
        <v>19</v>
      </c>
      <c r="C83" s="9" t="s">
        <v>19</v>
      </c>
      <c r="D83" s="10" t="s">
        <v>123</v>
      </c>
      <c r="E83" s="11">
        <f>F83+I83</f>
        <v>119247947.87</v>
      </c>
      <c r="F83" s="11">
        <f>F84</f>
        <v>119247947.87</v>
      </c>
      <c r="G83" s="11">
        <f>G84</f>
        <v>46875592.870000005</v>
      </c>
      <c r="H83" s="11">
        <f>H84</f>
        <v>1477200</v>
      </c>
      <c r="I83" s="11">
        <f>I84</f>
        <v>0</v>
      </c>
      <c r="J83" s="11">
        <f>L83+O83</f>
        <v>1173625</v>
      </c>
      <c r="K83" s="11">
        <f>K84</f>
        <v>991625</v>
      </c>
      <c r="L83" s="11">
        <f t="shared" ref="L83:O83" si="25">L84</f>
        <v>57000</v>
      </c>
      <c r="M83" s="11">
        <f t="shared" si="25"/>
        <v>0</v>
      </c>
      <c r="N83" s="11">
        <f t="shared" si="25"/>
        <v>0</v>
      </c>
      <c r="O83" s="11">
        <f t="shared" si="25"/>
        <v>1116625</v>
      </c>
      <c r="P83" s="11">
        <f t="shared" si="24"/>
        <v>120421572.87</v>
      </c>
      <c r="Q83" s="5"/>
    </row>
    <row r="84" spans="1:17" ht="46.8">
      <c r="A84" s="9" t="s">
        <v>124</v>
      </c>
      <c r="B84" s="9" t="s">
        <v>19</v>
      </c>
      <c r="C84" s="9" t="s">
        <v>19</v>
      </c>
      <c r="D84" s="10" t="s">
        <v>123</v>
      </c>
      <c r="E84" s="11">
        <f>F84+I84</f>
        <v>119247947.87</v>
      </c>
      <c r="F84" s="11">
        <f>SUM(F85:F102)</f>
        <v>119247947.87</v>
      </c>
      <c r="G84" s="11">
        <f t="shared" ref="G84:K84" si="26">SUM(G85:G102)</f>
        <v>46875592.870000005</v>
      </c>
      <c r="H84" s="11">
        <f t="shared" si="26"/>
        <v>1477200</v>
      </c>
      <c r="I84" s="11">
        <f t="shared" si="26"/>
        <v>0</v>
      </c>
      <c r="J84" s="11">
        <f>L84+O84</f>
        <v>1173625</v>
      </c>
      <c r="K84" s="11">
        <f t="shared" si="26"/>
        <v>991625</v>
      </c>
      <c r="L84" s="11">
        <f t="shared" ref="L84" si="27">SUM(L85:L102)</f>
        <v>57000</v>
      </c>
      <c r="M84" s="11">
        <f t="shared" ref="M84" si="28">SUM(M85:M102)</f>
        <v>0</v>
      </c>
      <c r="N84" s="11">
        <f t="shared" ref="N84" si="29">SUM(N85:N102)</f>
        <v>0</v>
      </c>
      <c r="O84" s="11">
        <f t="shared" ref="O84" si="30">SUM(O85:O102)</f>
        <v>1116625</v>
      </c>
      <c r="P84" s="11">
        <f t="shared" si="24"/>
        <v>120421572.87</v>
      </c>
      <c r="Q84" s="5"/>
    </row>
    <row r="85" spans="1:17" ht="46.8">
      <c r="A85" s="8" t="s">
        <v>125</v>
      </c>
      <c r="B85" s="8" t="s">
        <v>76</v>
      </c>
      <c r="C85" s="8" t="s">
        <v>24</v>
      </c>
      <c r="D85" s="12" t="s">
        <v>77</v>
      </c>
      <c r="E85" s="13">
        <f>F85+I85</f>
        <v>22512700</v>
      </c>
      <c r="F85" s="13">
        <v>22512700</v>
      </c>
      <c r="G85" s="13">
        <f>17437500+3836200</f>
        <v>21273700</v>
      </c>
      <c r="H85" s="13">
        <f>500000+20000+300000</f>
        <v>820000</v>
      </c>
      <c r="I85" s="13">
        <v>0</v>
      </c>
      <c r="J85" s="13">
        <f>L85+O85</f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f t="shared" si="24"/>
        <v>22512700</v>
      </c>
    </row>
    <row r="86" spans="1:17" ht="31.2">
      <c r="A86" s="8" t="s">
        <v>126</v>
      </c>
      <c r="B86" s="8" t="s">
        <v>31</v>
      </c>
      <c r="C86" s="8" t="s">
        <v>32</v>
      </c>
      <c r="D86" s="12" t="s">
        <v>33</v>
      </c>
      <c r="E86" s="13">
        <f t="shared" ref="E86:E105" si="31">F86+I86</f>
        <v>50000</v>
      </c>
      <c r="F86" s="13">
        <v>50000</v>
      </c>
      <c r="G86" s="13">
        <v>0</v>
      </c>
      <c r="H86" s="13">
        <v>0</v>
      </c>
      <c r="I86" s="13">
        <v>0</v>
      </c>
      <c r="J86" s="13">
        <f t="shared" ref="J86:J171" si="32">L86+O86</f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f t="shared" si="24"/>
        <v>50000</v>
      </c>
    </row>
    <row r="87" spans="1:17" ht="46.8">
      <c r="A87" s="8" t="s">
        <v>127</v>
      </c>
      <c r="B87" s="8" t="s">
        <v>128</v>
      </c>
      <c r="C87" s="8" t="s">
        <v>129</v>
      </c>
      <c r="D87" s="12" t="s">
        <v>130</v>
      </c>
      <c r="E87" s="13">
        <f t="shared" si="31"/>
        <v>3161000</v>
      </c>
      <c r="F87" s="13">
        <v>3161000</v>
      </c>
      <c r="G87" s="13">
        <v>0</v>
      </c>
      <c r="H87" s="13">
        <v>0</v>
      </c>
      <c r="I87" s="13">
        <v>0</v>
      </c>
      <c r="J87" s="13">
        <f t="shared" si="32"/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f t="shared" si="24"/>
        <v>3161000</v>
      </c>
    </row>
    <row r="88" spans="1:17" ht="31.2">
      <c r="A88" s="8" t="s">
        <v>131</v>
      </c>
      <c r="B88" s="8" t="s">
        <v>132</v>
      </c>
      <c r="C88" s="8" t="s">
        <v>97</v>
      </c>
      <c r="D88" s="12" t="s">
        <v>133</v>
      </c>
      <c r="E88" s="13">
        <f t="shared" si="31"/>
        <v>5000</v>
      </c>
      <c r="F88" s="13">
        <v>5000</v>
      </c>
      <c r="G88" s="13">
        <v>0</v>
      </c>
      <c r="H88" s="13">
        <v>0</v>
      </c>
      <c r="I88" s="13">
        <v>0</v>
      </c>
      <c r="J88" s="13">
        <f t="shared" si="32"/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f t="shared" si="24"/>
        <v>5000</v>
      </c>
    </row>
    <row r="89" spans="1:17" s="21" customFormat="1" ht="46.8">
      <c r="A89" s="20" t="s">
        <v>134</v>
      </c>
      <c r="B89" s="20" t="s">
        <v>135</v>
      </c>
      <c r="C89" s="20" t="s">
        <v>97</v>
      </c>
      <c r="D89" s="12" t="s">
        <v>136</v>
      </c>
      <c r="E89" s="13">
        <f t="shared" si="31"/>
        <v>444119</v>
      </c>
      <c r="F89" s="13">
        <v>444119</v>
      </c>
      <c r="G89" s="13">
        <v>0</v>
      </c>
      <c r="H89" s="13">
        <v>0</v>
      </c>
      <c r="I89" s="13">
        <v>0</v>
      </c>
      <c r="J89" s="13">
        <f t="shared" si="32"/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f t="shared" si="24"/>
        <v>444119</v>
      </c>
    </row>
    <row r="90" spans="1:17" s="21" customFormat="1" ht="46.8">
      <c r="A90" s="20" t="s">
        <v>137</v>
      </c>
      <c r="B90" s="20" t="s">
        <v>138</v>
      </c>
      <c r="C90" s="20" t="s">
        <v>129</v>
      </c>
      <c r="D90" s="12" t="s">
        <v>139</v>
      </c>
      <c r="E90" s="13">
        <f t="shared" si="31"/>
        <v>83516</v>
      </c>
      <c r="F90" s="13">
        <v>83516</v>
      </c>
      <c r="G90" s="13">
        <v>0</v>
      </c>
      <c r="H90" s="13">
        <v>0</v>
      </c>
      <c r="I90" s="13">
        <v>0</v>
      </c>
      <c r="J90" s="13">
        <f t="shared" si="32"/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f t="shared" si="24"/>
        <v>83516</v>
      </c>
    </row>
    <row r="91" spans="1:17" ht="78">
      <c r="A91" s="8" t="s">
        <v>140</v>
      </c>
      <c r="B91" s="8" t="s">
        <v>141</v>
      </c>
      <c r="C91" s="8" t="s">
        <v>142</v>
      </c>
      <c r="D91" s="12" t="s">
        <v>143</v>
      </c>
      <c r="E91" s="13">
        <f t="shared" si="31"/>
        <v>18855774.870000001</v>
      </c>
      <c r="F91" s="13">
        <f>17480300+1200000+175474.87</f>
        <v>18855774.870000001</v>
      </c>
      <c r="G91" s="13">
        <f>13304500+2932600+1200000+175474.87</f>
        <v>17612574.870000001</v>
      </c>
      <c r="H91" s="13">
        <f>190000+6000+140000</f>
        <v>336000</v>
      </c>
      <c r="I91" s="13">
        <v>0</v>
      </c>
      <c r="J91" s="13">
        <f t="shared" si="32"/>
        <v>182000</v>
      </c>
      <c r="K91" s="13">
        <v>0</v>
      </c>
      <c r="L91" s="13">
        <v>57000</v>
      </c>
      <c r="M91" s="13">
        <v>0</v>
      </c>
      <c r="N91" s="13">
        <v>0</v>
      </c>
      <c r="O91" s="13">
        <v>125000</v>
      </c>
      <c r="P91" s="13">
        <f t="shared" si="24"/>
        <v>19037774.870000001</v>
      </c>
    </row>
    <row r="92" spans="1:17" ht="109.2">
      <c r="A92" s="8" t="s">
        <v>144</v>
      </c>
      <c r="B92" s="8" t="s">
        <v>145</v>
      </c>
      <c r="C92" s="8" t="s">
        <v>116</v>
      </c>
      <c r="D92" s="12" t="s">
        <v>340</v>
      </c>
      <c r="E92" s="13">
        <f t="shared" si="31"/>
        <v>9399500</v>
      </c>
      <c r="F92" s="13">
        <f>9208500+93000+98000</f>
        <v>9399500</v>
      </c>
      <c r="G92" s="13">
        <f>6040000+1344700</f>
        <v>7384700</v>
      </c>
      <c r="H92" s="13">
        <f>123600+18800+178800</f>
        <v>321200</v>
      </c>
      <c r="I92" s="13">
        <v>0</v>
      </c>
      <c r="J92" s="13">
        <f t="shared" si="32"/>
        <v>991625</v>
      </c>
      <c r="K92" s="13">
        <v>991625</v>
      </c>
      <c r="L92" s="13">
        <v>0</v>
      </c>
      <c r="M92" s="13">
        <v>0</v>
      </c>
      <c r="N92" s="13">
        <v>0</v>
      </c>
      <c r="O92" s="13">
        <v>991625</v>
      </c>
      <c r="P92" s="13">
        <f t="shared" si="24"/>
        <v>10391125</v>
      </c>
    </row>
    <row r="93" spans="1:17" ht="31.2">
      <c r="A93" s="8" t="s">
        <v>146</v>
      </c>
      <c r="B93" s="8" t="s">
        <v>147</v>
      </c>
      <c r="C93" s="8" t="s">
        <v>116</v>
      </c>
      <c r="D93" s="12" t="s">
        <v>148</v>
      </c>
      <c r="E93" s="13">
        <f t="shared" si="31"/>
        <v>707500</v>
      </c>
      <c r="F93" s="13">
        <v>707500</v>
      </c>
      <c r="G93" s="13">
        <v>0</v>
      </c>
      <c r="H93" s="13">
        <v>0</v>
      </c>
      <c r="I93" s="13">
        <v>0</v>
      </c>
      <c r="J93" s="13">
        <f t="shared" si="32"/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f t="shared" si="24"/>
        <v>707500</v>
      </c>
    </row>
    <row r="94" spans="1:17" ht="93.6">
      <c r="A94" s="16" t="s">
        <v>292</v>
      </c>
      <c r="B94" s="8" t="s">
        <v>115</v>
      </c>
      <c r="C94" s="8" t="s">
        <v>116</v>
      </c>
      <c r="D94" s="12" t="s">
        <v>117</v>
      </c>
      <c r="E94" s="13">
        <f t="shared" si="31"/>
        <v>1200000</v>
      </c>
      <c r="F94" s="13">
        <f>200000+1000000</f>
        <v>1200000</v>
      </c>
      <c r="G94" s="13">
        <v>0</v>
      </c>
      <c r="H94" s="13">
        <v>0</v>
      </c>
      <c r="I94" s="13">
        <v>0</v>
      </c>
      <c r="J94" s="13">
        <f t="shared" si="32"/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f t="shared" si="24"/>
        <v>1200000</v>
      </c>
    </row>
    <row r="95" spans="1:17" ht="109.2">
      <c r="A95" s="8" t="s">
        <v>149</v>
      </c>
      <c r="B95" s="8" t="s">
        <v>150</v>
      </c>
      <c r="C95" s="8" t="s">
        <v>79</v>
      </c>
      <c r="D95" s="12" t="s">
        <v>151</v>
      </c>
      <c r="E95" s="13">
        <f t="shared" si="31"/>
        <v>3300000</v>
      </c>
      <c r="F95" s="13">
        <v>3300000</v>
      </c>
      <c r="G95" s="13">
        <v>0</v>
      </c>
      <c r="H95" s="13">
        <v>0</v>
      </c>
      <c r="I95" s="13">
        <v>0</v>
      </c>
      <c r="J95" s="13">
        <f t="shared" si="32"/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f t="shared" si="24"/>
        <v>3300000</v>
      </c>
    </row>
    <row r="96" spans="1:17" s="21" customFormat="1" ht="78">
      <c r="A96" s="20" t="s">
        <v>152</v>
      </c>
      <c r="B96" s="20" t="s">
        <v>153</v>
      </c>
      <c r="C96" s="20" t="s">
        <v>79</v>
      </c>
      <c r="D96" s="12" t="s">
        <v>154</v>
      </c>
      <c r="E96" s="13">
        <f t="shared" si="31"/>
        <v>28720</v>
      </c>
      <c r="F96" s="13">
        <v>28720</v>
      </c>
      <c r="G96" s="13">
        <v>0</v>
      </c>
      <c r="H96" s="13">
        <v>0</v>
      </c>
      <c r="I96" s="13">
        <v>0</v>
      </c>
      <c r="J96" s="13">
        <f t="shared" si="32"/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f t="shared" si="24"/>
        <v>28720</v>
      </c>
    </row>
    <row r="97" spans="1:17" ht="93.6">
      <c r="A97" s="8" t="s">
        <v>155</v>
      </c>
      <c r="B97" s="8" t="s">
        <v>156</v>
      </c>
      <c r="C97" s="8" t="s">
        <v>157</v>
      </c>
      <c r="D97" s="12" t="s">
        <v>158</v>
      </c>
      <c r="E97" s="13">
        <f t="shared" si="31"/>
        <v>1000000</v>
      </c>
      <c r="F97" s="13">
        <v>1000000</v>
      </c>
      <c r="G97" s="13">
        <v>0</v>
      </c>
      <c r="H97" s="13">
        <v>0</v>
      </c>
      <c r="I97" s="13">
        <v>0</v>
      </c>
      <c r="J97" s="13">
        <f t="shared" si="32"/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f t="shared" si="24"/>
        <v>1000000</v>
      </c>
    </row>
    <row r="98" spans="1:17" ht="62.4">
      <c r="A98" s="8" t="s">
        <v>159</v>
      </c>
      <c r="B98" s="8" t="s">
        <v>160</v>
      </c>
      <c r="C98" s="8" t="s">
        <v>129</v>
      </c>
      <c r="D98" s="12" t="s">
        <v>161</v>
      </c>
      <c r="E98" s="13">
        <f t="shared" si="31"/>
        <v>71000</v>
      </c>
      <c r="F98" s="13">
        <v>71000</v>
      </c>
      <c r="G98" s="13">
        <v>0</v>
      </c>
      <c r="H98" s="13">
        <v>0</v>
      </c>
      <c r="I98" s="13">
        <v>0</v>
      </c>
      <c r="J98" s="13">
        <f t="shared" si="32"/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f t="shared" si="24"/>
        <v>71000</v>
      </c>
    </row>
    <row r="99" spans="1:17" ht="93.6">
      <c r="A99" s="16" t="s">
        <v>392</v>
      </c>
      <c r="B99" s="37">
        <v>3193</v>
      </c>
      <c r="C99" s="37">
        <v>1030</v>
      </c>
      <c r="D99" s="12" t="s">
        <v>391</v>
      </c>
      <c r="E99" s="13">
        <f t="shared" si="31"/>
        <v>604618</v>
      </c>
      <c r="F99" s="13">
        <v>604618</v>
      </c>
      <c r="G99" s="13">
        <v>604618</v>
      </c>
      <c r="H99" s="13"/>
      <c r="I99" s="13"/>
      <c r="J99" s="13">
        <f t="shared" si="32"/>
        <v>0</v>
      </c>
      <c r="K99" s="13"/>
      <c r="L99" s="13"/>
      <c r="M99" s="13"/>
      <c r="N99" s="13"/>
      <c r="O99" s="13"/>
      <c r="P99" s="13">
        <f t="shared" si="24"/>
        <v>604618</v>
      </c>
    </row>
    <row r="100" spans="1:17" ht="62.4">
      <c r="A100" s="8" t="s">
        <v>162</v>
      </c>
      <c r="B100" s="8" t="s">
        <v>163</v>
      </c>
      <c r="C100" s="8" t="s">
        <v>97</v>
      </c>
      <c r="D100" s="12" t="s">
        <v>164</v>
      </c>
      <c r="E100" s="13">
        <f t="shared" si="31"/>
        <v>497600</v>
      </c>
      <c r="F100" s="13">
        <v>497600</v>
      </c>
      <c r="G100" s="13">
        <v>0</v>
      </c>
      <c r="H100" s="13">
        <v>0</v>
      </c>
      <c r="I100" s="13">
        <v>0</v>
      </c>
      <c r="J100" s="13">
        <f t="shared" si="32"/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f t="shared" si="24"/>
        <v>497600</v>
      </c>
    </row>
    <row r="101" spans="1:17" ht="31.2">
      <c r="A101" s="8" t="s">
        <v>165</v>
      </c>
      <c r="B101" s="8" t="s">
        <v>51</v>
      </c>
      <c r="C101" s="8" t="s">
        <v>52</v>
      </c>
      <c r="D101" s="12" t="s">
        <v>53</v>
      </c>
      <c r="E101" s="13">
        <f t="shared" si="31"/>
        <v>57048400</v>
      </c>
      <c r="F101" s="13">
        <f>57048400-35000000+1000000+35000000-1000000</f>
        <v>57048400</v>
      </c>
      <c r="G101" s="13">
        <v>0</v>
      </c>
      <c r="H101" s="13">
        <v>0</v>
      </c>
      <c r="I101" s="13">
        <v>0</v>
      </c>
      <c r="J101" s="13">
        <f t="shared" si="32"/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f t="shared" si="24"/>
        <v>57048400</v>
      </c>
    </row>
    <row r="102" spans="1:17" ht="31.2">
      <c r="A102" s="16" t="s">
        <v>293</v>
      </c>
      <c r="B102" s="16" t="s">
        <v>285</v>
      </c>
      <c r="C102" s="16" t="s">
        <v>287</v>
      </c>
      <c r="D102" s="12" t="s">
        <v>286</v>
      </c>
      <c r="E102" s="13">
        <f t="shared" si="31"/>
        <v>278500</v>
      </c>
      <c r="F102" s="13">
        <f>SUM(F103:F105)</f>
        <v>278500</v>
      </c>
      <c r="G102" s="13"/>
      <c r="H102" s="13"/>
      <c r="I102" s="13"/>
      <c r="J102" s="13">
        <f t="shared" si="32"/>
        <v>0</v>
      </c>
      <c r="K102" s="13"/>
      <c r="L102" s="13"/>
      <c r="M102" s="13"/>
      <c r="N102" s="13"/>
      <c r="O102" s="13"/>
      <c r="P102" s="13">
        <f t="shared" ref="P102:P105" si="33">E102 + J102</f>
        <v>278500</v>
      </c>
    </row>
    <row r="103" spans="1:17" s="7" customFormat="1" ht="46.8">
      <c r="A103" s="19"/>
      <c r="B103" s="19"/>
      <c r="C103" s="19"/>
      <c r="D103" s="1" t="s">
        <v>309</v>
      </c>
      <c r="E103" s="15">
        <f t="shared" si="31"/>
        <v>96200</v>
      </c>
      <c r="F103" s="15">
        <v>96200</v>
      </c>
      <c r="G103" s="15"/>
      <c r="H103" s="15"/>
      <c r="I103" s="15"/>
      <c r="J103" s="15"/>
      <c r="K103" s="15"/>
      <c r="L103" s="15"/>
      <c r="M103" s="15"/>
      <c r="N103" s="15"/>
      <c r="O103" s="15"/>
      <c r="P103" s="15">
        <f t="shared" si="33"/>
        <v>96200</v>
      </c>
    </row>
    <row r="104" spans="1:17" s="7" customFormat="1" ht="62.4">
      <c r="A104" s="19"/>
      <c r="B104" s="19"/>
      <c r="C104" s="19"/>
      <c r="D104" s="1" t="s">
        <v>314</v>
      </c>
      <c r="E104" s="15">
        <f t="shared" si="31"/>
        <v>126900</v>
      </c>
      <c r="F104" s="15">
        <v>126900</v>
      </c>
      <c r="G104" s="15"/>
      <c r="H104" s="15"/>
      <c r="I104" s="15"/>
      <c r="J104" s="15"/>
      <c r="K104" s="15"/>
      <c r="L104" s="15"/>
      <c r="M104" s="15"/>
      <c r="N104" s="15"/>
      <c r="O104" s="15"/>
      <c r="P104" s="15">
        <f t="shared" si="33"/>
        <v>126900</v>
      </c>
    </row>
    <row r="105" spans="1:17" s="7" customFormat="1" ht="78">
      <c r="A105" s="19"/>
      <c r="B105" s="19"/>
      <c r="C105" s="19"/>
      <c r="D105" s="1" t="s">
        <v>313</v>
      </c>
      <c r="E105" s="15">
        <f t="shared" si="31"/>
        <v>55400</v>
      </c>
      <c r="F105" s="15">
        <v>55400</v>
      </c>
      <c r="G105" s="15"/>
      <c r="H105" s="15"/>
      <c r="I105" s="15"/>
      <c r="J105" s="15"/>
      <c r="K105" s="15"/>
      <c r="L105" s="15"/>
      <c r="M105" s="15"/>
      <c r="N105" s="15"/>
      <c r="O105" s="15"/>
      <c r="P105" s="15">
        <f t="shared" si="33"/>
        <v>55400</v>
      </c>
    </row>
    <row r="106" spans="1:17" ht="46.8">
      <c r="A106" s="9" t="s">
        <v>166</v>
      </c>
      <c r="B106" s="9" t="s">
        <v>19</v>
      </c>
      <c r="C106" s="9" t="s">
        <v>19</v>
      </c>
      <c r="D106" s="10" t="s">
        <v>167</v>
      </c>
      <c r="E106" s="11">
        <f t="shared" ref="E106:E113" si="34">F106+I106</f>
        <v>3720800</v>
      </c>
      <c r="F106" s="11">
        <f>F107</f>
        <v>3720800</v>
      </c>
      <c r="G106" s="11">
        <f t="shared" ref="G106:I106" si="35">G107</f>
        <v>3224300</v>
      </c>
      <c r="H106" s="11">
        <f t="shared" si="35"/>
        <v>0</v>
      </c>
      <c r="I106" s="11">
        <f t="shared" si="35"/>
        <v>0</v>
      </c>
      <c r="J106" s="11">
        <f t="shared" si="32"/>
        <v>0</v>
      </c>
      <c r="K106" s="11">
        <f>K107</f>
        <v>0</v>
      </c>
      <c r="L106" s="11">
        <f t="shared" ref="L106:O106" si="36">L107</f>
        <v>0</v>
      </c>
      <c r="M106" s="11">
        <f t="shared" si="36"/>
        <v>0</v>
      </c>
      <c r="N106" s="11">
        <f t="shared" si="36"/>
        <v>0</v>
      </c>
      <c r="O106" s="11">
        <f t="shared" si="36"/>
        <v>0</v>
      </c>
      <c r="P106" s="11">
        <f t="shared" si="24"/>
        <v>3720800</v>
      </c>
      <c r="Q106" s="5"/>
    </row>
    <row r="107" spans="1:17" ht="46.8">
      <c r="A107" s="9" t="s">
        <v>168</v>
      </c>
      <c r="B107" s="9" t="s">
        <v>19</v>
      </c>
      <c r="C107" s="9" t="s">
        <v>19</v>
      </c>
      <c r="D107" s="10" t="s">
        <v>167</v>
      </c>
      <c r="E107" s="11">
        <f t="shared" si="34"/>
        <v>3720800</v>
      </c>
      <c r="F107" s="11">
        <f>SUM(F108:F110)</f>
        <v>3720800</v>
      </c>
      <c r="G107" s="11">
        <f t="shared" ref="G107:K107" si="37">SUM(G108:G110)</f>
        <v>3224300</v>
      </c>
      <c r="H107" s="11">
        <f t="shared" si="37"/>
        <v>0</v>
      </c>
      <c r="I107" s="11">
        <f t="shared" si="37"/>
        <v>0</v>
      </c>
      <c r="J107" s="11">
        <f t="shared" si="32"/>
        <v>0</v>
      </c>
      <c r="K107" s="11">
        <f t="shared" si="37"/>
        <v>0</v>
      </c>
      <c r="L107" s="11">
        <f t="shared" ref="L107" si="38">SUM(L108:L110)</f>
        <v>0</v>
      </c>
      <c r="M107" s="11">
        <f t="shared" ref="M107" si="39">SUM(M108:M110)</f>
        <v>0</v>
      </c>
      <c r="N107" s="11">
        <f t="shared" ref="N107" si="40">SUM(N108:N110)</f>
        <v>0</v>
      </c>
      <c r="O107" s="11">
        <f t="shared" ref="O107" si="41">SUM(O108:O110)</f>
        <v>0</v>
      </c>
      <c r="P107" s="11">
        <f t="shared" si="24"/>
        <v>3720800</v>
      </c>
    </row>
    <row r="108" spans="1:17" ht="46.8">
      <c r="A108" s="8" t="s">
        <v>169</v>
      </c>
      <c r="B108" s="8" t="s">
        <v>76</v>
      </c>
      <c r="C108" s="8" t="s">
        <v>24</v>
      </c>
      <c r="D108" s="12" t="s">
        <v>77</v>
      </c>
      <c r="E108" s="13">
        <f t="shared" si="34"/>
        <v>3342500</v>
      </c>
      <c r="F108" s="13">
        <v>3342500</v>
      </c>
      <c r="G108" s="13">
        <f>2642900+581400</f>
        <v>3224300</v>
      </c>
      <c r="H108" s="13">
        <v>0</v>
      </c>
      <c r="I108" s="13">
        <v>0</v>
      </c>
      <c r="J108" s="13">
        <f t="shared" si="32"/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f t="shared" si="24"/>
        <v>3342500</v>
      </c>
    </row>
    <row r="109" spans="1:17" ht="31.2">
      <c r="A109" s="8" t="s">
        <v>170</v>
      </c>
      <c r="B109" s="8" t="s">
        <v>171</v>
      </c>
      <c r="C109" s="8" t="s">
        <v>116</v>
      </c>
      <c r="D109" s="12" t="s">
        <v>172</v>
      </c>
      <c r="E109" s="13">
        <f t="shared" si="34"/>
        <v>278000</v>
      </c>
      <c r="F109" s="13">
        <v>278000</v>
      </c>
      <c r="G109" s="13">
        <v>0</v>
      </c>
      <c r="H109" s="13">
        <v>0</v>
      </c>
      <c r="I109" s="13">
        <v>0</v>
      </c>
      <c r="J109" s="13">
        <f t="shared" si="32"/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f t="shared" si="24"/>
        <v>278000</v>
      </c>
    </row>
    <row r="110" spans="1:17" ht="31.2">
      <c r="A110" s="16" t="s">
        <v>294</v>
      </c>
      <c r="B110" s="16" t="s">
        <v>285</v>
      </c>
      <c r="C110" s="16" t="s">
        <v>287</v>
      </c>
      <c r="D110" s="12" t="s">
        <v>286</v>
      </c>
      <c r="E110" s="13">
        <f t="shared" si="34"/>
        <v>100300</v>
      </c>
      <c r="F110" s="13">
        <v>100300</v>
      </c>
      <c r="G110" s="13"/>
      <c r="H110" s="13"/>
      <c r="I110" s="13"/>
      <c r="J110" s="13">
        <f t="shared" ref="J110" si="42">L110+O110</f>
        <v>0</v>
      </c>
      <c r="K110" s="13"/>
      <c r="L110" s="13"/>
      <c r="M110" s="13"/>
      <c r="N110" s="13"/>
      <c r="O110" s="13"/>
      <c r="P110" s="13">
        <f t="shared" si="24"/>
        <v>100300</v>
      </c>
    </row>
    <row r="111" spans="1:17" ht="46.8">
      <c r="A111" s="9" t="s">
        <v>173</v>
      </c>
      <c r="B111" s="9" t="s">
        <v>19</v>
      </c>
      <c r="C111" s="9" t="s">
        <v>19</v>
      </c>
      <c r="D111" s="10" t="s">
        <v>174</v>
      </c>
      <c r="E111" s="11">
        <f t="shared" si="34"/>
        <v>57671500</v>
      </c>
      <c r="F111" s="11">
        <f>F112</f>
        <v>57671500</v>
      </c>
      <c r="G111" s="11">
        <f t="shared" ref="G111:I111" si="43">G112</f>
        <v>48890200</v>
      </c>
      <c r="H111" s="11">
        <f t="shared" si="43"/>
        <v>3759100</v>
      </c>
      <c r="I111" s="11">
        <f t="shared" si="43"/>
        <v>0</v>
      </c>
      <c r="J111" s="11">
        <f t="shared" si="32"/>
        <v>1566000</v>
      </c>
      <c r="K111" s="11">
        <f>K112</f>
        <v>200000</v>
      </c>
      <c r="L111" s="11">
        <f t="shared" ref="L111:O111" si="44">L112</f>
        <v>1136000</v>
      </c>
      <c r="M111" s="11">
        <f t="shared" si="44"/>
        <v>507100</v>
      </c>
      <c r="N111" s="11">
        <f t="shared" si="44"/>
        <v>0</v>
      </c>
      <c r="O111" s="11">
        <f t="shared" si="44"/>
        <v>430000</v>
      </c>
      <c r="P111" s="11">
        <f t="shared" si="24"/>
        <v>59237500</v>
      </c>
      <c r="Q111" s="5"/>
    </row>
    <row r="112" spans="1:17" ht="46.8">
      <c r="A112" s="9" t="s">
        <v>175</v>
      </c>
      <c r="B112" s="9" t="s">
        <v>19</v>
      </c>
      <c r="C112" s="9" t="s">
        <v>19</v>
      </c>
      <c r="D112" s="10" t="s">
        <v>174</v>
      </c>
      <c r="E112" s="11">
        <f t="shared" si="34"/>
        <v>57671500</v>
      </c>
      <c r="F112" s="11">
        <f>SUM(F113:F121)</f>
        <v>57671500</v>
      </c>
      <c r="G112" s="11">
        <f t="shared" ref="G112:K112" si="45">SUM(G113:G121)</f>
        <v>48890200</v>
      </c>
      <c r="H112" s="11">
        <f t="shared" si="45"/>
        <v>3759100</v>
      </c>
      <c r="I112" s="11">
        <f t="shared" si="45"/>
        <v>0</v>
      </c>
      <c r="J112" s="11">
        <f t="shared" si="32"/>
        <v>1566000</v>
      </c>
      <c r="K112" s="11">
        <f t="shared" si="45"/>
        <v>200000</v>
      </c>
      <c r="L112" s="11">
        <f t="shared" ref="L112" si="46">SUM(L113:L121)</f>
        <v>1136000</v>
      </c>
      <c r="M112" s="11">
        <f t="shared" ref="M112" si="47">SUM(M113:M121)</f>
        <v>507100</v>
      </c>
      <c r="N112" s="11">
        <f t="shared" ref="N112" si="48">SUM(N113:N121)</f>
        <v>0</v>
      </c>
      <c r="O112" s="11">
        <f t="shared" ref="O112" si="49">SUM(O113:O121)</f>
        <v>430000</v>
      </c>
      <c r="P112" s="11">
        <f t="shared" si="24"/>
        <v>59237500</v>
      </c>
    </row>
    <row r="113" spans="1:17" ht="46.8">
      <c r="A113" s="8" t="s">
        <v>176</v>
      </c>
      <c r="B113" s="8" t="s">
        <v>76</v>
      </c>
      <c r="C113" s="8" t="s">
        <v>24</v>
      </c>
      <c r="D113" s="12" t="s">
        <v>77</v>
      </c>
      <c r="E113" s="13">
        <f t="shared" si="34"/>
        <v>1352500</v>
      </c>
      <c r="F113" s="13">
        <v>1352500</v>
      </c>
      <c r="G113" s="13">
        <f>1085700+238900</f>
        <v>1324600</v>
      </c>
      <c r="H113" s="13">
        <v>0</v>
      </c>
      <c r="I113" s="13">
        <v>0</v>
      </c>
      <c r="J113" s="13">
        <f t="shared" si="32"/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f t="shared" si="24"/>
        <v>1352500</v>
      </c>
    </row>
    <row r="114" spans="1:17" ht="31.2">
      <c r="A114" s="8" t="s">
        <v>177</v>
      </c>
      <c r="B114" s="8" t="s">
        <v>178</v>
      </c>
      <c r="C114" s="8" t="s">
        <v>98</v>
      </c>
      <c r="D114" s="12" t="s">
        <v>179</v>
      </c>
      <c r="E114" s="13">
        <f t="shared" ref="E114:E121" si="50">F114+I114</f>
        <v>25845900</v>
      </c>
      <c r="F114" s="13">
        <f>25258300+587600</f>
        <v>25845900</v>
      </c>
      <c r="G114" s="13">
        <f>19980300+4395600</f>
        <v>24375900</v>
      </c>
      <c r="H114" s="13">
        <f>24500+399000+292900+34000</f>
        <v>750400</v>
      </c>
      <c r="I114" s="13">
        <v>0</v>
      </c>
      <c r="J114" s="13">
        <f t="shared" si="32"/>
        <v>1086000</v>
      </c>
      <c r="K114" s="13">
        <v>0</v>
      </c>
      <c r="L114" s="13">
        <v>886000</v>
      </c>
      <c r="M114" s="13">
        <f>405800+89300</f>
        <v>495100</v>
      </c>
      <c r="N114" s="13">
        <v>0</v>
      </c>
      <c r="O114" s="13">
        <v>200000</v>
      </c>
      <c r="P114" s="13">
        <f t="shared" si="24"/>
        <v>26931900</v>
      </c>
    </row>
    <row r="115" spans="1:17" ht="93.6">
      <c r="A115" s="8" t="s">
        <v>180</v>
      </c>
      <c r="B115" s="8" t="s">
        <v>115</v>
      </c>
      <c r="C115" s="8" t="s">
        <v>116</v>
      </c>
      <c r="D115" s="12" t="s">
        <v>117</v>
      </c>
      <c r="E115" s="13">
        <f t="shared" si="50"/>
        <v>150000</v>
      </c>
      <c r="F115" s="13">
        <v>150000</v>
      </c>
      <c r="G115" s="13">
        <v>0</v>
      </c>
      <c r="H115" s="13">
        <v>0</v>
      </c>
      <c r="I115" s="13">
        <v>0</v>
      </c>
      <c r="J115" s="13">
        <f t="shared" si="32"/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f t="shared" si="24"/>
        <v>150000</v>
      </c>
    </row>
    <row r="116" spans="1:17">
      <c r="A116" s="8" t="s">
        <v>181</v>
      </c>
      <c r="B116" s="8" t="s">
        <v>182</v>
      </c>
      <c r="C116" s="8" t="s">
        <v>183</v>
      </c>
      <c r="D116" s="12" t="s">
        <v>184</v>
      </c>
      <c r="E116" s="13">
        <f t="shared" si="50"/>
        <v>9465700</v>
      </c>
      <c r="F116" s="13">
        <f>9205700+260000</f>
        <v>9465700</v>
      </c>
      <c r="G116" s="13">
        <f>6059000+1332900</f>
        <v>7391900</v>
      </c>
      <c r="H116" s="13">
        <f>741700+20200+410400+36800+4700</f>
        <v>1213800</v>
      </c>
      <c r="I116" s="13">
        <v>0</v>
      </c>
      <c r="J116" s="13">
        <f t="shared" si="32"/>
        <v>80000</v>
      </c>
      <c r="K116" s="13">
        <v>0</v>
      </c>
      <c r="L116" s="13">
        <f>80000</f>
        <v>80000</v>
      </c>
      <c r="M116" s="13">
        <v>0</v>
      </c>
      <c r="N116" s="13">
        <v>0</v>
      </c>
      <c r="O116" s="13">
        <v>0</v>
      </c>
      <c r="P116" s="13">
        <f t="shared" si="24"/>
        <v>9545700</v>
      </c>
    </row>
    <row r="117" spans="1:17" ht="31.2">
      <c r="A117" s="8" t="s">
        <v>185</v>
      </c>
      <c r="B117" s="8" t="s">
        <v>186</v>
      </c>
      <c r="C117" s="8" t="s">
        <v>183</v>
      </c>
      <c r="D117" s="12" t="s">
        <v>187</v>
      </c>
      <c r="E117" s="13">
        <f t="shared" si="50"/>
        <v>3732400</v>
      </c>
      <c r="F117" s="13">
        <f>3595900+136500</f>
        <v>3732400</v>
      </c>
      <c r="G117" s="13">
        <f>2170200+477400</f>
        <v>2647600</v>
      </c>
      <c r="H117" s="13">
        <f>370700+10100+125400+3100</f>
        <v>509300</v>
      </c>
      <c r="I117" s="13">
        <v>0</v>
      </c>
      <c r="J117" s="13">
        <f t="shared" si="32"/>
        <v>40000</v>
      </c>
      <c r="K117" s="13">
        <v>0</v>
      </c>
      <c r="L117" s="13">
        <v>40000</v>
      </c>
      <c r="M117" s="13">
        <v>0</v>
      </c>
      <c r="N117" s="13">
        <v>0</v>
      </c>
      <c r="O117" s="13">
        <v>0</v>
      </c>
      <c r="P117" s="13">
        <f t="shared" si="24"/>
        <v>3772400</v>
      </c>
    </row>
    <row r="118" spans="1:17" ht="46.8">
      <c r="A118" s="8" t="s">
        <v>188</v>
      </c>
      <c r="B118" s="8" t="s">
        <v>189</v>
      </c>
      <c r="C118" s="8" t="s">
        <v>190</v>
      </c>
      <c r="D118" s="12" t="s">
        <v>191</v>
      </c>
      <c r="E118" s="13">
        <f t="shared" si="50"/>
        <v>13682200</v>
      </c>
      <c r="F118" s="13">
        <f>13136300+515900+30000</f>
        <v>13682200</v>
      </c>
      <c r="G118" s="13">
        <f>8756500+1926400</f>
        <v>10682900</v>
      </c>
      <c r="H118" s="13">
        <f>44400+535800+392900+241000</f>
        <v>1214100</v>
      </c>
      <c r="I118" s="13">
        <v>0</v>
      </c>
      <c r="J118" s="13">
        <f t="shared" si="32"/>
        <v>360000</v>
      </c>
      <c r="K118" s="13">
        <v>200000</v>
      </c>
      <c r="L118" s="13">
        <v>130000</v>
      </c>
      <c r="M118" s="13">
        <f>10000+2000</f>
        <v>12000</v>
      </c>
      <c r="N118" s="13">
        <v>0</v>
      </c>
      <c r="O118" s="13">
        <f>30000+200000</f>
        <v>230000</v>
      </c>
      <c r="P118" s="13">
        <f t="shared" si="24"/>
        <v>14042200</v>
      </c>
    </row>
    <row r="119" spans="1:17" ht="31.2">
      <c r="A119" s="8" t="s">
        <v>192</v>
      </c>
      <c r="B119" s="8" t="s">
        <v>193</v>
      </c>
      <c r="C119" s="8" t="s">
        <v>194</v>
      </c>
      <c r="D119" s="12" t="s">
        <v>195</v>
      </c>
      <c r="E119" s="13">
        <f t="shared" si="50"/>
        <v>2595800</v>
      </c>
      <c r="F119" s="13">
        <v>2595800</v>
      </c>
      <c r="G119" s="13">
        <f>2022400+444900</f>
        <v>2467300</v>
      </c>
      <c r="H119" s="13">
        <f>24400+1500+45600</f>
        <v>71500</v>
      </c>
      <c r="I119" s="13">
        <v>0</v>
      </c>
      <c r="J119" s="13">
        <f t="shared" si="32"/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f t="shared" ref="P119:P168" si="51">E119 + J119</f>
        <v>2595800</v>
      </c>
    </row>
    <row r="120" spans="1:17" ht="31.2">
      <c r="A120" s="8" t="s">
        <v>196</v>
      </c>
      <c r="B120" s="8" t="s">
        <v>197</v>
      </c>
      <c r="C120" s="8" t="s">
        <v>194</v>
      </c>
      <c r="D120" s="12" t="s">
        <v>198</v>
      </c>
      <c r="E120" s="13">
        <f t="shared" si="50"/>
        <v>680000</v>
      </c>
      <c r="F120" s="13">
        <f>600000+80000</f>
        <v>680000</v>
      </c>
      <c r="G120" s="13">
        <v>0</v>
      </c>
      <c r="H120" s="13">
        <v>0</v>
      </c>
      <c r="I120" s="13">
        <v>0</v>
      </c>
      <c r="J120" s="13">
        <f t="shared" si="32"/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f t="shared" si="51"/>
        <v>680000</v>
      </c>
    </row>
    <row r="121" spans="1:17" ht="31.2">
      <c r="A121" s="16" t="s">
        <v>295</v>
      </c>
      <c r="B121" s="16" t="s">
        <v>285</v>
      </c>
      <c r="C121" s="16" t="s">
        <v>287</v>
      </c>
      <c r="D121" s="12" t="s">
        <v>286</v>
      </c>
      <c r="E121" s="13">
        <f t="shared" si="50"/>
        <v>167000</v>
      </c>
      <c r="F121" s="13">
        <v>167000</v>
      </c>
      <c r="G121" s="13"/>
      <c r="H121" s="13"/>
      <c r="I121" s="13"/>
      <c r="J121" s="13">
        <f t="shared" si="32"/>
        <v>0</v>
      </c>
      <c r="K121" s="13"/>
      <c r="L121" s="13"/>
      <c r="M121" s="13"/>
      <c r="N121" s="13"/>
      <c r="O121" s="13"/>
      <c r="P121" s="13">
        <f t="shared" si="51"/>
        <v>167000</v>
      </c>
    </row>
    <row r="122" spans="1:17" ht="46.8">
      <c r="A122" s="9" t="s">
        <v>199</v>
      </c>
      <c r="B122" s="9" t="s">
        <v>19</v>
      </c>
      <c r="C122" s="9" t="s">
        <v>19</v>
      </c>
      <c r="D122" s="10" t="s">
        <v>200</v>
      </c>
      <c r="E122" s="11">
        <f t="shared" ref="E122:E132" si="52">F122+I122</f>
        <v>10437900</v>
      </c>
      <c r="F122" s="11">
        <f>F123</f>
        <v>10437900</v>
      </c>
      <c r="G122" s="11">
        <f t="shared" ref="G122:I122" si="53">G123</f>
        <v>3241400</v>
      </c>
      <c r="H122" s="11">
        <f t="shared" si="53"/>
        <v>70800</v>
      </c>
      <c r="I122" s="11">
        <f t="shared" si="53"/>
        <v>0</v>
      </c>
      <c r="J122" s="11">
        <f t="shared" si="32"/>
        <v>35000</v>
      </c>
      <c r="K122" s="11">
        <f>K123</f>
        <v>35000</v>
      </c>
      <c r="L122" s="11">
        <f t="shared" ref="L122:O122" si="54">L123</f>
        <v>0</v>
      </c>
      <c r="M122" s="11">
        <f t="shared" si="54"/>
        <v>0</v>
      </c>
      <c r="N122" s="11">
        <f t="shared" si="54"/>
        <v>0</v>
      </c>
      <c r="O122" s="11">
        <f t="shared" si="54"/>
        <v>35000</v>
      </c>
      <c r="P122" s="11">
        <f t="shared" si="51"/>
        <v>10472900</v>
      </c>
      <c r="Q122" s="5"/>
    </row>
    <row r="123" spans="1:17" ht="46.8">
      <c r="A123" s="9" t="s">
        <v>201</v>
      </c>
      <c r="B123" s="9" t="s">
        <v>19</v>
      </c>
      <c r="C123" s="9" t="s">
        <v>19</v>
      </c>
      <c r="D123" s="10" t="s">
        <v>200</v>
      </c>
      <c r="E123" s="11">
        <f t="shared" si="52"/>
        <v>10437900</v>
      </c>
      <c r="F123" s="11">
        <f>SUM(F124:F129)</f>
        <v>10437900</v>
      </c>
      <c r="G123" s="11">
        <f t="shared" ref="G123:K123" si="55">SUM(G124:G129)</f>
        <v>3241400</v>
      </c>
      <c r="H123" s="11">
        <f t="shared" si="55"/>
        <v>70800</v>
      </c>
      <c r="I123" s="11">
        <f t="shared" si="55"/>
        <v>0</v>
      </c>
      <c r="J123" s="11">
        <f t="shared" si="32"/>
        <v>35000</v>
      </c>
      <c r="K123" s="11">
        <f t="shared" si="55"/>
        <v>35000</v>
      </c>
      <c r="L123" s="11">
        <f t="shared" ref="L123" si="56">SUM(L124:L129)</f>
        <v>0</v>
      </c>
      <c r="M123" s="11">
        <f t="shared" ref="M123" si="57">SUM(M124:M129)</f>
        <v>0</v>
      </c>
      <c r="N123" s="11">
        <f t="shared" ref="N123" si="58">SUM(N124:N129)</f>
        <v>0</v>
      </c>
      <c r="O123" s="11">
        <f t="shared" ref="O123" si="59">SUM(O124:O129)</f>
        <v>35000</v>
      </c>
      <c r="P123" s="11">
        <f t="shared" si="51"/>
        <v>10472900</v>
      </c>
    </row>
    <row r="124" spans="1:17" ht="46.8">
      <c r="A124" s="8" t="s">
        <v>202</v>
      </c>
      <c r="B124" s="8" t="s">
        <v>76</v>
      </c>
      <c r="C124" s="8" t="s">
        <v>24</v>
      </c>
      <c r="D124" s="12" t="s">
        <v>77</v>
      </c>
      <c r="E124" s="13">
        <f t="shared" si="52"/>
        <v>2778600</v>
      </c>
      <c r="F124" s="13">
        <v>2778600</v>
      </c>
      <c r="G124" s="13">
        <f>2183700+480400</f>
        <v>2664100</v>
      </c>
      <c r="H124" s="13">
        <v>0</v>
      </c>
      <c r="I124" s="13">
        <v>0</v>
      </c>
      <c r="J124" s="13">
        <f t="shared" si="32"/>
        <v>35000</v>
      </c>
      <c r="K124" s="13">
        <v>35000</v>
      </c>
      <c r="L124" s="13">
        <v>0</v>
      </c>
      <c r="M124" s="13">
        <v>0</v>
      </c>
      <c r="N124" s="13">
        <v>0</v>
      </c>
      <c r="O124" s="13">
        <v>35000</v>
      </c>
      <c r="P124" s="13">
        <f t="shared" si="51"/>
        <v>2813600</v>
      </c>
    </row>
    <row r="125" spans="1:17" ht="62.4">
      <c r="A125" s="8" t="s">
        <v>203</v>
      </c>
      <c r="B125" s="8" t="s">
        <v>204</v>
      </c>
      <c r="C125" s="8" t="s">
        <v>116</v>
      </c>
      <c r="D125" s="12" t="s">
        <v>341</v>
      </c>
      <c r="E125" s="13">
        <f t="shared" si="52"/>
        <v>1921300</v>
      </c>
      <c r="F125" s="13">
        <f>1956300-35000</f>
        <v>1921300</v>
      </c>
      <c r="G125" s="13">
        <f>473200+104100</f>
        <v>577300</v>
      </c>
      <c r="H125" s="13">
        <f>54600+1600+14600</f>
        <v>70800</v>
      </c>
      <c r="I125" s="13">
        <v>0</v>
      </c>
      <c r="J125" s="13">
        <f t="shared" si="32"/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f t="shared" si="51"/>
        <v>1921300</v>
      </c>
    </row>
    <row r="126" spans="1:17" ht="46.8">
      <c r="A126" s="8" t="s">
        <v>205</v>
      </c>
      <c r="B126" s="8" t="s">
        <v>206</v>
      </c>
      <c r="C126" s="8" t="s">
        <v>121</v>
      </c>
      <c r="D126" s="12" t="s">
        <v>207</v>
      </c>
      <c r="E126" s="13">
        <f t="shared" si="52"/>
        <v>1449000</v>
      </c>
      <c r="F126" s="13">
        <f>1400000+49000</f>
        <v>1449000</v>
      </c>
      <c r="G126" s="13">
        <v>0</v>
      </c>
      <c r="H126" s="13">
        <v>0</v>
      </c>
      <c r="I126" s="13">
        <v>0</v>
      </c>
      <c r="J126" s="13">
        <f t="shared" si="32"/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f t="shared" si="51"/>
        <v>1449000</v>
      </c>
    </row>
    <row r="127" spans="1:17" ht="46.8">
      <c r="A127" s="8" t="s">
        <v>208</v>
      </c>
      <c r="B127" s="8" t="s">
        <v>209</v>
      </c>
      <c r="C127" s="8" t="s">
        <v>121</v>
      </c>
      <c r="D127" s="12" t="s">
        <v>210</v>
      </c>
      <c r="E127" s="13">
        <f t="shared" si="52"/>
        <v>1039000</v>
      </c>
      <c r="F127" s="13">
        <f>990000+49000</f>
        <v>1039000</v>
      </c>
      <c r="G127" s="13">
        <v>0</v>
      </c>
      <c r="H127" s="13">
        <v>0</v>
      </c>
      <c r="I127" s="13">
        <v>0</v>
      </c>
      <c r="J127" s="13">
        <f t="shared" si="32"/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f t="shared" si="51"/>
        <v>1039000</v>
      </c>
    </row>
    <row r="128" spans="1:17" ht="78">
      <c r="A128" s="8" t="s">
        <v>211</v>
      </c>
      <c r="B128" s="8" t="s">
        <v>212</v>
      </c>
      <c r="C128" s="8" t="s">
        <v>121</v>
      </c>
      <c r="D128" s="12" t="s">
        <v>213</v>
      </c>
      <c r="E128" s="13">
        <f t="shared" si="52"/>
        <v>3185000</v>
      </c>
      <c r="F128" s="13">
        <v>3185000</v>
      </c>
      <c r="G128" s="13">
        <v>0</v>
      </c>
      <c r="H128" s="13">
        <v>0</v>
      </c>
      <c r="I128" s="13">
        <v>0</v>
      </c>
      <c r="J128" s="13">
        <f t="shared" si="32"/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f t="shared" si="51"/>
        <v>3185000</v>
      </c>
    </row>
    <row r="129" spans="1:17" ht="31.2">
      <c r="A129" s="16" t="s">
        <v>296</v>
      </c>
      <c r="B129" s="16" t="s">
        <v>285</v>
      </c>
      <c r="C129" s="16" t="s">
        <v>287</v>
      </c>
      <c r="D129" s="12" t="s">
        <v>286</v>
      </c>
      <c r="E129" s="13">
        <f t="shared" si="52"/>
        <v>65000</v>
      </c>
      <c r="F129" s="13">
        <v>65000</v>
      </c>
      <c r="G129" s="13"/>
      <c r="H129" s="13"/>
      <c r="I129" s="13"/>
      <c r="J129" s="13">
        <f t="shared" ref="J129" si="60">L129+O129</f>
        <v>0</v>
      </c>
      <c r="K129" s="13"/>
      <c r="L129" s="13"/>
      <c r="M129" s="13"/>
      <c r="N129" s="13"/>
      <c r="O129" s="13"/>
      <c r="P129" s="13">
        <f t="shared" ref="P129" si="61">E129 + J129</f>
        <v>65000</v>
      </c>
    </row>
    <row r="130" spans="1:17" ht="62.4">
      <c r="A130" s="9" t="s">
        <v>214</v>
      </c>
      <c r="B130" s="9" t="s">
        <v>19</v>
      </c>
      <c r="C130" s="9" t="s">
        <v>19</v>
      </c>
      <c r="D130" s="10" t="s">
        <v>215</v>
      </c>
      <c r="E130" s="11">
        <f t="shared" si="52"/>
        <v>173379969</v>
      </c>
      <c r="F130" s="11">
        <f>F131</f>
        <v>61846700</v>
      </c>
      <c r="G130" s="11">
        <f t="shared" ref="G130:I130" si="62">G131</f>
        <v>5315400</v>
      </c>
      <c r="H130" s="11">
        <f t="shared" si="62"/>
        <v>15700</v>
      </c>
      <c r="I130" s="11">
        <f t="shared" si="62"/>
        <v>111533269</v>
      </c>
      <c r="J130" s="11">
        <f t="shared" si="32"/>
        <v>22552599.18</v>
      </c>
      <c r="K130" s="11">
        <f>K131</f>
        <v>22168225</v>
      </c>
      <c r="L130" s="11">
        <f t="shared" ref="L130:O130" si="63">L131</f>
        <v>0</v>
      </c>
      <c r="M130" s="11">
        <f t="shared" si="63"/>
        <v>0</v>
      </c>
      <c r="N130" s="11">
        <f t="shared" si="63"/>
        <v>0</v>
      </c>
      <c r="O130" s="11">
        <f t="shared" si="63"/>
        <v>22552599.18</v>
      </c>
      <c r="P130" s="11">
        <f t="shared" si="51"/>
        <v>195932568.18000001</v>
      </c>
      <c r="Q130" s="5"/>
    </row>
    <row r="131" spans="1:17" ht="62.4">
      <c r="A131" s="9" t="s">
        <v>216</v>
      </c>
      <c r="B131" s="9" t="s">
        <v>19</v>
      </c>
      <c r="C131" s="9" t="s">
        <v>19</v>
      </c>
      <c r="D131" s="10" t="s">
        <v>215</v>
      </c>
      <c r="E131" s="11">
        <f t="shared" si="52"/>
        <v>173379969</v>
      </c>
      <c r="F131" s="11">
        <f>SUM(F132:F148)</f>
        <v>61846700</v>
      </c>
      <c r="G131" s="11">
        <f t="shared" ref="G131:I131" si="64">SUM(G132:G148)</f>
        <v>5315400</v>
      </c>
      <c r="H131" s="11">
        <f t="shared" si="64"/>
        <v>15700</v>
      </c>
      <c r="I131" s="11">
        <f t="shared" si="64"/>
        <v>111533269</v>
      </c>
      <c r="J131" s="11">
        <f t="shared" si="32"/>
        <v>22552599.18</v>
      </c>
      <c r="K131" s="11">
        <f t="shared" ref="K131" si="65">SUM(K132:K148)</f>
        <v>22168225</v>
      </c>
      <c r="L131" s="11">
        <f t="shared" ref="L131" si="66">SUM(L132:L148)</f>
        <v>0</v>
      </c>
      <c r="M131" s="11">
        <f t="shared" ref="M131" si="67">SUM(M132:M148)</f>
        <v>0</v>
      </c>
      <c r="N131" s="11">
        <f t="shared" ref="N131" si="68">SUM(N132:N148)</f>
        <v>0</v>
      </c>
      <c r="O131" s="11">
        <f t="shared" ref="O131" si="69">SUM(O132:O148)</f>
        <v>22552599.18</v>
      </c>
      <c r="P131" s="11">
        <f>E131 + J131</f>
        <v>195932568.18000001</v>
      </c>
    </row>
    <row r="132" spans="1:17" ht="46.8">
      <c r="A132" s="8" t="s">
        <v>217</v>
      </c>
      <c r="B132" s="8" t="s">
        <v>76</v>
      </c>
      <c r="C132" s="8" t="s">
        <v>24</v>
      </c>
      <c r="D132" s="12" t="s">
        <v>77</v>
      </c>
      <c r="E132" s="13">
        <f t="shared" si="52"/>
        <v>5665100</v>
      </c>
      <c r="F132" s="13">
        <v>5665100</v>
      </c>
      <c r="G132" s="13">
        <f>4356900+958500</f>
        <v>5315400</v>
      </c>
      <c r="H132" s="13">
        <f>7200+900+7600</f>
        <v>15700</v>
      </c>
      <c r="I132" s="13">
        <v>0</v>
      </c>
      <c r="J132" s="13">
        <f t="shared" si="32"/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f t="shared" si="51"/>
        <v>5665100</v>
      </c>
    </row>
    <row r="133" spans="1:17" ht="46.8">
      <c r="A133" s="8" t="s">
        <v>218</v>
      </c>
      <c r="B133" s="8" t="s">
        <v>27</v>
      </c>
      <c r="C133" s="8" t="s">
        <v>28</v>
      </c>
      <c r="D133" s="12" t="s">
        <v>29</v>
      </c>
      <c r="E133" s="13">
        <f t="shared" ref="E133:E148" si="70">F133+I133</f>
        <v>10000</v>
      </c>
      <c r="F133" s="13">
        <v>10000</v>
      </c>
      <c r="G133" s="13">
        <v>0</v>
      </c>
      <c r="H133" s="13">
        <v>0</v>
      </c>
      <c r="I133" s="13">
        <v>0</v>
      </c>
      <c r="J133" s="13">
        <f t="shared" si="32"/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f t="shared" si="51"/>
        <v>10000</v>
      </c>
    </row>
    <row r="134" spans="1:17" ht="31.2">
      <c r="A134" s="8" t="s">
        <v>219</v>
      </c>
      <c r="B134" s="8" t="s">
        <v>220</v>
      </c>
      <c r="C134" s="8" t="s">
        <v>221</v>
      </c>
      <c r="D134" s="12" t="s">
        <v>222</v>
      </c>
      <c r="E134" s="13">
        <f t="shared" si="70"/>
        <v>50000</v>
      </c>
      <c r="F134" s="13">
        <v>50000</v>
      </c>
      <c r="G134" s="13">
        <v>0</v>
      </c>
      <c r="H134" s="13">
        <v>0</v>
      </c>
      <c r="I134" s="13">
        <v>0</v>
      </c>
      <c r="J134" s="13">
        <f t="shared" si="32"/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f t="shared" si="51"/>
        <v>50000</v>
      </c>
    </row>
    <row r="135" spans="1:17" ht="31.2">
      <c r="A135" s="33">
        <v>1216011</v>
      </c>
      <c r="B135" s="33">
        <v>6011</v>
      </c>
      <c r="C135" s="16" t="s">
        <v>368</v>
      </c>
      <c r="D135" s="12" t="s">
        <v>367</v>
      </c>
      <c r="E135" s="13">
        <f t="shared" si="70"/>
        <v>319069</v>
      </c>
      <c r="F135" s="13"/>
      <c r="G135" s="13"/>
      <c r="H135" s="13"/>
      <c r="I135" s="13">
        <v>319069</v>
      </c>
      <c r="J135" s="13">
        <f t="shared" si="32"/>
        <v>3797517</v>
      </c>
      <c r="K135" s="13">
        <f>1660017+43200+600000+94300+1400000</f>
        <v>3797517</v>
      </c>
      <c r="L135" s="13"/>
      <c r="M135" s="13"/>
      <c r="N135" s="13"/>
      <c r="O135" s="13">
        <f>1660017+43200+600000+94300+1400000</f>
        <v>3797517</v>
      </c>
      <c r="P135" s="13">
        <f t="shared" si="51"/>
        <v>4116586</v>
      </c>
    </row>
    <row r="136" spans="1:17" ht="31.2">
      <c r="A136" s="8" t="s">
        <v>223</v>
      </c>
      <c r="B136" s="8" t="s">
        <v>224</v>
      </c>
      <c r="C136" s="8" t="s">
        <v>56</v>
      </c>
      <c r="D136" s="12" t="s">
        <v>225</v>
      </c>
      <c r="E136" s="13">
        <f t="shared" si="70"/>
        <v>300000</v>
      </c>
      <c r="F136" s="13">
        <v>0</v>
      </c>
      <c r="G136" s="13">
        <v>0</v>
      </c>
      <c r="H136" s="13">
        <v>0</v>
      </c>
      <c r="I136" s="13">
        <v>300000</v>
      </c>
      <c r="J136" s="13">
        <f t="shared" si="32"/>
        <v>7215287</v>
      </c>
      <c r="K136" s="13">
        <v>7215287</v>
      </c>
      <c r="L136" s="13">
        <v>0</v>
      </c>
      <c r="M136" s="13">
        <v>0</v>
      </c>
      <c r="N136" s="13">
        <v>0</v>
      </c>
      <c r="O136" s="13">
        <v>7215287</v>
      </c>
      <c r="P136" s="13">
        <f t="shared" si="51"/>
        <v>7515287</v>
      </c>
    </row>
    <row r="137" spans="1:17" ht="46.8">
      <c r="A137" s="8" t="s">
        <v>226</v>
      </c>
      <c r="B137" s="8" t="s">
        <v>227</v>
      </c>
      <c r="C137" s="8" t="s">
        <v>56</v>
      </c>
      <c r="D137" s="12" t="s">
        <v>228</v>
      </c>
      <c r="E137" s="13">
        <f t="shared" si="70"/>
        <v>1720000</v>
      </c>
      <c r="F137" s="13">
        <v>0</v>
      </c>
      <c r="G137" s="13">
        <v>0</v>
      </c>
      <c r="H137" s="13">
        <v>0</v>
      </c>
      <c r="I137" s="13">
        <v>1720000</v>
      </c>
      <c r="J137" s="13">
        <f t="shared" si="32"/>
        <v>1095000</v>
      </c>
      <c r="K137" s="13">
        <v>1095000</v>
      </c>
      <c r="L137" s="13">
        <v>0</v>
      </c>
      <c r="M137" s="13">
        <v>0</v>
      </c>
      <c r="N137" s="13">
        <v>0</v>
      </c>
      <c r="O137" s="13">
        <v>1095000</v>
      </c>
      <c r="P137" s="13">
        <f t="shared" si="51"/>
        <v>2815000</v>
      </c>
    </row>
    <row r="138" spans="1:17" ht="31.2">
      <c r="A138" s="8" t="s">
        <v>229</v>
      </c>
      <c r="B138" s="8" t="s">
        <v>55</v>
      </c>
      <c r="C138" s="8" t="s">
        <v>56</v>
      </c>
      <c r="D138" s="12" t="s">
        <v>57</v>
      </c>
      <c r="E138" s="13">
        <f t="shared" si="70"/>
        <v>84261000</v>
      </c>
      <c r="F138" s="13">
        <f>12500000+11000000+15000-500000</f>
        <v>23015000</v>
      </c>
      <c r="G138" s="13">
        <v>0</v>
      </c>
      <c r="H138" s="13">
        <v>0</v>
      </c>
      <c r="I138" s="13">
        <f>60450000+195000+601000</f>
        <v>61246000</v>
      </c>
      <c r="J138" s="13">
        <f t="shared" si="32"/>
        <v>1091500</v>
      </c>
      <c r="K138" s="13">
        <f>839500+252000</f>
        <v>1091500</v>
      </c>
      <c r="L138" s="13">
        <v>0</v>
      </c>
      <c r="M138" s="13">
        <v>0</v>
      </c>
      <c r="N138" s="13">
        <v>0</v>
      </c>
      <c r="O138" s="13">
        <f>839500+252000</f>
        <v>1091500</v>
      </c>
      <c r="P138" s="13">
        <f t="shared" si="51"/>
        <v>85352500</v>
      </c>
    </row>
    <row r="139" spans="1:17" ht="31.2">
      <c r="A139" s="37">
        <v>1216091</v>
      </c>
      <c r="B139" s="37">
        <v>6091</v>
      </c>
      <c r="C139" s="16" t="s">
        <v>311</v>
      </c>
      <c r="D139" s="12" t="s">
        <v>383</v>
      </c>
      <c r="E139" s="13">
        <f t="shared" si="70"/>
        <v>0</v>
      </c>
      <c r="F139" s="13"/>
      <c r="G139" s="13"/>
      <c r="H139" s="13"/>
      <c r="I139" s="13"/>
      <c r="J139" s="13">
        <f t="shared" si="32"/>
        <v>6400000</v>
      </c>
      <c r="K139" s="13">
        <f>5800000+600000</f>
        <v>6400000</v>
      </c>
      <c r="L139" s="13"/>
      <c r="M139" s="13"/>
      <c r="N139" s="13"/>
      <c r="O139" s="13">
        <f>5800000+600000</f>
        <v>6400000</v>
      </c>
      <c r="P139" s="13">
        <f t="shared" si="51"/>
        <v>6400000</v>
      </c>
    </row>
    <row r="140" spans="1:17" ht="93.6">
      <c r="A140" s="33">
        <v>1216093</v>
      </c>
      <c r="B140" s="33">
        <v>6093</v>
      </c>
      <c r="C140" s="16" t="s">
        <v>311</v>
      </c>
      <c r="D140" s="12" t="s">
        <v>369</v>
      </c>
      <c r="E140" s="13">
        <f t="shared" si="70"/>
        <v>47400</v>
      </c>
      <c r="F140" s="13"/>
      <c r="G140" s="13"/>
      <c r="H140" s="13"/>
      <c r="I140" s="13">
        <v>47400</v>
      </c>
      <c r="J140" s="13">
        <f t="shared" si="32"/>
        <v>0</v>
      </c>
      <c r="K140" s="13"/>
      <c r="L140" s="13"/>
      <c r="M140" s="13"/>
      <c r="N140" s="13"/>
      <c r="O140" s="13"/>
      <c r="P140" s="13">
        <f t="shared" si="51"/>
        <v>47400</v>
      </c>
    </row>
    <row r="141" spans="1:17">
      <c r="A141" s="33">
        <v>1217130</v>
      </c>
      <c r="B141" s="33">
        <v>7130</v>
      </c>
      <c r="C141" s="16" t="s">
        <v>253</v>
      </c>
      <c r="D141" s="12" t="s">
        <v>254</v>
      </c>
      <c r="E141" s="13">
        <f t="shared" si="70"/>
        <v>180000</v>
      </c>
      <c r="F141" s="13"/>
      <c r="G141" s="13"/>
      <c r="H141" s="13"/>
      <c r="I141" s="13">
        <v>180000</v>
      </c>
      <c r="J141" s="13">
        <f t="shared" si="32"/>
        <v>0</v>
      </c>
      <c r="K141" s="13"/>
      <c r="L141" s="13"/>
      <c r="M141" s="13"/>
      <c r="N141" s="13"/>
      <c r="O141" s="13"/>
      <c r="P141" s="13">
        <f t="shared" si="51"/>
        <v>180000</v>
      </c>
    </row>
    <row r="142" spans="1:17" ht="46.8">
      <c r="A142" s="8" t="s">
        <v>230</v>
      </c>
      <c r="B142" s="8" t="s">
        <v>231</v>
      </c>
      <c r="C142" s="8" t="s">
        <v>232</v>
      </c>
      <c r="D142" s="12" t="s">
        <v>233</v>
      </c>
      <c r="E142" s="13">
        <f t="shared" si="70"/>
        <v>30000000</v>
      </c>
      <c r="F142" s="13">
        <v>30000000</v>
      </c>
      <c r="G142" s="13">
        <v>0</v>
      </c>
      <c r="H142" s="13">
        <v>0</v>
      </c>
      <c r="I142" s="13">
        <v>0</v>
      </c>
      <c r="J142" s="13">
        <f t="shared" si="32"/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f t="shared" si="51"/>
        <v>30000000</v>
      </c>
    </row>
    <row r="143" spans="1:17" ht="31.2">
      <c r="A143" s="16" t="s">
        <v>297</v>
      </c>
      <c r="B143" s="16" t="s">
        <v>285</v>
      </c>
      <c r="C143" s="16" t="s">
        <v>287</v>
      </c>
      <c r="D143" s="12" t="s">
        <v>286</v>
      </c>
      <c r="E143" s="13">
        <f t="shared" si="70"/>
        <v>488300</v>
      </c>
      <c r="F143" s="13">
        <v>488300</v>
      </c>
      <c r="G143" s="13"/>
      <c r="H143" s="13"/>
      <c r="I143" s="13"/>
      <c r="J143" s="13">
        <f t="shared" si="32"/>
        <v>36000</v>
      </c>
      <c r="K143" s="13">
        <v>36000</v>
      </c>
      <c r="L143" s="13"/>
      <c r="M143" s="13"/>
      <c r="N143" s="13"/>
      <c r="O143" s="13">
        <v>36000</v>
      </c>
      <c r="P143" s="13">
        <f t="shared" si="51"/>
        <v>524300</v>
      </c>
    </row>
    <row r="144" spans="1:17" ht="31.2">
      <c r="A144" s="16" t="s">
        <v>370</v>
      </c>
      <c r="B144" s="16" t="s">
        <v>371</v>
      </c>
      <c r="C144" s="16" t="s">
        <v>60</v>
      </c>
      <c r="D144" s="12" t="s">
        <v>372</v>
      </c>
      <c r="E144" s="13">
        <f t="shared" si="70"/>
        <v>0</v>
      </c>
      <c r="F144" s="13"/>
      <c r="G144" s="13"/>
      <c r="H144" s="13"/>
      <c r="I144" s="13"/>
      <c r="J144" s="13">
        <f t="shared" si="32"/>
        <v>2060000</v>
      </c>
      <c r="K144" s="13">
        <v>2060000</v>
      </c>
      <c r="L144" s="13"/>
      <c r="M144" s="13"/>
      <c r="N144" s="13"/>
      <c r="O144" s="13">
        <v>2060000</v>
      </c>
      <c r="P144" s="13">
        <f t="shared" si="51"/>
        <v>2060000</v>
      </c>
    </row>
    <row r="145" spans="1:17" ht="140.4">
      <c r="A145" s="16" t="s">
        <v>389</v>
      </c>
      <c r="B145" s="16" t="s">
        <v>373</v>
      </c>
      <c r="C145" s="16" t="s">
        <v>60</v>
      </c>
      <c r="D145" s="12" t="s">
        <v>374</v>
      </c>
      <c r="E145" s="13">
        <f t="shared" si="70"/>
        <v>0</v>
      </c>
      <c r="F145" s="13"/>
      <c r="G145" s="13"/>
      <c r="H145" s="13"/>
      <c r="I145" s="13"/>
      <c r="J145" s="13">
        <f t="shared" si="32"/>
        <v>384374.18</v>
      </c>
      <c r="K145" s="13"/>
      <c r="L145" s="13"/>
      <c r="M145" s="13"/>
      <c r="N145" s="13"/>
      <c r="O145" s="13">
        <v>384374.18</v>
      </c>
      <c r="P145" s="13">
        <f t="shared" si="51"/>
        <v>384374.18</v>
      </c>
    </row>
    <row r="146" spans="1:17" ht="31.2">
      <c r="A146" s="8" t="s">
        <v>234</v>
      </c>
      <c r="B146" s="8" t="s">
        <v>235</v>
      </c>
      <c r="C146" s="8" t="s">
        <v>60</v>
      </c>
      <c r="D146" s="12" t="s">
        <v>236</v>
      </c>
      <c r="E146" s="13">
        <f t="shared" si="70"/>
        <v>47720800</v>
      </c>
      <c r="F146" s="13">
        <v>0</v>
      </c>
      <c r="G146" s="13">
        <v>0</v>
      </c>
      <c r="H146" s="13">
        <v>0</v>
      </c>
      <c r="I146" s="13">
        <f>43320000+4300000+100800</f>
        <v>47720800</v>
      </c>
      <c r="J146" s="13">
        <f t="shared" si="32"/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f t="shared" si="51"/>
        <v>47720800</v>
      </c>
    </row>
    <row r="147" spans="1:17" ht="46.8">
      <c r="A147" s="8" t="s">
        <v>237</v>
      </c>
      <c r="B147" s="8" t="s">
        <v>238</v>
      </c>
      <c r="C147" s="8" t="s">
        <v>239</v>
      </c>
      <c r="D147" s="12" t="s">
        <v>240</v>
      </c>
      <c r="E147" s="13">
        <f t="shared" si="70"/>
        <v>2618300</v>
      </c>
      <c r="F147" s="13">
        <f>2527200+91100</f>
        <v>2618300</v>
      </c>
      <c r="G147" s="13">
        <v>0</v>
      </c>
      <c r="H147" s="13">
        <v>0</v>
      </c>
      <c r="I147" s="13">
        <v>0</v>
      </c>
      <c r="J147" s="13">
        <f t="shared" si="32"/>
        <v>378921</v>
      </c>
      <c r="K147" s="13">
        <v>378921</v>
      </c>
      <c r="L147" s="13">
        <v>0</v>
      </c>
      <c r="M147" s="13">
        <v>0</v>
      </c>
      <c r="N147" s="13">
        <v>0</v>
      </c>
      <c r="O147" s="13">
        <v>378921</v>
      </c>
      <c r="P147" s="13">
        <f t="shared" si="51"/>
        <v>2997221</v>
      </c>
    </row>
    <row r="148" spans="1:17" ht="31.2">
      <c r="A148" s="16" t="s">
        <v>390</v>
      </c>
      <c r="B148" s="36">
        <v>8240</v>
      </c>
      <c r="C148" s="16" t="s">
        <v>64</v>
      </c>
      <c r="D148" s="12" t="s">
        <v>261</v>
      </c>
      <c r="E148" s="13">
        <f t="shared" si="70"/>
        <v>0</v>
      </c>
      <c r="F148" s="13"/>
      <c r="G148" s="13"/>
      <c r="H148" s="13"/>
      <c r="I148" s="13"/>
      <c r="J148" s="13">
        <f t="shared" si="32"/>
        <v>94000</v>
      </c>
      <c r="K148" s="13">
        <f>200000-106000</f>
        <v>94000</v>
      </c>
      <c r="L148" s="13"/>
      <c r="M148" s="13"/>
      <c r="N148" s="13"/>
      <c r="O148" s="13">
        <f>200000-106000</f>
        <v>94000</v>
      </c>
      <c r="P148" s="13">
        <f t="shared" si="51"/>
        <v>94000</v>
      </c>
    </row>
    <row r="149" spans="1:17" ht="62.4">
      <c r="A149" s="9" t="s">
        <v>241</v>
      </c>
      <c r="B149" s="9" t="s">
        <v>19</v>
      </c>
      <c r="C149" s="9" t="s">
        <v>19</v>
      </c>
      <c r="D149" s="10" t="s">
        <v>242</v>
      </c>
      <c r="E149" s="11">
        <f t="shared" ref="E149:E163" si="71">F149+I149</f>
        <v>6373600</v>
      </c>
      <c r="F149" s="11">
        <f>F150</f>
        <v>6373600</v>
      </c>
      <c r="G149" s="11">
        <f t="shared" ref="G149:I149" si="72">G150</f>
        <v>6211800</v>
      </c>
      <c r="H149" s="11">
        <f t="shared" si="72"/>
        <v>0</v>
      </c>
      <c r="I149" s="11">
        <f t="shared" si="72"/>
        <v>0</v>
      </c>
      <c r="J149" s="11">
        <f t="shared" si="32"/>
        <v>161398647.63</v>
      </c>
      <c r="K149" s="11">
        <f>K150</f>
        <v>161398647.63</v>
      </c>
      <c r="L149" s="11">
        <f t="shared" ref="L149:O149" si="73">L150</f>
        <v>0</v>
      </c>
      <c r="M149" s="11">
        <f t="shared" si="73"/>
        <v>0</v>
      </c>
      <c r="N149" s="11">
        <f t="shared" si="73"/>
        <v>0</v>
      </c>
      <c r="O149" s="11">
        <f t="shared" si="73"/>
        <v>161398647.63</v>
      </c>
      <c r="P149" s="11">
        <f t="shared" si="51"/>
        <v>167772247.63</v>
      </c>
      <c r="Q149" s="5"/>
    </row>
    <row r="150" spans="1:17" ht="62.4">
      <c r="A150" s="9" t="s">
        <v>243</v>
      </c>
      <c r="B150" s="9" t="s">
        <v>19</v>
      </c>
      <c r="C150" s="9" t="s">
        <v>19</v>
      </c>
      <c r="D150" s="10" t="s">
        <v>242</v>
      </c>
      <c r="E150" s="11">
        <f t="shared" si="71"/>
        <v>6373600</v>
      </c>
      <c r="F150" s="11">
        <f>SUM(F151:F160)</f>
        <v>6373600</v>
      </c>
      <c r="G150" s="11">
        <f t="shared" ref="G150:K150" si="74">SUM(G151:G160)</f>
        <v>6211800</v>
      </c>
      <c r="H150" s="11">
        <f t="shared" si="74"/>
        <v>0</v>
      </c>
      <c r="I150" s="11">
        <f t="shared" si="74"/>
        <v>0</v>
      </c>
      <c r="J150" s="11">
        <f t="shared" si="32"/>
        <v>161398647.63</v>
      </c>
      <c r="K150" s="11">
        <f t="shared" si="74"/>
        <v>161398647.63</v>
      </c>
      <c r="L150" s="11">
        <f t="shared" ref="L150" si="75">SUM(L151:L160)</f>
        <v>0</v>
      </c>
      <c r="M150" s="11">
        <f t="shared" ref="M150" si="76">SUM(M151:M160)</f>
        <v>0</v>
      </c>
      <c r="N150" s="11">
        <f t="shared" ref="N150" si="77">SUM(N151:N160)</f>
        <v>0</v>
      </c>
      <c r="O150" s="11">
        <f t="shared" ref="O150" si="78">SUM(O151:O160)</f>
        <v>161398647.63</v>
      </c>
      <c r="P150" s="11">
        <f t="shared" si="51"/>
        <v>167772247.63</v>
      </c>
    </row>
    <row r="151" spans="1:17" ht="93.6">
      <c r="A151" s="37">
        <v>1510150</v>
      </c>
      <c r="B151" s="16" t="s">
        <v>23</v>
      </c>
      <c r="C151" s="16" t="s">
        <v>24</v>
      </c>
      <c r="D151" s="12" t="s">
        <v>25</v>
      </c>
      <c r="E151" s="13">
        <f t="shared" si="71"/>
        <v>0</v>
      </c>
      <c r="F151" s="13"/>
      <c r="G151" s="13"/>
      <c r="H151" s="13"/>
      <c r="I151" s="13"/>
      <c r="J151" s="13">
        <f t="shared" si="32"/>
        <v>590000</v>
      </c>
      <c r="K151" s="13">
        <v>590000</v>
      </c>
      <c r="L151" s="13"/>
      <c r="M151" s="13"/>
      <c r="N151" s="13"/>
      <c r="O151" s="13">
        <v>590000</v>
      </c>
      <c r="P151" s="13">
        <f t="shared" si="51"/>
        <v>590000</v>
      </c>
    </row>
    <row r="152" spans="1:17" ht="46.8">
      <c r="A152" s="8" t="s">
        <v>244</v>
      </c>
      <c r="B152" s="8" t="s">
        <v>76</v>
      </c>
      <c r="C152" s="8" t="s">
        <v>24</v>
      </c>
      <c r="D152" s="12" t="s">
        <v>77</v>
      </c>
      <c r="E152" s="13">
        <f t="shared" si="71"/>
        <v>6327300</v>
      </c>
      <c r="F152" s="13">
        <v>6327300</v>
      </c>
      <c r="G152" s="13">
        <f>5091700+1120100</f>
        <v>6211800</v>
      </c>
      <c r="H152" s="13">
        <v>0</v>
      </c>
      <c r="I152" s="13">
        <v>0</v>
      </c>
      <c r="J152" s="13">
        <f t="shared" si="32"/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f t="shared" si="51"/>
        <v>6327300</v>
      </c>
    </row>
    <row r="153" spans="1:17" ht="31.2">
      <c r="A153" s="33">
        <v>1511300</v>
      </c>
      <c r="B153" s="16" t="s">
        <v>375</v>
      </c>
      <c r="C153" s="16" t="s">
        <v>106</v>
      </c>
      <c r="D153" s="12" t="s">
        <v>381</v>
      </c>
      <c r="E153" s="13">
        <f t="shared" si="71"/>
        <v>0</v>
      </c>
      <c r="F153" s="13"/>
      <c r="G153" s="13"/>
      <c r="H153" s="13"/>
      <c r="I153" s="13"/>
      <c r="J153" s="13">
        <f t="shared" si="32"/>
        <v>87018800</v>
      </c>
      <c r="K153" s="13">
        <f>83518800+3500000</f>
        <v>87018800</v>
      </c>
      <c r="L153" s="13"/>
      <c r="M153" s="13"/>
      <c r="N153" s="13"/>
      <c r="O153" s="13">
        <f>83518800+3500000</f>
        <v>87018800</v>
      </c>
      <c r="P153" s="13">
        <f t="shared" si="51"/>
        <v>87018800</v>
      </c>
    </row>
    <row r="154" spans="1:17" ht="78">
      <c r="A154" s="33">
        <v>1512171</v>
      </c>
      <c r="B154" s="16" t="s">
        <v>376</v>
      </c>
      <c r="C154" s="16" t="s">
        <v>48</v>
      </c>
      <c r="D154" s="12" t="s">
        <v>382</v>
      </c>
      <c r="E154" s="13">
        <f t="shared" si="71"/>
        <v>0</v>
      </c>
      <c r="F154" s="13"/>
      <c r="G154" s="13"/>
      <c r="H154" s="13"/>
      <c r="I154" s="13"/>
      <c r="J154" s="13">
        <f t="shared" si="32"/>
        <v>550000</v>
      </c>
      <c r="K154" s="13">
        <v>550000</v>
      </c>
      <c r="L154" s="13"/>
      <c r="M154" s="13"/>
      <c r="N154" s="13"/>
      <c r="O154" s="13">
        <v>550000</v>
      </c>
      <c r="P154" s="13">
        <f t="shared" si="51"/>
        <v>550000</v>
      </c>
    </row>
    <row r="155" spans="1:17" ht="31.2">
      <c r="A155" s="37">
        <v>1516015</v>
      </c>
      <c r="B155" s="16" t="s">
        <v>224</v>
      </c>
      <c r="C155" s="16" t="s">
        <v>56</v>
      </c>
      <c r="D155" s="12" t="s">
        <v>225</v>
      </c>
      <c r="E155" s="13">
        <f t="shared" si="71"/>
        <v>0</v>
      </c>
      <c r="F155" s="13"/>
      <c r="G155" s="13"/>
      <c r="H155" s="13"/>
      <c r="I155" s="13"/>
      <c r="J155" s="13">
        <f t="shared" si="32"/>
        <v>486000</v>
      </c>
      <c r="K155" s="13">
        <v>486000</v>
      </c>
      <c r="L155" s="13"/>
      <c r="M155" s="13"/>
      <c r="N155" s="13"/>
      <c r="O155" s="13">
        <v>486000</v>
      </c>
      <c r="P155" s="13">
        <f t="shared" si="51"/>
        <v>486000</v>
      </c>
    </row>
    <row r="156" spans="1:17" ht="31.2">
      <c r="A156" s="33">
        <v>1516091</v>
      </c>
      <c r="B156" s="16" t="s">
        <v>377</v>
      </c>
      <c r="C156" s="16" t="s">
        <v>311</v>
      </c>
      <c r="D156" s="12" t="s">
        <v>383</v>
      </c>
      <c r="E156" s="13">
        <f t="shared" si="71"/>
        <v>0</v>
      </c>
      <c r="F156" s="13"/>
      <c r="G156" s="13"/>
      <c r="H156" s="13"/>
      <c r="I156" s="13"/>
      <c r="J156" s="13">
        <f t="shared" si="32"/>
        <v>30226232.009999998</v>
      </c>
      <c r="K156" s="13">
        <f>14033601.01+10981383+4148102+926970+136176</f>
        <v>30226232.009999998</v>
      </c>
      <c r="L156" s="13"/>
      <c r="M156" s="13"/>
      <c r="N156" s="13"/>
      <c r="O156" s="13">
        <f>14033601.01+10981383+4148102+926970+136176</f>
        <v>30226232.009999998</v>
      </c>
      <c r="P156" s="13">
        <f t="shared" si="51"/>
        <v>30226232.009999998</v>
      </c>
    </row>
    <row r="157" spans="1:17" ht="31.2">
      <c r="A157" s="33">
        <v>1517368</v>
      </c>
      <c r="B157" s="16" t="s">
        <v>378</v>
      </c>
      <c r="C157" s="16" t="s">
        <v>60</v>
      </c>
      <c r="D157" s="12" t="s">
        <v>384</v>
      </c>
      <c r="E157" s="13">
        <f t="shared" si="71"/>
        <v>0</v>
      </c>
      <c r="F157" s="13"/>
      <c r="G157" s="13"/>
      <c r="H157" s="13"/>
      <c r="I157" s="13"/>
      <c r="J157" s="13">
        <f t="shared" si="32"/>
        <v>15815727.619999999</v>
      </c>
      <c r="K157" s="13">
        <v>15815727.619999999</v>
      </c>
      <c r="L157" s="13"/>
      <c r="M157" s="13"/>
      <c r="N157" s="13"/>
      <c r="O157" s="13">
        <v>15815727.619999999</v>
      </c>
      <c r="P157" s="13">
        <f t="shared" si="51"/>
        <v>15815727.619999999</v>
      </c>
    </row>
    <row r="158" spans="1:17" ht="46.8">
      <c r="A158" s="33">
        <v>1517370</v>
      </c>
      <c r="B158" s="16" t="s">
        <v>379</v>
      </c>
      <c r="C158" s="16" t="s">
        <v>60</v>
      </c>
      <c r="D158" s="12" t="s">
        <v>385</v>
      </c>
      <c r="E158" s="13">
        <f t="shared" si="71"/>
        <v>0</v>
      </c>
      <c r="F158" s="13"/>
      <c r="G158" s="13"/>
      <c r="H158" s="13"/>
      <c r="I158" s="13"/>
      <c r="J158" s="13">
        <f t="shared" si="32"/>
        <v>19920588</v>
      </c>
      <c r="K158" s="13">
        <v>19920588</v>
      </c>
      <c r="L158" s="13"/>
      <c r="M158" s="13"/>
      <c r="N158" s="13"/>
      <c r="O158" s="13">
        <v>19920588</v>
      </c>
      <c r="P158" s="13">
        <f t="shared" si="51"/>
        <v>19920588</v>
      </c>
    </row>
    <row r="159" spans="1:17" ht="31.2">
      <c r="A159" s="16" t="s">
        <v>298</v>
      </c>
      <c r="B159" s="16" t="s">
        <v>285</v>
      </c>
      <c r="C159" s="16" t="s">
        <v>287</v>
      </c>
      <c r="D159" s="12" t="s">
        <v>286</v>
      </c>
      <c r="E159" s="13">
        <f t="shared" si="71"/>
        <v>46300</v>
      </c>
      <c r="F159" s="13">
        <v>46300</v>
      </c>
      <c r="G159" s="13"/>
      <c r="H159" s="13"/>
      <c r="I159" s="13"/>
      <c r="J159" s="13">
        <f t="shared" si="32"/>
        <v>0</v>
      </c>
      <c r="K159" s="13"/>
      <c r="L159" s="13"/>
      <c r="M159" s="13"/>
      <c r="N159" s="13"/>
      <c r="O159" s="13"/>
      <c r="P159" s="13">
        <f t="shared" si="51"/>
        <v>46300</v>
      </c>
    </row>
    <row r="160" spans="1:17" ht="46.8">
      <c r="A160" s="16" t="s">
        <v>380</v>
      </c>
      <c r="B160" s="16" t="s">
        <v>238</v>
      </c>
      <c r="C160" s="16" t="s">
        <v>239</v>
      </c>
      <c r="D160" s="12" t="s">
        <v>240</v>
      </c>
      <c r="E160" s="13">
        <f t="shared" si="71"/>
        <v>0</v>
      </c>
      <c r="F160" s="13"/>
      <c r="G160" s="13"/>
      <c r="H160" s="13"/>
      <c r="I160" s="13"/>
      <c r="J160" s="13">
        <f t="shared" si="32"/>
        <v>6791300</v>
      </c>
      <c r="K160" s="13">
        <f>5000000+1791300</f>
        <v>6791300</v>
      </c>
      <c r="L160" s="13"/>
      <c r="M160" s="13"/>
      <c r="N160" s="13"/>
      <c r="O160" s="13">
        <f>5000000+1791300</f>
        <v>6791300</v>
      </c>
      <c r="P160" s="13">
        <f t="shared" si="51"/>
        <v>6791300</v>
      </c>
    </row>
    <row r="161" spans="1:17" ht="62.4">
      <c r="A161" s="9" t="s">
        <v>245</v>
      </c>
      <c r="B161" s="9" t="s">
        <v>19</v>
      </c>
      <c r="C161" s="9" t="s">
        <v>19</v>
      </c>
      <c r="D161" s="10" t="s">
        <v>246</v>
      </c>
      <c r="E161" s="11">
        <f t="shared" si="71"/>
        <v>28791300</v>
      </c>
      <c r="F161" s="11">
        <f>F162</f>
        <v>7270300</v>
      </c>
      <c r="G161" s="11">
        <f t="shared" ref="G161:I161" si="79">G162</f>
        <v>5521700</v>
      </c>
      <c r="H161" s="11">
        <f t="shared" si="79"/>
        <v>0</v>
      </c>
      <c r="I161" s="11">
        <f t="shared" si="79"/>
        <v>21521000</v>
      </c>
      <c r="J161" s="11">
        <f t="shared" si="32"/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f t="shared" si="51"/>
        <v>28791300</v>
      </c>
      <c r="Q161" s="5"/>
    </row>
    <row r="162" spans="1:17" ht="62.4">
      <c r="A162" s="9" t="s">
        <v>247</v>
      </c>
      <c r="B162" s="9" t="s">
        <v>19</v>
      </c>
      <c r="C162" s="9" t="s">
        <v>19</v>
      </c>
      <c r="D162" s="10" t="s">
        <v>246</v>
      </c>
      <c r="E162" s="11">
        <f t="shared" si="71"/>
        <v>28791300</v>
      </c>
      <c r="F162" s="11">
        <f>SUM(F163:F170)</f>
        <v>7270300</v>
      </c>
      <c r="G162" s="11">
        <f t="shared" ref="G162:K162" si="80">SUM(G163:G170)</f>
        <v>5521700</v>
      </c>
      <c r="H162" s="11">
        <f t="shared" si="80"/>
        <v>0</v>
      </c>
      <c r="I162" s="11">
        <f t="shared" si="80"/>
        <v>21521000</v>
      </c>
      <c r="J162" s="11">
        <f t="shared" si="32"/>
        <v>0</v>
      </c>
      <c r="K162" s="11">
        <f t="shared" si="80"/>
        <v>0</v>
      </c>
      <c r="L162" s="11">
        <f t="shared" ref="L162" si="81">SUM(L163:L170)</f>
        <v>0</v>
      </c>
      <c r="M162" s="11">
        <f t="shared" ref="M162" si="82">SUM(M163:M170)</f>
        <v>0</v>
      </c>
      <c r="N162" s="11">
        <f t="shared" ref="N162" si="83">SUM(N163:N170)</f>
        <v>0</v>
      </c>
      <c r="O162" s="11">
        <f t="shared" ref="O162" si="84">SUM(O163:O170)</f>
        <v>0</v>
      </c>
      <c r="P162" s="11">
        <f t="shared" si="51"/>
        <v>28791300</v>
      </c>
    </row>
    <row r="163" spans="1:17" ht="46.8">
      <c r="A163" s="8" t="s">
        <v>248</v>
      </c>
      <c r="B163" s="8" t="s">
        <v>76</v>
      </c>
      <c r="C163" s="8" t="s">
        <v>24</v>
      </c>
      <c r="D163" s="12" t="s">
        <v>77</v>
      </c>
      <c r="E163" s="13">
        <f t="shared" si="71"/>
        <v>5601700</v>
      </c>
      <c r="F163" s="13">
        <v>5601700</v>
      </c>
      <c r="G163" s="13">
        <f>4526000+995700</f>
        <v>5521700</v>
      </c>
      <c r="H163" s="13">
        <v>0</v>
      </c>
      <c r="I163" s="13">
        <v>0</v>
      </c>
      <c r="J163" s="13">
        <f t="shared" si="32"/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f t="shared" si="51"/>
        <v>5601700</v>
      </c>
    </row>
    <row r="164" spans="1:17" ht="31.2">
      <c r="A164" s="8" t="s">
        <v>249</v>
      </c>
      <c r="B164" s="8" t="s">
        <v>31</v>
      </c>
      <c r="C164" s="8" t="s">
        <v>32</v>
      </c>
      <c r="D164" s="12" t="s">
        <v>33</v>
      </c>
      <c r="E164" s="13">
        <f t="shared" ref="E164:E170" si="85">F164+I164</f>
        <v>115000</v>
      </c>
      <c r="F164" s="13">
        <f>65000+50000</f>
        <v>115000</v>
      </c>
      <c r="G164" s="13">
        <v>0</v>
      </c>
      <c r="H164" s="13">
        <v>0</v>
      </c>
      <c r="I164" s="13">
        <v>0</v>
      </c>
      <c r="J164" s="13">
        <f t="shared" si="32"/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f t="shared" si="51"/>
        <v>115000</v>
      </c>
    </row>
    <row r="165" spans="1:17" ht="46.8">
      <c r="A165" s="8" t="s">
        <v>250</v>
      </c>
      <c r="B165" s="8" t="s">
        <v>227</v>
      </c>
      <c r="C165" s="8" t="s">
        <v>56</v>
      </c>
      <c r="D165" s="12" t="s">
        <v>228</v>
      </c>
      <c r="E165" s="13">
        <f t="shared" si="85"/>
        <v>200000</v>
      </c>
      <c r="F165" s="13">
        <v>200000</v>
      </c>
      <c r="G165" s="13">
        <v>0</v>
      </c>
      <c r="H165" s="13">
        <v>0</v>
      </c>
      <c r="I165" s="13">
        <v>0</v>
      </c>
      <c r="J165" s="13">
        <f t="shared" si="32"/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3">
        <f t="shared" si="51"/>
        <v>200000</v>
      </c>
    </row>
    <row r="166" spans="1:17" s="21" customFormat="1" ht="31.2">
      <c r="A166" s="16" t="s">
        <v>312</v>
      </c>
      <c r="B166" s="20">
        <v>6090</v>
      </c>
      <c r="C166" s="16" t="s">
        <v>311</v>
      </c>
      <c r="D166" s="12" t="s">
        <v>310</v>
      </c>
      <c r="E166" s="13">
        <f t="shared" ref="E166" si="86">F166+I166</f>
        <v>1500000</v>
      </c>
      <c r="F166" s="13"/>
      <c r="G166" s="13">
        <v>0</v>
      </c>
      <c r="H166" s="13">
        <v>0</v>
      </c>
      <c r="I166" s="13">
        <v>1500000</v>
      </c>
      <c r="J166" s="13">
        <f t="shared" ref="J166" si="87">L166+O166</f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f t="shared" si="51"/>
        <v>1500000</v>
      </c>
    </row>
    <row r="167" spans="1:17">
      <c r="A167" s="8" t="s">
        <v>251</v>
      </c>
      <c r="B167" s="8" t="s">
        <v>252</v>
      </c>
      <c r="C167" s="8" t="s">
        <v>253</v>
      </c>
      <c r="D167" s="12" t="s">
        <v>254</v>
      </c>
      <c r="E167" s="13">
        <f t="shared" si="85"/>
        <v>1160000</v>
      </c>
      <c r="F167" s="13">
        <v>1160000</v>
      </c>
      <c r="G167" s="13">
        <v>0</v>
      </c>
      <c r="H167" s="13">
        <v>0</v>
      </c>
      <c r="I167" s="13">
        <v>0</v>
      </c>
      <c r="J167" s="13">
        <f t="shared" si="32"/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f t="shared" si="51"/>
        <v>1160000</v>
      </c>
    </row>
    <row r="168" spans="1:17" ht="31.2">
      <c r="A168" s="16" t="s">
        <v>299</v>
      </c>
      <c r="B168" s="16" t="s">
        <v>285</v>
      </c>
      <c r="C168" s="16" t="s">
        <v>287</v>
      </c>
      <c r="D168" s="12" t="s">
        <v>286</v>
      </c>
      <c r="E168" s="13">
        <f t="shared" si="85"/>
        <v>48600</v>
      </c>
      <c r="F168" s="13">
        <f>8600+40000</f>
        <v>48600</v>
      </c>
      <c r="G168" s="13"/>
      <c r="H168" s="13"/>
      <c r="I168" s="13"/>
      <c r="J168" s="13">
        <f t="shared" si="32"/>
        <v>0</v>
      </c>
      <c r="K168" s="13"/>
      <c r="L168" s="13"/>
      <c r="M168" s="13"/>
      <c r="N168" s="13"/>
      <c r="O168" s="13"/>
      <c r="P168" s="13">
        <f t="shared" si="51"/>
        <v>48600</v>
      </c>
    </row>
    <row r="169" spans="1:17" ht="31.2">
      <c r="A169" s="8" t="s">
        <v>258</v>
      </c>
      <c r="B169" s="8" t="s">
        <v>235</v>
      </c>
      <c r="C169" s="8" t="s">
        <v>60</v>
      </c>
      <c r="D169" s="12" t="s">
        <v>236</v>
      </c>
      <c r="E169" s="13">
        <f t="shared" si="85"/>
        <v>20021000</v>
      </c>
      <c r="F169" s="13">
        <v>0</v>
      </c>
      <c r="G169" s="13">
        <v>0</v>
      </c>
      <c r="H169" s="13">
        <v>0</v>
      </c>
      <c r="I169" s="13">
        <v>20021000</v>
      </c>
      <c r="J169" s="13">
        <f t="shared" si="32"/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f t="shared" ref="P169:P187" si="88">E169 + J169</f>
        <v>20021000</v>
      </c>
    </row>
    <row r="170" spans="1:17" ht="31.2">
      <c r="A170" s="8" t="s">
        <v>259</v>
      </c>
      <c r="B170" s="8" t="s">
        <v>260</v>
      </c>
      <c r="C170" s="8" t="s">
        <v>64</v>
      </c>
      <c r="D170" s="12" t="s">
        <v>261</v>
      </c>
      <c r="E170" s="13">
        <f t="shared" si="85"/>
        <v>145000</v>
      </c>
      <c r="F170" s="13">
        <v>145000</v>
      </c>
      <c r="G170" s="13">
        <v>0</v>
      </c>
      <c r="H170" s="13">
        <v>0</v>
      </c>
      <c r="I170" s="13">
        <v>0</v>
      </c>
      <c r="J170" s="13">
        <f t="shared" si="32"/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f t="shared" si="88"/>
        <v>145000</v>
      </c>
    </row>
    <row r="171" spans="1:17" ht="46.8">
      <c r="A171" s="9" t="s">
        <v>262</v>
      </c>
      <c r="B171" s="9" t="s">
        <v>19</v>
      </c>
      <c r="C171" s="9" t="s">
        <v>19</v>
      </c>
      <c r="D171" s="10" t="s">
        <v>263</v>
      </c>
      <c r="E171" s="11">
        <f>E172</f>
        <v>184217600</v>
      </c>
      <c r="F171" s="11">
        <f>F172</f>
        <v>174217600</v>
      </c>
      <c r="G171" s="11">
        <f t="shared" ref="G171:I171" si="89">G172</f>
        <v>7756900</v>
      </c>
      <c r="H171" s="11">
        <f t="shared" si="89"/>
        <v>0</v>
      </c>
      <c r="I171" s="11">
        <f t="shared" si="89"/>
        <v>0</v>
      </c>
      <c r="J171" s="11">
        <f t="shared" si="32"/>
        <v>9105000</v>
      </c>
      <c r="K171" s="11">
        <f>K172</f>
        <v>9105000</v>
      </c>
      <c r="L171" s="11">
        <f t="shared" ref="L171:O171" si="90">L172</f>
        <v>0</v>
      </c>
      <c r="M171" s="11">
        <f t="shared" si="90"/>
        <v>0</v>
      </c>
      <c r="N171" s="11">
        <f t="shared" si="90"/>
        <v>0</v>
      </c>
      <c r="O171" s="11">
        <f t="shared" si="90"/>
        <v>9105000</v>
      </c>
      <c r="P171" s="11">
        <f t="shared" si="88"/>
        <v>193322600</v>
      </c>
      <c r="Q171" s="5"/>
    </row>
    <row r="172" spans="1:17" ht="46.8">
      <c r="A172" s="9" t="s">
        <v>264</v>
      </c>
      <c r="B172" s="9" t="s">
        <v>19</v>
      </c>
      <c r="C172" s="9" t="s">
        <v>19</v>
      </c>
      <c r="D172" s="10" t="s">
        <v>263</v>
      </c>
      <c r="E172" s="11">
        <f>F172+I172+E175</f>
        <v>184217600</v>
      </c>
      <c r="F172" s="11">
        <f>F173+F174+F175+F176+F177+F181</f>
        <v>174217600</v>
      </c>
      <c r="G172" s="11">
        <f t="shared" ref="G172:K172" si="91">G173+G174+G175+G176+G177+G181</f>
        <v>7756900</v>
      </c>
      <c r="H172" s="11">
        <f t="shared" si="91"/>
        <v>0</v>
      </c>
      <c r="I172" s="11">
        <f t="shared" si="91"/>
        <v>0</v>
      </c>
      <c r="J172" s="11">
        <f t="shared" ref="J172:J180" si="92">L172+O172</f>
        <v>9105000</v>
      </c>
      <c r="K172" s="11">
        <f t="shared" si="91"/>
        <v>9105000</v>
      </c>
      <c r="L172" s="11">
        <f t="shared" ref="L172" si="93">L173+L174+L175+L176+L177+L181</f>
        <v>0</v>
      </c>
      <c r="M172" s="11">
        <f t="shared" ref="M172" si="94">M173+M174+M175+M176+M177+M181</f>
        <v>0</v>
      </c>
      <c r="N172" s="11">
        <f t="shared" ref="N172" si="95">N173+N174+N175+N176+N177+N181</f>
        <v>0</v>
      </c>
      <c r="O172" s="11">
        <f t="shared" ref="O172" si="96">O173+O174+O175+O176+O177+O181</f>
        <v>9105000</v>
      </c>
      <c r="P172" s="11">
        <f t="shared" si="88"/>
        <v>193322600</v>
      </c>
    </row>
    <row r="173" spans="1:17" ht="46.8">
      <c r="A173" s="8" t="s">
        <v>265</v>
      </c>
      <c r="B173" s="8" t="s">
        <v>76</v>
      </c>
      <c r="C173" s="8" t="s">
        <v>24</v>
      </c>
      <c r="D173" s="12" t="s">
        <v>77</v>
      </c>
      <c r="E173" s="13">
        <f>F173+I173</f>
        <v>8035900</v>
      </c>
      <c r="F173" s="13">
        <v>8035900</v>
      </c>
      <c r="G173" s="13">
        <f>6358000+1398900</f>
        <v>7756900</v>
      </c>
      <c r="H173" s="13">
        <v>0</v>
      </c>
      <c r="I173" s="13">
        <v>0</v>
      </c>
      <c r="J173" s="13">
        <f t="shared" si="92"/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f t="shared" si="88"/>
        <v>8035900</v>
      </c>
    </row>
    <row r="174" spans="1:17" ht="31.2">
      <c r="A174" s="16" t="s">
        <v>300</v>
      </c>
      <c r="B174" s="16" t="s">
        <v>285</v>
      </c>
      <c r="C174" s="16" t="s">
        <v>287</v>
      </c>
      <c r="D174" s="12" t="s">
        <v>286</v>
      </c>
      <c r="E174" s="13">
        <f t="shared" ref="E174" si="97">F174+I174</f>
        <v>92500</v>
      </c>
      <c r="F174" s="13">
        <v>92500</v>
      </c>
      <c r="G174" s="13"/>
      <c r="H174" s="13"/>
      <c r="I174" s="13"/>
      <c r="J174" s="13">
        <f t="shared" si="92"/>
        <v>0</v>
      </c>
      <c r="K174" s="13"/>
      <c r="L174" s="13"/>
      <c r="M174" s="13"/>
      <c r="N174" s="13"/>
      <c r="O174" s="13"/>
      <c r="P174" s="13">
        <f t="shared" si="88"/>
        <v>92500</v>
      </c>
    </row>
    <row r="175" spans="1:17" ht="23.4" customHeight="1">
      <c r="A175" s="8" t="s">
        <v>266</v>
      </c>
      <c r="B175" s="8" t="s">
        <v>267</v>
      </c>
      <c r="C175" s="8" t="s">
        <v>32</v>
      </c>
      <c r="D175" s="12" t="s">
        <v>268</v>
      </c>
      <c r="E175" s="13">
        <v>10000000</v>
      </c>
      <c r="F175" s="13">
        <v>0</v>
      </c>
      <c r="G175" s="13">
        <v>0</v>
      </c>
      <c r="H175" s="13">
        <v>0</v>
      </c>
      <c r="I175" s="13">
        <v>0</v>
      </c>
      <c r="J175" s="13">
        <f t="shared" si="92"/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f t="shared" si="88"/>
        <v>10000000</v>
      </c>
    </row>
    <row r="176" spans="1:17" ht="23.4" customHeight="1">
      <c r="A176" s="8">
        <v>3719110</v>
      </c>
      <c r="B176" s="8">
        <v>9110</v>
      </c>
      <c r="C176" s="16" t="s">
        <v>31</v>
      </c>
      <c r="D176" s="12" t="s">
        <v>301</v>
      </c>
      <c r="E176" s="13">
        <f>F176+I176</f>
        <v>63874800</v>
      </c>
      <c r="F176" s="13">
        <v>63874800</v>
      </c>
      <c r="G176" s="13"/>
      <c r="H176" s="13"/>
      <c r="I176" s="13"/>
      <c r="J176" s="13">
        <f t="shared" si="92"/>
        <v>0</v>
      </c>
      <c r="K176" s="13"/>
      <c r="L176" s="13"/>
      <c r="M176" s="13"/>
      <c r="N176" s="13"/>
      <c r="O176" s="13"/>
      <c r="P176" s="13">
        <f t="shared" si="88"/>
        <v>63874800</v>
      </c>
    </row>
    <row r="177" spans="1:16" ht="23.4" customHeight="1">
      <c r="A177" s="8" t="s">
        <v>269</v>
      </c>
      <c r="B177" s="8" t="s">
        <v>270</v>
      </c>
      <c r="C177" s="8" t="s">
        <v>31</v>
      </c>
      <c r="D177" s="12" t="s">
        <v>271</v>
      </c>
      <c r="E177" s="13">
        <f>F177+I177</f>
        <v>4699800</v>
      </c>
      <c r="F177" s="13">
        <f>SUM(F178:F180)</f>
        <v>4699800</v>
      </c>
      <c r="G177" s="13">
        <v>0</v>
      </c>
      <c r="H177" s="13">
        <v>0</v>
      </c>
      <c r="I177" s="13">
        <v>0</v>
      </c>
      <c r="J177" s="13">
        <f t="shared" si="92"/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3">
        <f t="shared" si="88"/>
        <v>4699800</v>
      </c>
    </row>
    <row r="178" spans="1:16" s="7" customFormat="1" ht="124.8">
      <c r="A178" s="14"/>
      <c r="B178" s="14"/>
      <c r="C178" s="14"/>
      <c r="D178" s="18" t="s">
        <v>303</v>
      </c>
      <c r="E178" s="15">
        <f>F178+I178</f>
        <v>1958700</v>
      </c>
      <c r="F178" s="15">
        <f>1760700+198000</f>
        <v>1958700</v>
      </c>
      <c r="G178" s="15"/>
      <c r="H178" s="15"/>
      <c r="I178" s="15"/>
      <c r="J178" s="15">
        <f t="shared" si="92"/>
        <v>0</v>
      </c>
      <c r="K178" s="15"/>
      <c r="L178" s="15"/>
      <c r="M178" s="15"/>
      <c r="N178" s="15"/>
      <c r="O178" s="15"/>
      <c r="P178" s="15">
        <f t="shared" si="88"/>
        <v>1958700</v>
      </c>
    </row>
    <row r="179" spans="1:16" s="7" customFormat="1" ht="62.4">
      <c r="A179" s="14"/>
      <c r="B179" s="14"/>
      <c r="C179" s="14"/>
      <c r="D179" s="1" t="s">
        <v>304</v>
      </c>
      <c r="E179" s="15">
        <f t="shared" ref="E179:E180" si="98">F179+I179</f>
        <v>500000</v>
      </c>
      <c r="F179" s="15">
        <v>500000</v>
      </c>
      <c r="G179" s="15"/>
      <c r="H179" s="15"/>
      <c r="I179" s="15"/>
      <c r="J179" s="15">
        <f t="shared" si="92"/>
        <v>0</v>
      </c>
      <c r="K179" s="15"/>
      <c r="L179" s="15"/>
      <c r="M179" s="15"/>
      <c r="N179" s="15"/>
      <c r="O179" s="15"/>
      <c r="P179" s="15">
        <f t="shared" si="88"/>
        <v>500000</v>
      </c>
    </row>
    <row r="180" spans="1:16" s="7" customFormat="1" ht="78">
      <c r="A180" s="14"/>
      <c r="B180" s="14"/>
      <c r="C180" s="14"/>
      <c r="D180" s="18" t="s">
        <v>302</v>
      </c>
      <c r="E180" s="15">
        <f t="shared" si="98"/>
        <v>2241100</v>
      </c>
      <c r="F180" s="15">
        <f>2237000+14200-10100</f>
        <v>2241100</v>
      </c>
      <c r="G180" s="15"/>
      <c r="H180" s="15"/>
      <c r="I180" s="15"/>
      <c r="J180" s="15">
        <f t="shared" si="92"/>
        <v>0</v>
      </c>
      <c r="K180" s="15"/>
      <c r="L180" s="15"/>
      <c r="M180" s="15"/>
      <c r="N180" s="15"/>
      <c r="O180" s="15"/>
      <c r="P180" s="15">
        <f t="shared" si="88"/>
        <v>2241100</v>
      </c>
    </row>
    <row r="181" spans="1:16" ht="62.4">
      <c r="A181" s="33">
        <v>3719800</v>
      </c>
      <c r="B181" s="33">
        <v>9800</v>
      </c>
      <c r="C181" s="16" t="s">
        <v>31</v>
      </c>
      <c r="D181" s="35" t="s">
        <v>386</v>
      </c>
      <c r="E181" s="13">
        <f t="shared" ref="E181:E186" si="99">F181+I181</f>
        <v>97514600</v>
      </c>
      <c r="F181" s="13">
        <f>SUM(F182:F186)</f>
        <v>97514600</v>
      </c>
      <c r="G181" s="13">
        <f t="shared" ref="G181:I181" si="100">G182+G183</f>
        <v>0</v>
      </c>
      <c r="H181" s="13">
        <f t="shared" si="100"/>
        <v>0</v>
      </c>
      <c r="I181" s="13">
        <f t="shared" si="100"/>
        <v>0</v>
      </c>
      <c r="J181" s="13">
        <f>L181+O181</f>
        <v>9105000</v>
      </c>
      <c r="K181" s="13">
        <f>SUM(K182:K186)</f>
        <v>9105000</v>
      </c>
      <c r="L181" s="13">
        <f t="shared" ref="L181" si="101">L182+L183</f>
        <v>0</v>
      </c>
      <c r="M181" s="13">
        <f t="shared" ref="M181" si="102">M182+M183</f>
        <v>0</v>
      </c>
      <c r="N181" s="13">
        <f t="shared" ref="N181" si="103">N182+N183</f>
        <v>0</v>
      </c>
      <c r="O181" s="13">
        <f>SUM(O182:O186)</f>
        <v>9105000</v>
      </c>
      <c r="P181" s="13">
        <f t="shared" si="88"/>
        <v>106619600</v>
      </c>
    </row>
    <row r="182" spans="1:16" s="7" customFormat="1" ht="93.6">
      <c r="A182" s="14"/>
      <c r="B182" s="14"/>
      <c r="C182" s="14"/>
      <c r="D182" s="18" t="s">
        <v>387</v>
      </c>
      <c r="E182" s="15">
        <f t="shared" si="99"/>
        <v>93190000</v>
      </c>
      <c r="F182" s="15">
        <f>1690000+14000000+77500000</f>
        <v>93190000</v>
      </c>
      <c r="G182" s="15"/>
      <c r="H182" s="15"/>
      <c r="I182" s="15"/>
      <c r="J182" s="15">
        <f t="shared" ref="J182:J186" si="104">L182+O182</f>
        <v>6810000</v>
      </c>
      <c r="K182" s="15">
        <f>2310000+4500000</f>
        <v>6810000</v>
      </c>
      <c r="L182" s="15"/>
      <c r="M182" s="15"/>
      <c r="N182" s="15"/>
      <c r="O182" s="15">
        <f>2310000+4500000</f>
        <v>6810000</v>
      </c>
      <c r="P182" s="15">
        <f>E182 + J182</f>
        <v>100000000</v>
      </c>
    </row>
    <row r="183" spans="1:16" s="7" customFormat="1" ht="62.4">
      <c r="A183" s="14"/>
      <c r="B183" s="14"/>
      <c r="C183" s="14"/>
      <c r="D183" s="18" t="s">
        <v>388</v>
      </c>
      <c r="E183" s="15">
        <f t="shared" si="99"/>
        <v>2000000</v>
      </c>
      <c r="F183" s="15">
        <v>2000000</v>
      </c>
      <c r="G183" s="15"/>
      <c r="H183" s="15"/>
      <c r="I183" s="15"/>
      <c r="J183" s="15">
        <f t="shared" si="104"/>
        <v>1000000</v>
      </c>
      <c r="K183" s="15">
        <v>1000000</v>
      </c>
      <c r="L183" s="15"/>
      <c r="M183" s="15"/>
      <c r="N183" s="15"/>
      <c r="O183" s="15">
        <v>1000000</v>
      </c>
      <c r="P183" s="15">
        <f t="shared" si="88"/>
        <v>3000000</v>
      </c>
    </row>
    <row r="184" spans="1:16" s="7" customFormat="1" ht="78">
      <c r="A184" s="14"/>
      <c r="B184" s="14"/>
      <c r="C184" s="14"/>
      <c r="D184" s="18" t="s">
        <v>393</v>
      </c>
      <c r="E184" s="15">
        <f t="shared" si="99"/>
        <v>2000000</v>
      </c>
      <c r="F184" s="15">
        <v>2000000</v>
      </c>
      <c r="G184" s="15"/>
      <c r="H184" s="15"/>
      <c r="I184" s="15"/>
      <c r="J184" s="15">
        <f t="shared" si="104"/>
        <v>0</v>
      </c>
      <c r="K184" s="15"/>
      <c r="L184" s="15"/>
      <c r="M184" s="15"/>
      <c r="N184" s="15"/>
      <c r="O184" s="15"/>
      <c r="P184" s="15">
        <f t="shared" si="88"/>
        <v>2000000</v>
      </c>
    </row>
    <row r="185" spans="1:16" s="7" customFormat="1" ht="46.8">
      <c r="A185" s="14"/>
      <c r="B185" s="14"/>
      <c r="C185" s="14"/>
      <c r="D185" s="18" t="s">
        <v>394</v>
      </c>
      <c r="E185" s="15">
        <f t="shared" si="99"/>
        <v>200000</v>
      </c>
      <c r="F185" s="15">
        <v>200000</v>
      </c>
      <c r="G185" s="15"/>
      <c r="H185" s="15"/>
      <c r="I185" s="15"/>
      <c r="J185" s="15">
        <f t="shared" si="104"/>
        <v>0</v>
      </c>
      <c r="K185" s="15"/>
      <c r="L185" s="15"/>
      <c r="M185" s="15"/>
      <c r="N185" s="15"/>
      <c r="O185" s="15"/>
      <c r="P185" s="15">
        <f t="shared" si="88"/>
        <v>200000</v>
      </c>
    </row>
    <row r="186" spans="1:16" s="7" customFormat="1" ht="62.4">
      <c r="A186" s="14"/>
      <c r="B186" s="14"/>
      <c r="C186" s="14"/>
      <c r="D186" s="18" t="s">
        <v>395</v>
      </c>
      <c r="E186" s="15">
        <f t="shared" si="99"/>
        <v>124600</v>
      </c>
      <c r="F186" s="15">
        <v>124600</v>
      </c>
      <c r="G186" s="15"/>
      <c r="H186" s="15"/>
      <c r="I186" s="15"/>
      <c r="J186" s="15">
        <f t="shared" si="104"/>
        <v>1295000</v>
      </c>
      <c r="K186" s="15">
        <v>1295000</v>
      </c>
      <c r="L186" s="15"/>
      <c r="M186" s="15"/>
      <c r="N186" s="15"/>
      <c r="O186" s="15">
        <v>1295000</v>
      </c>
      <c r="P186" s="15">
        <f t="shared" si="88"/>
        <v>1419600</v>
      </c>
    </row>
    <row r="187" spans="1:16" ht="19.95" customHeight="1">
      <c r="A187" s="9" t="s">
        <v>273</v>
      </c>
      <c r="B187" s="9" t="s">
        <v>273</v>
      </c>
      <c r="C187" s="9" t="s">
        <v>273</v>
      </c>
      <c r="D187" s="17" t="s">
        <v>272</v>
      </c>
      <c r="E187" s="11">
        <f>E18+E56+E83+E106+E111+E122+E130+E149+E161+E171</f>
        <v>1224481620.8699999</v>
      </c>
      <c r="F187" s="11">
        <f>F18+F56+F83+F106+F111+F122+F130+F149+F161+F171</f>
        <v>1081281851.8699999</v>
      </c>
      <c r="G187" s="11">
        <f>G18+G56+G83+G106+G111+G122+G130+G149+G161+G171</f>
        <v>547510286.87</v>
      </c>
      <c r="H187" s="11">
        <f>H18+H56+H83+H106+H111+H122+H130+H149+H161+H171</f>
        <v>46768300</v>
      </c>
      <c r="I187" s="11">
        <f>I18+I56+I83+I106+I111+I122+I130+I149+I161+I171</f>
        <v>133199769</v>
      </c>
      <c r="J187" s="11">
        <f>L187+O187</f>
        <v>243560187.81</v>
      </c>
      <c r="K187" s="11">
        <f>K18+K56+K83+K106+K111+K122+K130+K149+K161+K171</f>
        <v>223604713.63</v>
      </c>
      <c r="L187" s="11">
        <f>L18+L56+L83+L106+L111+L122+L130+L149+L161+L171</f>
        <v>19216100</v>
      </c>
      <c r="M187" s="11">
        <f>M18+M56+M83+M106+M111+M122+M130+M149+M161+M171</f>
        <v>507100</v>
      </c>
      <c r="N187" s="11">
        <f>N18+N56+N83+N106+N111+N122+N130+N149+N161+N171</f>
        <v>0</v>
      </c>
      <c r="O187" s="11">
        <f>O18+O56+O83+O106+O111+O122+O130+O149+O161+O171</f>
        <v>224344087.81</v>
      </c>
      <c r="P187" s="11">
        <f t="shared" si="88"/>
        <v>1468041808.6799998</v>
      </c>
    </row>
    <row r="188" spans="1:16" ht="19.95" customHeight="1">
      <c r="A188" s="22"/>
      <c r="B188" s="22"/>
      <c r="C188" s="22"/>
      <c r="D188" s="23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</row>
    <row r="189" spans="1:16" s="29" customFormat="1" ht="18">
      <c r="A189" s="25"/>
      <c r="B189" s="25"/>
      <c r="C189" s="26" t="s">
        <v>315</v>
      </c>
      <c r="D189" s="27" t="s">
        <v>316</v>
      </c>
      <c r="E189" s="28">
        <f>E20+E25+E26+E58+E85+E86+E108+E113+E124+E132+E133+E151+E152+E163+E164+E173</f>
        <v>168942700</v>
      </c>
      <c r="F189" s="28">
        <f t="shared" ref="F189:O189" si="105">F20+F25+F26+F58+F85+F86+F108+F113+F124+F132+F133+F151+F152+F163+F164+F173</f>
        <v>168942700</v>
      </c>
      <c r="G189" s="28">
        <f t="shared" si="105"/>
        <v>152190900</v>
      </c>
      <c r="H189" s="28">
        <f t="shared" si="105"/>
        <v>6656600</v>
      </c>
      <c r="I189" s="28">
        <f t="shared" si="105"/>
        <v>0</v>
      </c>
      <c r="J189" s="28">
        <f t="shared" si="105"/>
        <v>742600</v>
      </c>
      <c r="K189" s="28">
        <f t="shared" si="105"/>
        <v>625000</v>
      </c>
      <c r="L189" s="28">
        <f t="shared" si="105"/>
        <v>117600</v>
      </c>
      <c r="M189" s="28">
        <f t="shared" si="105"/>
        <v>0</v>
      </c>
      <c r="N189" s="28">
        <f t="shared" si="105"/>
        <v>0</v>
      </c>
      <c r="O189" s="28">
        <f t="shared" si="105"/>
        <v>625000</v>
      </c>
      <c r="P189" s="28">
        <f>E189+J189</f>
        <v>169685300</v>
      </c>
    </row>
    <row r="190" spans="1:16" s="29" customFormat="1" ht="18">
      <c r="A190" s="25"/>
      <c r="B190" s="25"/>
      <c r="C190" s="26" t="s">
        <v>317</v>
      </c>
      <c r="D190" s="27" t="s">
        <v>318</v>
      </c>
      <c r="E190" s="28">
        <f>E59+E60+E61+E62+E66+E67+E68+E69+E70+E71+E72+E73+E74+E75+E76+E77+E114+E153</f>
        <v>418438354</v>
      </c>
      <c r="F190" s="28">
        <f t="shared" ref="F190:O190" si="106">F59+F60+F61+F62+F66+F67+F68+F69+F70+F71+F72+F73+F74+F75+F76+F77+F114+F153</f>
        <v>418438354</v>
      </c>
      <c r="G190" s="28">
        <f t="shared" si="106"/>
        <v>311694544</v>
      </c>
      <c r="H190" s="28">
        <f t="shared" si="106"/>
        <v>35491400</v>
      </c>
      <c r="I190" s="28">
        <f t="shared" si="106"/>
        <v>0</v>
      </c>
      <c r="J190" s="28">
        <f t="shared" si="106"/>
        <v>113630866</v>
      </c>
      <c r="K190" s="28">
        <f t="shared" si="106"/>
        <v>95539366</v>
      </c>
      <c r="L190" s="28">
        <f>L59+L60+L61+L62+L66+L67+L68+L69+L70+L71+L72+L73+L74+L75+L76+L77+L114+L153</f>
        <v>17891500</v>
      </c>
      <c r="M190" s="28">
        <f t="shared" si="106"/>
        <v>495100</v>
      </c>
      <c r="N190" s="28">
        <f t="shared" si="106"/>
        <v>0</v>
      </c>
      <c r="O190" s="28">
        <f t="shared" si="106"/>
        <v>95739366</v>
      </c>
      <c r="P190" s="28">
        <f t="shared" ref="P190:P197" si="107">E190+J190</f>
        <v>532069220</v>
      </c>
    </row>
    <row r="191" spans="1:16" s="29" customFormat="1" ht="18">
      <c r="A191" s="25"/>
      <c r="B191" s="25"/>
      <c r="C191" s="26" t="s">
        <v>319</v>
      </c>
      <c r="D191" s="27" t="s">
        <v>320</v>
      </c>
      <c r="E191" s="28">
        <f t="shared" ref="E191:O191" si="108">E27+E28+E29+E30+E154</f>
        <v>63665600</v>
      </c>
      <c r="F191" s="28">
        <f t="shared" si="108"/>
        <v>63665600</v>
      </c>
      <c r="G191" s="28">
        <f t="shared" si="108"/>
        <v>0</v>
      </c>
      <c r="H191" s="28">
        <f t="shared" si="108"/>
        <v>0</v>
      </c>
      <c r="I191" s="28">
        <f t="shared" si="108"/>
        <v>0</v>
      </c>
      <c r="J191" s="28">
        <f t="shared" si="108"/>
        <v>4304700</v>
      </c>
      <c r="K191" s="28">
        <f t="shared" si="108"/>
        <v>4304700</v>
      </c>
      <c r="L191" s="28">
        <f t="shared" si="108"/>
        <v>0</v>
      </c>
      <c r="M191" s="28">
        <f t="shared" si="108"/>
        <v>0</v>
      </c>
      <c r="N191" s="28">
        <f t="shared" si="108"/>
        <v>0</v>
      </c>
      <c r="O191" s="28">
        <f t="shared" si="108"/>
        <v>4304700</v>
      </c>
      <c r="P191" s="28">
        <f t="shared" si="107"/>
        <v>67970300</v>
      </c>
    </row>
    <row r="192" spans="1:16" s="29" customFormat="1" ht="31.8">
      <c r="A192" s="25"/>
      <c r="B192" s="25"/>
      <c r="C192" s="26" t="s">
        <v>321</v>
      </c>
      <c r="D192" s="27" t="s">
        <v>322</v>
      </c>
      <c r="E192" s="28">
        <f>E34+E78+E79+E87+E88+E89+E90+E91+E92+E93+E94+E95+E96+E97+E98+E99+E100+E101+E109+E115+E125+E134</f>
        <v>112545447.87</v>
      </c>
      <c r="F192" s="28">
        <f t="shared" ref="F192:O192" si="109">F34+F78+F79+F87+F88+F89+F90+F91+F92+F93+F94+F95+F96+F97+F98+F99+F100+F101+F109+F115+F125+F134</f>
        <v>112545447.87</v>
      </c>
      <c r="G192" s="28">
        <f t="shared" si="109"/>
        <v>26179192.870000001</v>
      </c>
      <c r="H192" s="28">
        <f t="shared" si="109"/>
        <v>728000</v>
      </c>
      <c r="I192" s="28">
        <f t="shared" si="109"/>
        <v>0</v>
      </c>
      <c r="J192" s="28">
        <f t="shared" si="109"/>
        <v>1173625</v>
      </c>
      <c r="K192" s="28">
        <f t="shared" si="109"/>
        <v>991625</v>
      </c>
      <c r="L192" s="28">
        <f t="shared" si="109"/>
        <v>57000</v>
      </c>
      <c r="M192" s="28">
        <f t="shared" si="109"/>
        <v>0</v>
      </c>
      <c r="N192" s="28">
        <f t="shared" si="109"/>
        <v>0</v>
      </c>
      <c r="O192" s="28">
        <f t="shared" si="109"/>
        <v>1116625</v>
      </c>
      <c r="P192" s="28">
        <f t="shared" si="107"/>
        <v>113719072.87</v>
      </c>
    </row>
    <row r="193" spans="1:16" s="29" customFormat="1" ht="18">
      <c r="A193" s="25"/>
      <c r="B193" s="25"/>
      <c r="C193" s="26" t="s">
        <v>323</v>
      </c>
      <c r="D193" s="27" t="s">
        <v>324</v>
      </c>
      <c r="E193" s="28">
        <f>E116+E117+E118+E119+E120</f>
        <v>30156100</v>
      </c>
      <c r="F193" s="28">
        <f t="shared" ref="F193:O193" si="110">F116+F117+F118+F119+F120</f>
        <v>30156100</v>
      </c>
      <c r="G193" s="28">
        <f t="shared" si="110"/>
        <v>23189700</v>
      </c>
      <c r="H193" s="28">
        <f t="shared" si="110"/>
        <v>3008700</v>
      </c>
      <c r="I193" s="28">
        <f t="shared" si="110"/>
        <v>0</v>
      </c>
      <c r="J193" s="28">
        <f t="shared" si="110"/>
        <v>480000</v>
      </c>
      <c r="K193" s="28">
        <f t="shared" si="110"/>
        <v>200000</v>
      </c>
      <c r="L193" s="28">
        <f t="shared" si="110"/>
        <v>250000</v>
      </c>
      <c r="M193" s="28">
        <f t="shared" si="110"/>
        <v>12000</v>
      </c>
      <c r="N193" s="28">
        <f t="shared" si="110"/>
        <v>0</v>
      </c>
      <c r="O193" s="28">
        <f t="shared" si="110"/>
        <v>230000</v>
      </c>
      <c r="P193" s="28">
        <f t="shared" si="107"/>
        <v>30636100</v>
      </c>
    </row>
    <row r="194" spans="1:16" s="29" customFormat="1" ht="18">
      <c r="A194" s="25"/>
      <c r="B194" s="25"/>
      <c r="C194" s="26" t="s">
        <v>325</v>
      </c>
      <c r="D194" s="27" t="s">
        <v>326</v>
      </c>
      <c r="E194" s="28">
        <f>E80+E126+E127+E128</f>
        <v>18804800</v>
      </c>
      <c r="F194" s="28">
        <f t="shared" ref="F194:O194" si="111">F80+F126+F127+F128</f>
        <v>18804800</v>
      </c>
      <c r="G194" s="28">
        <f t="shared" si="111"/>
        <v>10625700</v>
      </c>
      <c r="H194" s="28">
        <f t="shared" si="111"/>
        <v>821100</v>
      </c>
      <c r="I194" s="28">
        <f t="shared" si="111"/>
        <v>0</v>
      </c>
      <c r="J194" s="28">
        <f t="shared" si="111"/>
        <v>0</v>
      </c>
      <c r="K194" s="28">
        <f t="shared" si="111"/>
        <v>0</v>
      </c>
      <c r="L194" s="28">
        <f t="shared" si="111"/>
        <v>0</v>
      </c>
      <c r="M194" s="28">
        <f t="shared" si="111"/>
        <v>0</v>
      </c>
      <c r="N194" s="28">
        <f t="shared" si="111"/>
        <v>0</v>
      </c>
      <c r="O194" s="28">
        <f t="shared" si="111"/>
        <v>0</v>
      </c>
      <c r="P194" s="28">
        <f t="shared" si="107"/>
        <v>18804800</v>
      </c>
    </row>
    <row r="195" spans="1:16" s="29" customFormat="1" ht="18">
      <c r="A195" s="25"/>
      <c r="B195" s="25"/>
      <c r="C195" s="26" t="s">
        <v>327</v>
      </c>
      <c r="D195" s="27" t="s">
        <v>328</v>
      </c>
      <c r="E195" s="28">
        <f>E35+E135+E136+E137+E138+E139+E140+E155+E156+E165+E166</f>
        <v>98415969</v>
      </c>
      <c r="F195" s="28">
        <f t="shared" ref="F195:O195" si="112">F35+F135+F136+F137+F138+F139+F140+F155+F156+F165+F166</f>
        <v>33283500</v>
      </c>
      <c r="G195" s="28">
        <f t="shared" si="112"/>
        <v>0</v>
      </c>
      <c r="H195" s="28">
        <f t="shared" si="112"/>
        <v>0</v>
      </c>
      <c r="I195" s="28">
        <f t="shared" si="112"/>
        <v>65132469</v>
      </c>
      <c r="J195" s="28">
        <f t="shared" si="112"/>
        <v>50311536.009999998</v>
      </c>
      <c r="K195" s="28">
        <f t="shared" si="112"/>
        <v>50311536.009999998</v>
      </c>
      <c r="L195" s="28">
        <f t="shared" si="112"/>
        <v>0</v>
      </c>
      <c r="M195" s="28">
        <f t="shared" si="112"/>
        <v>0</v>
      </c>
      <c r="N195" s="28">
        <f t="shared" si="112"/>
        <v>0</v>
      </c>
      <c r="O195" s="28">
        <f t="shared" si="112"/>
        <v>50311536.009999998</v>
      </c>
      <c r="P195" s="28">
        <f t="shared" si="107"/>
        <v>148727505.00999999</v>
      </c>
    </row>
    <row r="196" spans="1:16" s="29" customFormat="1" ht="18">
      <c r="A196" s="25"/>
      <c r="B196" s="25"/>
      <c r="C196" s="26" t="s">
        <v>329</v>
      </c>
      <c r="D196" s="27" t="s">
        <v>330</v>
      </c>
      <c r="E196" s="28">
        <f>E39+E40+E48+E49+E81+E102+E110+E121+E129+E141+E142+E143+E144+E145+E146+E157+E158+E159+E167+E168+E169+E174</f>
        <v>102548840</v>
      </c>
      <c r="F196" s="28">
        <f t="shared" ref="F196:O196" si="113">F39+F40+F48+F49+F81+F102+F110+F121+F129+F141+F142+F143+F144+F145+F146+F157+F158+F159+F167+F168+F169+F174</f>
        <v>34481540</v>
      </c>
      <c r="G196" s="28">
        <f t="shared" si="113"/>
        <v>0</v>
      </c>
      <c r="H196" s="28">
        <f t="shared" si="113"/>
        <v>0</v>
      </c>
      <c r="I196" s="28">
        <f t="shared" si="113"/>
        <v>68067300</v>
      </c>
      <c r="J196" s="28">
        <f t="shared" si="113"/>
        <v>47782289.799999997</v>
      </c>
      <c r="K196" s="28">
        <f t="shared" si="113"/>
        <v>47397915.619999997</v>
      </c>
      <c r="L196" s="28">
        <f t="shared" si="113"/>
        <v>0</v>
      </c>
      <c r="M196" s="28">
        <f t="shared" si="113"/>
        <v>0</v>
      </c>
      <c r="N196" s="28">
        <f t="shared" si="113"/>
        <v>0</v>
      </c>
      <c r="O196" s="28">
        <f t="shared" si="113"/>
        <v>47782289.799999997</v>
      </c>
      <c r="P196" s="28">
        <f>E196+J196</f>
        <v>150331129.80000001</v>
      </c>
    </row>
    <row r="197" spans="1:16" s="30" customFormat="1" ht="18">
      <c r="A197" s="25"/>
      <c r="B197" s="25"/>
      <c r="C197" s="26" t="s">
        <v>331</v>
      </c>
      <c r="D197" s="27" t="s">
        <v>332</v>
      </c>
      <c r="E197" s="28">
        <f>E50+E51+E52+E53+E54+E55+E82+E147+E148+E160+E170+E175</f>
        <v>44874610</v>
      </c>
      <c r="F197" s="28">
        <f t="shared" ref="F197:O197" si="114">F50+F51+F52+F53+F54+F55+F82+F147+F148+F160+F170+F175</f>
        <v>34874610</v>
      </c>
      <c r="G197" s="28">
        <f t="shared" si="114"/>
        <v>23630250</v>
      </c>
      <c r="H197" s="28">
        <f t="shared" si="114"/>
        <v>62500</v>
      </c>
      <c r="I197" s="28">
        <f t="shared" si="114"/>
        <v>0</v>
      </c>
      <c r="J197" s="28">
        <f t="shared" si="114"/>
        <v>16029571</v>
      </c>
      <c r="K197" s="28">
        <f t="shared" si="114"/>
        <v>15129571</v>
      </c>
      <c r="L197" s="28">
        <f t="shared" si="114"/>
        <v>900000</v>
      </c>
      <c r="M197" s="28">
        <f t="shared" si="114"/>
        <v>0</v>
      </c>
      <c r="N197" s="28">
        <f t="shared" si="114"/>
        <v>0</v>
      </c>
      <c r="O197" s="28">
        <f t="shared" si="114"/>
        <v>15129571</v>
      </c>
      <c r="P197" s="28">
        <f t="shared" si="107"/>
        <v>60904181</v>
      </c>
    </row>
    <row r="198" spans="1:16" s="21" customFormat="1" ht="18">
      <c r="A198" s="25"/>
      <c r="B198" s="25"/>
      <c r="C198" s="26" t="s">
        <v>333</v>
      </c>
      <c r="D198" s="27" t="s">
        <v>334</v>
      </c>
      <c r="E198" s="28">
        <f>E176+E177+E181</f>
        <v>166089200</v>
      </c>
      <c r="F198" s="28">
        <f t="shared" ref="F198:O198" si="115">F176+F177+F181</f>
        <v>166089200</v>
      </c>
      <c r="G198" s="28">
        <f t="shared" si="115"/>
        <v>0</v>
      </c>
      <c r="H198" s="28">
        <f t="shared" si="115"/>
        <v>0</v>
      </c>
      <c r="I198" s="28">
        <f t="shared" si="115"/>
        <v>0</v>
      </c>
      <c r="J198" s="28">
        <f t="shared" si="115"/>
        <v>9105000</v>
      </c>
      <c r="K198" s="28">
        <f t="shared" si="115"/>
        <v>9105000</v>
      </c>
      <c r="L198" s="28">
        <f t="shared" si="115"/>
        <v>0</v>
      </c>
      <c r="M198" s="28">
        <f t="shared" si="115"/>
        <v>0</v>
      </c>
      <c r="N198" s="28">
        <f t="shared" si="115"/>
        <v>0</v>
      </c>
      <c r="O198" s="28">
        <f t="shared" si="115"/>
        <v>9105000</v>
      </c>
      <c r="P198" s="28">
        <f>E198+J198</f>
        <v>175194200</v>
      </c>
    </row>
    <row r="199" spans="1:16" s="21" customFormat="1">
      <c r="A199" s="31"/>
      <c r="B199" s="31"/>
      <c r="C199" s="31"/>
      <c r="D199" s="31" t="s">
        <v>17</v>
      </c>
      <c r="E199" s="32">
        <f>SUM(E189:E198)</f>
        <v>1224481620.8699999</v>
      </c>
      <c r="F199" s="32">
        <f>SUM(F189:F198)</f>
        <v>1081281851.8699999</v>
      </c>
      <c r="G199" s="32">
        <f>SUM(G189:G198)</f>
        <v>547510286.87</v>
      </c>
      <c r="H199" s="32">
        <f t="shared" ref="H199:O199" si="116">SUM(H189:H198)</f>
        <v>46768300</v>
      </c>
      <c r="I199" s="32">
        <f t="shared" si="116"/>
        <v>133199769</v>
      </c>
      <c r="J199" s="32">
        <f t="shared" si="116"/>
        <v>243560187.81</v>
      </c>
      <c r="K199" s="32">
        <f>SUM(K189:K198)</f>
        <v>223604713.63</v>
      </c>
      <c r="L199" s="32">
        <f t="shared" si="116"/>
        <v>19216100</v>
      </c>
      <c r="M199" s="32">
        <f t="shared" si="116"/>
        <v>507100</v>
      </c>
      <c r="N199" s="32">
        <f t="shared" si="116"/>
        <v>0</v>
      </c>
      <c r="O199" s="32">
        <f t="shared" si="116"/>
        <v>224344087.81</v>
      </c>
      <c r="P199" s="32">
        <f>E199+J199</f>
        <v>1468041808.6799998</v>
      </c>
    </row>
    <row r="200" spans="1:16"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</row>
    <row r="201" spans="1:16">
      <c r="D201" s="2" t="s">
        <v>280</v>
      </c>
      <c r="J201" s="2" t="s">
        <v>281</v>
      </c>
    </row>
    <row r="202" spans="1:16"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>
      <c r="D204" s="4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</row>
    <row r="205" spans="1:16">
      <c r="D205" s="4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>
      <c r="E206" s="5"/>
      <c r="G206" s="5"/>
      <c r="H206" s="5"/>
      <c r="J206" s="5"/>
      <c r="K206" s="6"/>
      <c r="P206" s="5"/>
    </row>
    <row r="207" spans="1:16">
      <c r="E207" s="6"/>
      <c r="G207" s="5"/>
      <c r="H207" s="5"/>
      <c r="J207" s="6"/>
      <c r="P207" s="6"/>
    </row>
    <row r="208" spans="1:16">
      <c r="D208" s="4"/>
      <c r="E208" s="5"/>
    </row>
  </sheetData>
  <mergeCells count="22">
    <mergeCell ref="A9:P9"/>
    <mergeCell ref="A10:P10"/>
    <mergeCell ref="A13:A16"/>
    <mergeCell ref="B13:B16"/>
    <mergeCell ref="C13:C16"/>
    <mergeCell ref="D13:D16"/>
    <mergeCell ref="E13:I13"/>
    <mergeCell ref="E14:E16"/>
    <mergeCell ref="F14:F16"/>
    <mergeCell ref="G14:H14"/>
    <mergeCell ref="O14:O16"/>
    <mergeCell ref="P13:P16"/>
    <mergeCell ref="G15:G16"/>
    <mergeCell ref="H15:H16"/>
    <mergeCell ref="I14:I16"/>
    <mergeCell ref="J13:O13"/>
    <mergeCell ref="J14:J16"/>
    <mergeCell ref="K14:K16"/>
    <mergeCell ref="L14:L16"/>
    <mergeCell ref="M14:N14"/>
    <mergeCell ref="M15:M16"/>
    <mergeCell ref="N15:N16"/>
  </mergeCells>
  <pageMargins left="0.19685039370078741" right="0.19685039370078741" top="0.59055118110236227" bottom="0.59055118110236227" header="0" footer="0"/>
  <pageSetup paperSize="9" scale="50" fitToHeight="50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220FU5</dc:creator>
  <cp:lastModifiedBy>220FU6</cp:lastModifiedBy>
  <cp:lastPrinted>2025-02-26T08:06:32Z</cp:lastPrinted>
  <dcterms:created xsi:type="dcterms:W3CDTF">2023-12-16T13:37:11Z</dcterms:created>
  <dcterms:modified xsi:type="dcterms:W3CDTF">2025-02-26T15:39:24Z</dcterms:modified>
</cp:coreProperties>
</file>