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'2025'!$A$1:$P$208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1" i="1" l="1"/>
  <c r="F141" i="1"/>
  <c r="O190" i="1" l="1"/>
  <c r="K190" i="1"/>
  <c r="F190" i="1"/>
  <c r="O189" i="1"/>
  <c r="K189" i="1"/>
  <c r="F189" i="1"/>
  <c r="L182" i="1"/>
  <c r="M182" i="1"/>
  <c r="N182" i="1"/>
  <c r="O182" i="1"/>
  <c r="K182" i="1"/>
  <c r="G182" i="1"/>
  <c r="H182" i="1"/>
  <c r="I182" i="1"/>
  <c r="F182" i="1"/>
  <c r="P187" i="1"/>
  <c r="J187" i="1"/>
  <c r="E187" i="1"/>
  <c r="J186" i="1"/>
  <c r="E186" i="1"/>
  <c r="P186" i="1" s="1"/>
  <c r="E180" i="1"/>
  <c r="F164" i="1"/>
  <c r="F58" i="1"/>
  <c r="L134" i="1"/>
  <c r="M134" i="1"/>
  <c r="N134" i="1"/>
  <c r="O134" i="1"/>
  <c r="K134" i="1"/>
  <c r="G134" i="1"/>
  <c r="H134" i="1"/>
  <c r="I134" i="1"/>
  <c r="F134" i="1"/>
  <c r="F204" i="1"/>
  <c r="G204" i="1"/>
  <c r="H204" i="1"/>
  <c r="I204" i="1"/>
  <c r="K204" i="1"/>
  <c r="L204" i="1"/>
  <c r="M204" i="1"/>
  <c r="N204" i="1"/>
  <c r="O204" i="1"/>
  <c r="O158" i="1"/>
  <c r="K158" i="1"/>
  <c r="K197" i="1"/>
  <c r="F157" i="1"/>
  <c r="J152" i="1"/>
  <c r="J153" i="1"/>
  <c r="E152" i="1"/>
  <c r="P152" i="1" s="1"/>
  <c r="E153" i="1"/>
  <c r="P153" i="1" s="1"/>
  <c r="F150" i="1"/>
  <c r="O147" i="1"/>
  <c r="K147" i="1"/>
  <c r="K141" i="1"/>
  <c r="F201" i="1"/>
  <c r="G201" i="1"/>
  <c r="H201" i="1"/>
  <c r="I201" i="1"/>
  <c r="K201" i="1"/>
  <c r="L201" i="1"/>
  <c r="M201" i="1"/>
  <c r="N201" i="1"/>
  <c r="O201" i="1"/>
  <c r="F131" i="1"/>
  <c r="E130" i="1"/>
  <c r="P130" i="1" s="1"/>
  <c r="O120" i="1"/>
  <c r="K120" i="1"/>
  <c r="F120" i="1"/>
  <c r="F119" i="1"/>
  <c r="O84" i="1"/>
  <c r="K84" i="1"/>
  <c r="F197" i="1"/>
  <c r="G197" i="1"/>
  <c r="H197" i="1"/>
  <c r="I197" i="1"/>
  <c r="L197" i="1"/>
  <c r="M197" i="1"/>
  <c r="N197" i="1"/>
  <c r="O197" i="1"/>
  <c r="J77" i="1"/>
  <c r="E77" i="1"/>
  <c r="P77" i="1" s="1"/>
  <c r="O61" i="1"/>
  <c r="K61" i="1"/>
  <c r="G60" i="1"/>
  <c r="F60" i="1"/>
  <c r="F51" i="1"/>
  <c r="F19" i="1" s="1"/>
  <c r="F203" i="1"/>
  <c r="G203" i="1"/>
  <c r="H203" i="1"/>
  <c r="I203" i="1"/>
  <c r="K203" i="1"/>
  <c r="L203" i="1"/>
  <c r="M203" i="1"/>
  <c r="N203" i="1"/>
  <c r="O203" i="1"/>
  <c r="L19" i="1"/>
  <c r="M19" i="1"/>
  <c r="N19" i="1"/>
  <c r="O19" i="1"/>
  <c r="K19" i="1"/>
  <c r="G19" i="1"/>
  <c r="H19" i="1"/>
  <c r="I19" i="1"/>
  <c r="O39" i="1"/>
  <c r="K39" i="1"/>
  <c r="J40" i="1"/>
  <c r="E40" i="1"/>
  <c r="F36" i="1"/>
  <c r="F33" i="1"/>
  <c r="F27" i="1"/>
  <c r="O27" i="1"/>
  <c r="K27" i="1"/>
  <c r="F26" i="1"/>
  <c r="F21" i="1"/>
  <c r="F22" i="1"/>
  <c r="P40" i="1" l="1"/>
  <c r="F61" i="1"/>
  <c r="F122" i="1"/>
  <c r="F129" i="1" l="1"/>
  <c r="F128" i="1"/>
  <c r="F94" i="1"/>
  <c r="F54" i="1"/>
  <c r="O138" i="1" l="1"/>
  <c r="K138" i="1"/>
  <c r="L124" i="1" l="1"/>
  <c r="M124" i="1"/>
  <c r="N124" i="1"/>
  <c r="O124" i="1"/>
  <c r="K124" i="1"/>
  <c r="G202" i="1"/>
  <c r="H202" i="1"/>
  <c r="I202" i="1"/>
  <c r="K202" i="1"/>
  <c r="L202" i="1"/>
  <c r="M202" i="1"/>
  <c r="N202" i="1"/>
  <c r="O202" i="1"/>
  <c r="O188" i="1"/>
  <c r="K188" i="1"/>
  <c r="K177" i="1" s="1"/>
  <c r="F188" i="1"/>
  <c r="E188" i="1" s="1"/>
  <c r="E193" i="1"/>
  <c r="P193" i="1" s="1"/>
  <c r="J192" i="1"/>
  <c r="P192" i="1" s="1"/>
  <c r="J193" i="1"/>
  <c r="E192" i="1"/>
  <c r="J191" i="1"/>
  <c r="P191" i="1" s="1"/>
  <c r="E191" i="1"/>
  <c r="F183" i="1"/>
  <c r="F173" i="1"/>
  <c r="G196" i="1"/>
  <c r="H196" i="1"/>
  <c r="I196" i="1"/>
  <c r="K196" i="1"/>
  <c r="L196" i="1"/>
  <c r="M196" i="1"/>
  <c r="N196" i="1"/>
  <c r="O196" i="1"/>
  <c r="L155" i="1"/>
  <c r="M155" i="1"/>
  <c r="N155" i="1"/>
  <c r="O155" i="1"/>
  <c r="K155" i="1"/>
  <c r="G155" i="1"/>
  <c r="H155" i="1"/>
  <c r="I155" i="1"/>
  <c r="F155" i="1"/>
  <c r="J160" i="1" l="1"/>
  <c r="E160" i="1"/>
  <c r="J156" i="1"/>
  <c r="E156" i="1"/>
  <c r="O151" i="1"/>
  <c r="K151" i="1"/>
  <c r="I149" i="1"/>
  <c r="O142" i="1"/>
  <c r="K142" i="1"/>
  <c r="J142" i="1"/>
  <c r="E142" i="1"/>
  <c r="O141" i="1"/>
  <c r="P156" i="1" l="1"/>
  <c r="P160" i="1"/>
  <c r="P142" i="1"/>
  <c r="F127" i="1" l="1"/>
  <c r="F118" i="1"/>
  <c r="F116" i="1"/>
  <c r="F199" i="1"/>
  <c r="G199" i="1"/>
  <c r="H199" i="1"/>
  <c r="I199" i="1"/>
  <c r="K199" i="1"/>
  <c r="L199" i="1"/>
  <c r="M199" i="1"/>
  <c r="N199" i="1"/>
  <c r="O199" i="1"/>
  <c r="F86" i="1"/>
  <c r="F103" i="1"/>
  <c r="J101" i="1"/>
  <c r="E101" i="1"/>
  <c r="F96" i="1"/>
  <c r="F82" i="1"/>
  <c r="F73" i="1"/>
  <c r="F71" i="1"/>
  <c r="F68" i="1"/>
  <c r="F62" i="1"/>
  <c r="O60" i="1"/>
  <c r="K60" i="1"/>
  <c r="O55" i="1"/>
  <c r="K55" i="1"/>
  <c r="G52" i="1"/>
  <c r="F52" i="1"/>
  <c r="F48" i="1"/>
  <c r="J42" i="1"/>
  <c r="O29" i="1"/>
  <c r="K29" i="1"/>
  <c r="P101" i="1" l="1"/>
  <c r="J47" i="1"/>
  <c r="F29" i="1" l="1"/>
  <c r="E190" i="1" l="1"/>
  <c r="E189" i="1"/>
  <c r="J151" i="1" l="1"/>
  <c r="E151" i="1"/>
  <c r="P151" i="1" l="1"/>
  <c r="O161" i="1"/>
  <c r="K161" i="1"/>
  <c r="J189" i="1" l="1"/>
  <c r="P189" i="1" s="1"/>
  <c r="J190" i="1"/>
  <c r="P190" i="1" s="1"/>
  <c r="G198" i="1"/>
  <c r="H198" i="1"/>
  <c r="I198" i="1"/>
  <c r="K198" i="1"/>
  <c r="L198" i="1"/>
  <c r="M198" i="1"/>
  <c r="N198" i="1"/>
  <c r="O198" i="1"/>
  <c r="N177" i="1"/>
  <c r="L188" i="1"/>
  <c r="M188" i="1"/>
  <c r="M177" i="1" s="1"/>
  <c r="N188" i="1"/>
  <c r="N205" i="1" s="1"/>
  <c r="O177" i="1"/>
  <c r="K205" i="1"/>
  <c r="G188" i="1"/>
  <c r="G205" i="1" s="1"/>
  <c r="H188" i="1"/>
  <c r="H205" i="1" s="1"/>
  <c r="I188" i="1"/>
  <c r="F185" i="1"/>
  <c r="F169" i="1"/>
  <c r="N154" i="1"/>
  <c r="L154" i="1"/>
  <c r="M154" i="1"/>
  <c r="O165" i="1"/>
  <c r="J165" i="1" s="1"/>
  <c r="K165" i="1"/>
  <c r="J161" i="1"/>
  <c r="J158" i="1"/>
  <c r="P158" i="1" s="1"/>
  <c r="E165" i="1"/>
  <c r="J159" i="1"/>
  <c r="J162" i="1"/>
  <c r="J163" i="1"/>
  <c r="J164" i="1"/>
  <c r="E158" i="1"/>
  <c r="E159" i="1"/>
  <c r="E161" i="1"/>
  <c r="E162" i="1"/>
  <c r="E163" i="1"/>
  <c r="J148" i="1"/>
  <c r="E148" i="1"/>
  <c r="J147" i="1"/>
  <c r="E147" i="1"/>
  <c r="J144" i="1"/>
  <c r="E144" i="1"/>
  <c r="J143" i="1"/>
  <c r="E143" i="1"/>
  <c r="J138" i="1"/>
  <c r="E138" i="1"/>
  <c r="L58" i="1"/>
  <c r="M58" i="1"/>
  <c r="N58" i="1"/>
  <c r="O58" i="1"/>
  <c r="I58" i="1"/>
  <c r="G66" i="1"/>
  <c r="F66" i="1"/>
  <c r="E66" i="1" s="1"/>
  <c r="P66" i="1" s="1"/>
  <c r="G65" i="1"/>
  <c r="F65" i="1"/>
  <c r="E65" i="1" s="1"/>
  <c r="P65" i="1" s="1"/>
  <c r="P64" i="1"/>
  <c r="G93" i="1"/>
  <c r="F93" i="1"/>
  <c r="E82" i="1"/>
  <c r="J74" i="1"/>
  <c r="J75" i="1"/>
  <c r="J76" i="1"/>
  <c r="J78" i="1"/>
  <c r="J79" i="1"/>
  <c r="E74" i="1"/>
  <c r="E75" i="1"/>
  <c r="E76" i="1"/>
  <c r="E78" i="1"/>
  <c r="E79" i="1"/>
  <c r="E80" i="1"/>
  <c r="E81" i="1"/>
  <c r="E72" i="1"/>
  <c r="P72" i="1" s="1"/>
  <c r="F70" i="1"/>
  <c r="J55" i="1"/>
  <c r="E55" i="1"/>
  <c r="O49" i="1"/>
  <c r="K49" i="1"/>
  <c r="L41" i="1"/>
  <c r="M41" i="1"/>
  <c r="N41" i="1"/>
  <c r="O41" i="1"/>
  <c r="K41" i="1"/>
  <c r="F41" i="1"/>
  <c r="P47" i="1"/>
  <c r="F63" i="1" l="1"/>
  <c r="J188" i="1"/>
  <c r="P188" i="1" s="1"/>
  <c r="I177" i="1"/>
  <c r="L205" i="1"/>
  <c r="K154" i="1"/>
  <c r="G63" i="1"/>
  <c r="L177" i="1"/>
  <c r="H177" i="1"/>
  <c r="O205" i="1"/>
  <c r="M205" i="1"/>
  <c r="O154" i="1"/>
  <c r="K58" i="1"/>
  <c r="I205" i="1"/>
  <c r="P162" i="1"/>
  <c r="P161" i="1"/>
  <c r="P159" i="1"/>
  <c r="P163" i="1"/>
  <c r="P165" i="1"/>
  <c r="P138" i="1"/>
  <c r="P148" i="1"/>
  <c r="P74" i="1"/>
  <c r="P75" i="1"/>
  <c r="P79" i="1"/>
  <c r="P147" i="1"/>
  <c r="P144" i="1"/>
  <c r="P143" i="1"/>
  <c r="P76" i="1"/>
  <c r="P78" i="1"/>
  <c r="P55" i="1"/>
  <c r="H21" i="1" l="1"/>
  <c r="J45" i="1" l="1"/>
  <c r="J46" i="1"/>
  <c r="J48" i="1"/>
  <c r="J49" i="1"/>
  <c r="E49" i="1"/>
  <c r="P49" i="1" l="1"/>
  <c r="G178" i="1"/>
  <c r="G177" i="1" s="1"/>
  <c r="I200" i="1" l="1"/>
  <c r="K200" i="1"/>
  <c r="N200" i="1"/>
  <c r="O200" i="1"/>
  <c r="M116" i="1" l="1"/>
  <c r="J84" i="1" l="1"/>
  <c r="F31" i="1" l="1"/>
  <c r="L167" i="1" l="1"/>
  <c r="M167" i="1"/>
  <c r="N167" i="1"/>
  <c r="O167" i="1"/>
  <c r="K167" i="1"/>
  <c r="H167" i="1"/>
  <c r="I167" i="1"/>
  <c r="F167" i="1"/>
  <c r="J171" i="1"/>
  <c r="E171" i="1"/>
  <c r="P171" i="1" s="1"/>
  <c r="E178" i="1" l="1"/>
  <c r="H116" i="1" l="1"/>
  <c r="H93" i="1" l="1"/>
  <c r="F53" i="1" l="1"/>
  <c r="F104" i="1" l="1"/>
  <c r="E107" i="1"/>
  <c r="P107" i="1" s="1"/>
  <c r="E106" i="1"/>
  <c r="P106" i="1" s="1"/>
  <c r="E105" i="1"/>
  <c r="P105" i="1" s="1"/>
  <c r="H61" i="1"/>
  <c r="G61" i="1"/>
  <c r="G41" i="1"/>
  <c r="H41" i="1"/>
  <c r="I41" i="1"/>
  <c r="F30" i="1"/>
  <c r="F198" i="1" s="1"/>
  <c r="E31" i="1"/>
  <c r="E32" i="1"/>
  <c r="P32" i="1" s="1"/>
  <c r="E33" i="1"/>
  <c r="E48" i="1"/>
  <c r="P48" i="1" s="1"/>
  <c r="E46" i="1"/>
  <c r="P46" i="1" s="1"/>
  <c r="P33" i="1" l="1"/>
  <c r="P31" i="1"/>
  <c r="E45" i="1"/>
  <c r="P45" i="1" s="1"/>
  <c r="E44" i="1"/>
  <c r="P44" i="1" s="1"/>
  <c r="E43" i="1"/>
  <c r="P43" i="1" s="1"/>
  <c r="E42" i="1"/>
  <c r="P42" i="1" s="1"/>
  <c r="M120" i="1" l="1"/>
  <c r="M200" i="1" s="1"/>
  <c r="L176" i="1"/>
  <c r="M176" i="1"/>
  <c r="N176" i="1"/>
  <c r="O176" i="1"/>
  <c r="K176" i="1"/>
  <c r="J183" i="1"/>
  <c r="J184" i="1"/>
  <c r="J185" i="1"/>
  <c r="H176" i="1"/>
  <c r="I176" i="1"/>
  <c r="E184" i="1"/>
  <c r="E183" i="1"/>
  <c r="E185" i="1"/>
  <c r="P185" i="1" l="1"/>
  <c r="P184" i="1"/>
  <c r="P183" i="1"/>
  <c r="F177" i="1" l="1"/>
  <c r="E177" i="1" s="1"/>
  <c r="E176" i="1" s="1"/>
  <c r="F205" i="1"/>
  <c r="E182" i="1"/>
  <c r="J181" i="1"/>
  <c r="E181" i="1"/>
  <c r="E205" i="1" s="1"/>
  <c r="J179" i="1"/>
  <c r="E179" i="1"/>
  <c r="J173" i="1"/>
  <c r="E173" i="1"/>
  <c r="G168" i="1"/>
  <c r="G167" i="1" s="1"/>
  <c r="E164" i="1"/>
  <c r="P164" i="1" s="1"/>
  <c r="G157" i="1"/>
  <c r="J146" i="1"/>
  <c r="E146" i="1"/>
  <c r="H135" i="1"/>
  <c r="G135" i="1"/>
  <c r="L125" i="1"/>
  <c r="M125" i="1"/>
  <c r="N125" i="1"/>
  <c r="O125" i="1"/>
  <c r="K125" i="1"/>
  <c r="I125" i="1"/>
  <c r="J132" i="1"/>
  <c r="E132" i="1"/>
  <c r="H127" i="1"/>
  <c r="G127" i="1"/>
  <c r="G126" i="1"/>
  <c r="N114" i="1"/>
  <c r="O114" i="1"/>
  <c r="K114" i="1"/>
  <c r="I114" i="1"/>
  <c r="J123" i="1"/>
  <c r="E123" i="1"/>
  <c r="H121" i="1"/>
  <c r="G121" i="1"/>
  <c r="H120" i="1"/>
  <c r="G120" i="1"/>
  <c r="H119" i="1"/>
  <c r="G119" i="1"/>
  <c r="H118" i="1"/>
  <c r="G118" i="1"/>
  <c r="G116" i="1"/>
  <c r="G115" i="1"/>
  <c r="L109" i="1"/>
  <c r="M109" i="1"/>
  <c r="N109" i="1"/>
  <c r="O109" i="1"/>
  <c r="K109" i="1"/>
  <c r="H109" i="1"/>
  <c r="H108" i="1" s="1"/>
  <c r="I109" i="1"/>
  <c r="I108" i="1" s="1"/>
  <c r="F109" i="1"/>
  <c r="F108" i="1" s="1"/>
  <c r="J112" i="1"/>
  <c r="E112" i="1"/>
  <c r="G110" i="1"/>
  <c r="G109" i="1" s="1"/>
  <c r="G108" i="1" s="1"/>
  <c r="L86" i="1"/>
  <c r="M86" i="1"/>
  <c r="N86" i="1"/>
  <c r="O86" i="1"/>
  <c r="K86" i="1"/>
  <c r="I86" i="1"/>
  <c r="J104" i="1"/>
  <c r="E104" i="1"/>
  <c r="J96" i="1"/>
  <c r="E96" i="1"/>
  <c r="G94" i="1"/>
  <c r="H94" i="1"/>
  <c r="H87" i="1"/>
  <c r="G87" i="1"/>
  <c r="H200" i="1" l="1"/>
  <c r="G200" i="1"/>
  <c r="F200" i="1"/>
  <c r="F125" i="1"/>
  <c r="H125" i="1"/>
  <c r="F176" i="1"/>
  <c r="P181" i="1"/>
  <c r="P179" i="1"/>
  <c r="P173" i="1"/>
  <c r="P123" i="1"/>
  <c r="G125" i="1"/>
  <c r="P146" i="1"/>
  <c r="G114" i="1"/>
  <c r="H114" i="1"/>
  <c r="P112" i="1"/>
  <c r="P132" i="1"/>
  <c r="F114" i="1"/>
  <c r="P104" i="1"/>
  <c r="H86" i="1"/>
  <c r="G86" i="1"/>
  <c r="P96" i="1"/>
  <c r="G176" i="1" l="1"/>
  <c r="E84" i="1"/>
  <c r="P84" i="1" s="1"/>
  <c r="J83" i="1"/>
  <c r="E83" i="1"/>
  <c r="H82" i="1"/>
  <c r="G82" i="1"/>
  <c r="H71" i="1"/>
  <c r="G71" i="1"/>
  <c r="H70" i="1"/>
  <c r="G70" i="1"/>
  <c r="H73" i="1"/>
  <c r="G73" i="1"/>
  <c r="H68" i="1"/>
  <c r="G68" i="1"/>
  <c r="H62" i="1"/>
  <c r="G62" i="1"/>
  <c r="H60" i="1"/>
  <c r="H59" i="1"/>
  <c r="G59" i="1"/>
  <c r="H52" i="1"/>
  <c r="E51" i="1"/>
  <c r="J41" i="1"/>
  <c r="E41" i="1"/>
  <c r="J39" i="1"/>
  <c r="E39" i="1"/>
  <c r="H24" i="1"/>
  <c r="G24" i="1"/>
  <c r="H23" i="1"/>
  <c r="G23" i="1"/>
  <c r="H22" i="1"/>
  <c r="G22" i="1"/>
  <c r="G21" i="1"/>
  <c r="G58" i="1" l="1"/>
  <c r="H58" i="1"/>
  <c r="P51" i="1"/>
  <c r="P83" i="1"/>
  <c r="P41" i="1"/>
  <c r="P39" i="1"/>
  <c r="L35" i="1"/>
  <c r="M35" i="1"/>
  <c r="N35" i="1"/>
  <c r="O35" i="1"/>
  <c r="K35" i="1"/>
  <c r="G35" i="1"/>
  <c r="H35" i="1"/>
  <c r="I35" i="1"/>
  <c r="F35" i="1"/>
  <c r="F202" i="1" s="1"/>
  <c r="J36" i="1"/>
  <c r="J37" i="1"/>
  <c r="J38" i="1"/>
  <c r="E37" i="1"/>
  <c r="E38" i="1"/>
  <c r="E36" i="1"/>
  <c r="P36" i="1" l="1"/>
  <c r="P38" i="1"/>
  <c r="P37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F196" i="1" l="1"/>
  <c r="J19" i="1"/>
  <c r="N206" i="1"/>
  <c r="K206" i="1"/>
  <c r="M206" i="1"/>
  <c r="O206" i="1"/>
  <c r="P24" i="1"/>
  <c r="P21" i="1"/>
  <c r="P23" i="1"/>
  <c r="P22" i="1"/>
  <c r="L108" i="1"/>
  <c r="M108" i="1"/>
  <c r="N108" i="1"/>
  <c r="O108" i="1"/>
  <c r="K108" i="1"/>
  <c r="L85" i="1"/>
  <c r="M85" i="1"/>
  <c r="N85" i="1"/>
  <c r="O85" i="1"/>
  <c r="K85" i="1"/>
  <c r="L57" i="1"/>
  <c r="M57" i="1"/>
  <c r="N57" i="1"/>
  <c r="O57" i="1"/>
  <c r="K57" i="1"/>
  <c r="G166" i="1"/>
  <c r="H166" i="1"/>
  <c r="I166" i="1"/>
  <c r="F166" i="1"/>
  <c r="G154" i="1"/>
  <c r="H154" i="1"/>
  <c r="I154" i="1"/>
  <c r="F154" i="1"/>
  <c r="G133" i="1"/>
  <c r="H133" i="1"/>
  <c r="I133" i="1"/>
  <c r="F133" i="1"/>
  <c r="G124" i="1"/>
  <c r="H124" i="1"/>
  <c r="I124" i="1"/>
  <c r="I206" i="1" s="1"/>
  <c r="F124" i="1"/>
  <c r="G113" i="1"/>
  <c r="H113" i="1"/>
  <c r="I113" i="1"/>
  <c r="F113" i="1"/>
  <c r="F206" i="1" l="1"/>
  <c r="H206" i="1"/>
  <c r="G206" i="1"/>
  <c r="M114" i="1"/>
  <c r="L118" i="1"/>
  <c r="N113" i="1"/>
  <c r="O113" i="1"/>
  <c r="K113" i="1"/>
  <c r="L133" i="1"/>
  <c r="M133" i="1"/>
  <c r="N133" i="1"/>
  <c r="O133" i="1"/>
  <c r="K133" i="1"/>
  <c r="J56" i="1"/>
  <c r="E56" i="1"/>
  <c r="L114" i="1" l="1"/>
  <c r="L113" i="1" s="1"/>
  <c r="L200" i="1"/>
  <c r="L206" i="1" s="1"/>
  <c r="M113" i="1"/>
  <c r="P56" i="1"/>
  <c r="J109" i="1" l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1" i="1"/>
  <c r="J133" i="1"/>
  <c r="J134" i="1"/>
  <c r="J135" i="1"/>
  <c r="J136" i="1"/>
  <c r="J137" i="1"/>
  <c r="J139" i="1"/>
  <c r="J140" i="1"/>
  <c r="J141" i="1"/>
  <c r="J145" i="1"/>
  <c r="J149" i="1"/>
  <c r="J150" i="1"/>
  <c r="J154" i="1"/>
  <c r="J155" i="1"/>
  <c r="J157" i="1"/>
  <c r="J166" i="1"/>
  <c r="J167" i="1"/>
  <c r="J168" i="1"/>
  <c r="J169" i="1"/>
  <c r="J170" i="1"/>
  <c r="J172" i="1"/>
  <c r="J174" i="1"/>
  <c r="J175" i="1"/>
  <c r="J176" i="1"/>
  <c r="J177" i="1"/>
  <c r="J178" i="1"/>
  <c r="J180" i="1"/>
  <c r="J182" i="1"/>
  <c r="J205" i="1" s="1"/>
  <c r="P205" i="1" s="1"/>
  <c r="J88" i="1"/>
  <c r="J89" i="1"/>
  <c r="J90" i="1"/>
  <c r="J91" i="1"/>
  <c r="J92" i="1"/>
  <c r="J93" i="1"/>
  <c r="J94" i="1"/>
  <c r="J95" i="1"/>
  <c r="J97" i="1"/>
  <c r="J98" i="1"/>
  <c r="J99" i="1"/>
  <c r="J100" i="1"/>
  <c r="J102" i="1"/>
  <c r="J103" i="1"/>
  <c r="J87" i="1"/>
  <c r="G85" i="1"/>
  <c r="H85" i="1"/>
  <c r="I85" i="1"/>
  <c r="J60" i="1"/>
  <c r="J61" i="1"/>
  <c r="J62" i="1"/>
  <c r="J63" i="1"/>
  <c r="J67" i="1"/>
  <c r="J68" i="1"/>
  <c r="J69" i="1"/>
  <c r="J70" i="1"/>
  <c r="J71" i="1"/>
  <c r="J73" i="1"/>
  <c r="J80" i="1"/>
  <c r="J81" i="1"/>
  <c r="J82" i="1"/>
  <c r="J201" i="1" s="1"/>
  <c r="J59" i="1"/>
  <c r="G57" i="1"/>
  <c r="H57" i="1"/>
  <c r="I57" i="1"/>
  <c r="J25" i="1"/>
  <c r="J26" i="1"/>
  <c r="J27" i="1"/>
  <c r="J28" i="1"/>
  <c r="J29" i="1"/>
  <c r="J30" i="1"/>
  <c r="J34" i="1"/>
  <c r="J35" i="1"/>
  <c r="J50" i="1"/>
  <c r="J52" i="1"/>
  <c r="J53" i="1"/>
  <c r="J54" i="1"/>
  <c r="J20" i="1"/>
  <c r="L18" i="1"/>
  <c r="M18" i="1"/>
  <c r="N18" i="1"/>
  <c r="O18" i="1"/>
  <c r="K18" i="1"/>
  <c r="G18" i="1"/>
  <c r="H18" i="1"/>
  <c r="I18" i="1"/>
  <c r="F18" i="1"/>
  <c r="E169" i="1"/>
  <c r="E170" i="1"/>
  <c r="E172" i="1"/>
  <c r="E174" i="1"/>
  <c r="E175" i="1"/>
  <c r="E136" i="1"/>
  <c r="E137" i="1"/>
  <c r="E139" i="1"/>
  <c r="E140" i="1"/>
  <c r="E141" i="1"/>
  <c r="E145" i="1"/>
  <c r="E149" i="1"/>
  <c r="E150" i="1"/>
  <c r="E127" i="1"/>
  <c r="E128" i="1"/>
  <c r="E129" i="1"/>
  <c r="E131" i="1"/>
  <c r="E116" i="1"/>
  <c r="E117" i="1"/>
  <c r="E118" i="1"/>
  <c r="E119" i="1"/>
  <c r="E120" i="1"/>
  <c r="E121" i="1"/>
  <c r="E122" i="1"/>
  <c r="E111" i="1"/>
  <c r="E88" i="1"/>
  <c r="E89" i="1"/>
  <c r="E90" i="1"/>
  <c r="E91" i="1"/>
  <c r="E92" i="1"/>
  <c r="E93" i="1"/>
  <c r="E94" i="1"/>
  <c r="E95" i="1"/>
  <c r="E97" i="1"/>
  <c r="E98" i="1"/>
  <c r="E99" i="1"/>
  <c r="E100" i="1"/>
  <c r="E102" i="1"/>
  <c r="E103" i="1"/>
  <c r="E60" i="1"/>
  <c r="E61" i="1"/>
  <c r="E62" i="1"/>
  <c r="E63" i="1"/>
  <c r="E67" i="1"/>
  <c r="E68" i="1"/>
  <c r="E69" i="1"/>
  <c r="E70" i="1"/>
  <c r="E71" i="1"/>
  <c r="E73" i="1"/>
  <c r="E168" i="1"/>
  <c r="E167" i="1"/>
  <c r="E166" i="1"/>
  <c r="E157" i="1"/>
  <c r="E155" i="1"/>
  <c r="E154" i="1"/>
  <c r="E135" i="1"/>
  <c r="E134" i="1"/>
  <c r="E133" i="1"/>
  <c r="E126" i="1"/>
  <c r="E125" i="1"/>
  <c r="E124" i="1"/>
  <c r="E115" i="1"/>
  <c r="E114" i="1"/>
  <c r="E113" i="1"/>
  <c r="E110" i="1"/>
  <c r="E109" i="1"/>
  <c r="E108" i="1"/>
  <c r="E87" i="1"/>
  <c r="E59" i="1"/>
  <c r="E25" i="1"/>
  <c r="E26" i="1"/>
  <c r="E27" i="1"/>
  <c r="E28" i="1"/>
  <c r="E29" i="1"/>
  <c r="E30" i="1"/>
  <c r="E34" i="1"/>
  <c r="E35" i="1"/>
  <c r="E50" i="1"/>
  <c r="E52" i="1"/>
  <c r="E53" i="1"/>
  <c r="E54" i="1"/>
  <c r="E20" i="1"/>
  <c r="E19" i="1"/>
  <c r="J204" i="1" l="1"/>
  <c r="E204" i="1"/>
  <c r="E203" i="1"/>
  <c r="E201" i="1"/>
  <c r="J202" i="1"/>
  <c r="J197" i="1"/>
  <c r="E198" i="1"/>
  <c r="E197" i="1"/>
  <c r="J203" i="1"/>
  <c r="E202" i="1"/>
  <c r="E196" i="1"/>
  <c r="J196" i="1"/>
  <c r="E199" i="1"/>
  <c r="J199" i="1"/>
  <c r="J198" i="1"/>
  <c r="E200" i="1"/>
  <c r="J200" i="1"/>
  <c r="K194" i="1"/>
  <c r="O194" i="1"/>
  <c r="N194" i="1"/>
  <c r="M194" i="1"/>
  <c r="L194" i="1"/>
  <c r="G194" i="1"/>
  <c r="H194" i="1"/>
  <c r="I194" i="1"/>
  <c r="P134" i="1"/>
  <c r="E86" i="1"/>
  <c r="F85" i="1"/>
  <c r="E85" i="1" s="1"/>
  <c r="E58" i="1"/>
  <c r="F57" i="1"/>
  <c r="J108" i="1"/>
  <c r="P108" i="1" s="1"/>
  <c r="J57" i="1"/>
  <c r="P19" i="1"/>
  <c r="J85" i="1"/>
  <c r="J86" i="1"/>
  <c r="J58" i="1"/>
  <c r="J18" i="1"/>
  <c r="E18" i="1"/>
  <c r="P182" i="1"/>
  <c r="P180" i="1"/>
  <c r="P178" i="1"/>
  <c r="P177" i="1"/>
  <c r="P176" i="1"/>
  <c r="P175" i="1"/>
  <c r="P174" i="1"/>
  <c r="P172" i="1"/>
  <c r="P170" i="1"/>
  <c r="P169" i="1"/>
  <c r="P168" i="1"/>
  <c r="P167" i="1"/>
  <c r="P166" i="1"/>
  <c r="P157" i="1"/>
  <c r="P155" i="1"/>
  <c r="P154" i="1"/>
  <c r="P150" i="1"/>
  <c r="P149" i="1"/>
  <c r="P145" i="1"/>
  <c r="P141" i="1"/>
  <c r="P140" i="1"/>
  <c r="P139" i="1"/>
  <c r="P137" i="1"/>
  <c r="P136" i="1"/>
  <c r="P135" i="1"/>
  <c r="P133" i="1"/>
  <c r="P131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1" i="1"/>
  <c r="P110" i="1"/>
  <c r="P109" i="1"/>
  <c r="P103" i="1"/>
  <c r="P102" i="1"/>
  <c r="P100" i="1"/>
  <c r="P99" i="1"/>
  <c r="P98" i="1"/>
  <c r="P97" i="1"/>
  <c r="P95" i="1"/>
  <c r="P94" i="1"/>
  <c r="P93" i="1"/>
  <c r="P92" i="1"/>
  <c r="P91" i="1"/>
  <c r="P90" i="1"/>
  <c r="P89" i="1"/>
  <c r="P88" i="1"/>
  <c r="P87" i="1"/>
  <c r="P82" i="1"/>
  <c r="P81" i="1"/>
  <c r="P80" i="1"/>
  <c r="P73" i="1"/>
  <c r="P71" i="1"/>
  <c r="P70" i="1"/>
  <c r="P69" i="1"/>
  <c r="P68" i="1"/>
  <c r="P67" i="1"/>
  <c r="P63" i="1"/>
  <c r="P62" i="1"/>
  <c r="P61" i="1"/>
  <c r="P60" i="1"/>
  <c r="P59" i="1"/>
  <c r="P54" i="1"/>
  <c r="P53" i="1"/>
  <c r="P52" i="1"/>
  <c r="P50" i="1"/>
  <c r="P35" i="1"/>
  <c r="P34" i="1"/>
  <c r="P30" i="1"/>
  <c r="P29" i="1"/>
  <c r="P28" i="1"/>
  <c r="P27" i="1"/>
  <c r="P26" i="1"/>
  <c r="P25" i="1"/>
  <c r="P20" i="1"/>
  <c r="P201" i="1" l="1"/>
  <c r="P200" i="1"/>
  <c r="P198" i="1"/>
  <c r="J206" i="1"/>
  <c r="P204" i="1"/>
  <c r="P202" i="1"/>
  <c r="P58" i="1"/>
  <c r="E206" i="1"/>
  <c r="P197" i="1"/>
  <c r="E57" i="1"/>
  <c r="E194" i="1" s="1"/>
  <c r="P196" i="1"/>
  <c r="P203" i="1"/>
  <c r="P86" i="1"/>
  <c r="F194" i="1"/>
  <c r="P85" i="1"/>
  <c r="P18" i="1"/>
  <c r="J194" i="1"/>
  <c r="P206" i="1" l="1"/>
  <c r="P57" i="1"/>
  <c r="P199" i="1"/>
  <c r="P194" i="1"/>
</calcChain>
</file>

<file path=xl/sharedStrings.xml><?xml version="1.0" encoding="utf-8"?>
<sst xmlns="http://schemas.openxmlformats.org/spreadsheetml/2006/main" count="631" uniqueCount="409">
  <si>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</si>
  <si>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</si>
  <si>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</si>
  <si>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</si>
  <si>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</si>
  <si>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</si>
  <si>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</si>
  <si>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</si>
  <si>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</si>
  <si>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</si>
  <si>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</si>
  <si>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</si>
  <si>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</si>
  <si>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</si>
  <si>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</si>
  <si>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</si>
  <si>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</si>
  <si>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</si>
  <si>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</si>
  <si>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</si>
  <si>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</si>
  <si>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</si>
  <si>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</si>
  <si>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</si>
  <si>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</si>
  <si>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</si>
  <si>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</si>
  <si>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</si>
  <si>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</si>
  <si>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</si>
  <si>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</si>
  <si>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</si>
  <si>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</si>
  <si>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</si>
  <si>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</si>
  <si>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</si>
  <si>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</si>
  <si>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</si>
  <si>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</si>
  <si>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</si>
  <si>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</si>
  <si>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</si>
  <si>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</si>
  <si>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</si>
  <si>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</si>
  <si>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</si>
  <si>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</si>
  <si>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</si>
  <si>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</si>
  <si>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</si>
  <si>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</si>
  <si>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</si>
  <si>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</si>
  <si>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</si>
  <si>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</si>
  <si>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</si>
  <si>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</si>
  <si>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</si>
  <si>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</si>
  <si>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</si>
  <si>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</si>
  <si>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</si>
  <si>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</si>
  <si>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</si>
  <si>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</si>
  <si>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</si>
  <si>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</si>
  <si>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</si>
  <si>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</si>
  <si>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</si>
  <si>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</si>
  <si>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</si>
  <si>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</si>
  <si>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</si>
  <si>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</si>
  <si>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</si>
  <si>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</si>
  <si>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</si>
  <si>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</si>
  <si>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</si>
  <si>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</si>
  <si>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</si>
  <si>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</si>
  <si>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</si>
  <si>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</si>
  <si>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</si>
  <si>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</si>
  <si>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</si>
  <si>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</si>
  <si>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</si>
  <si>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</si>
  <si>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</si>
  <si>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</si>
  <si>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</si>
  <si>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</si>
  <si>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</si>
  <si>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</si>
  <si>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</si>
  <si>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</si>
  <si>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</si>
  <si>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</si>
  <si>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</si>
  <si>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</si>
  <si>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</si>
  <si>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</si>
  <si>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</si>
  <si>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</si>
  <si>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</si>
  <si>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</si>
  <si>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</si>
  <si>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</si>
  <si>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</si>
  <si>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</si>
  <si>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</si>
  <si>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</si>
  <si>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</si>
  <si>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</si>
  <si>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</si>
  <si>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</si>
  <si>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</si>
  <si>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</si>
  <si>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</si>
  <si>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</si>
  <si>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</si>
  <si>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</si>
  <si>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</si>
  <si>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</si>
  <si>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</si>
  <si>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</si>
  <si>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</si>
  <si>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</si>
  <si>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</si>
  <si>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</si>
  <si>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</si>
  <si>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</si>
  <si>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</si>
  <si>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</si>
  <si>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</si>
  <si>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</si>
  <si>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</si>
  <si>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</si>
  <si>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</si>
  <si>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</si>
  <si>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</si>
  <si>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</si>
  <si>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</si>
  <si>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</si>
  <si>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</si>
  <si>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</si>
  <si>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</si>
  <si>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</si>
  <si>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</si>
  <si>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</si>
  <si>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</si>
  <si>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</si>
  <si>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</si>
  <si>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</si>
  <si>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</si>
  <si>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</si>
  <si>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</si>
  <si>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</si>
  <si>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</si>
  <si>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</si>
  <si>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</si>
  <si>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</si>
  <si>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</si>
  <si>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</si>
  <si>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</si>
  <si>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</si>
  <si>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</si>
  <si>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</si>
  <si>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</si>
  <si>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</si>
  <si>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</si>
  <si>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</si>
  <si>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</si>
  <si>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</si>
  <si>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</si>
  <si>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</si>
  <si>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</si>
  <si>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</si>
  <si>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</si>
  <si>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</si>
  <si>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</si>
  <si>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</si>
  <si>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</si>
  <si>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</si>
  <si>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</si>
  <si>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</si>
  <si>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</si>
  <si>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</si>
  <si>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</si>
  <si>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</si>
  <si>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</si>
  <si>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</si>
  <si>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</si>
  <si>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</si>
  <si>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</si>
  <si>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</si>
  <si>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</si>
  <si>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</si>
  <si>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</si>
  <si>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</si>
  <si>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</si>
  <si>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</si>
  <si>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</si>
  <si>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</si>
  <si>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</si>
  <si>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</si>
  <si>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</si>
  <si>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</si>
  <si>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</si>
  <si>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</si>
  <si>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</si>
  <si>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</si>
  <si>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</si>
  <si>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</si>
  <si>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</si>
  <si>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</si>
  <si>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</si>
  <si>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</si>
  <si>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</si>
  <si>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</si>
  <si>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</si>
  <si>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</si>
  <si>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</si>
  <si>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</si>
  <si>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</si>
  <si>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</si>
  <si>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</si>
  <si>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</si>
  <si>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</si>
  <si>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</si>
  <si>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</si>
  <si>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</si>
  <si>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</si>
  <si>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</si>
  <si>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</si>
  <si>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</si>
  <si>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</si>
  <si>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</si>
  <si>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</si>
  <si>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</si>
  <si>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</si>
  <si>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</si>
  <si>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</si>
  <si>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</si>
  <si>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</si>
  <si>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</si>
  <si>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</si>
  <si>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</si>
  <si>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</si>
  <si>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</si>
  <si>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</si>
  <si>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</si>
  <si>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</si>
  <si>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</si>
  <si>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</si>
  <si>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</si>
  <si>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</si>
  <si>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</si>
  <si>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</si>
  <si>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</si>
  <si>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</si>
  <si>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</si>
  <si>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</si>
  <si>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</si>
  <si>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</si>
  <si>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</si>
  <si>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</si>
  <si>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</si>
  <si>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</si>
  <si>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</si>
  <si>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</si>
  <si>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</si>
  <si>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</si>
  <si>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</si>
  <si>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</si>
  <si>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</si>
  <si>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</si>
  <si>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</si>
  <si>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</si>
  <si>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</si>
  <si>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</si>
  <si>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</si>
  <si>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</si>
  <si>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</si>
  <si>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</si>
  <si>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</si>
  <si>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</si>
  <si>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</si>
  <si>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</si>
  <si>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</si>
  <si>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</si>
  <si>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</si>
  <si>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</si>
  <si>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</si>
  <si>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</si>
  <si>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</si>
  <si>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</si>
  <si>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</si>
  <si>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</si>
  <si>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</si>
  <si>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</si>
  <si>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</si>
  <si>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</si>
  <si>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</si>
  <si>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</si>
  <si>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</si>
  <si>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</si>
  <si>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</si>
  <si>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</si>
  <si>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</si>
  <si>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</si>
  <si>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</si>
  <si>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</si>
  <si>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</si>
  <si>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</si>
  <si>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</si>
  <si>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</si>
  <si>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</si>
  <si>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</si>
  <si>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</si>
  <si>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</si>
  <si>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</si>
  <si>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</si>
  <si>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</si>
  <si>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</si>
  <si>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</si>
  <si>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</si>
  <si>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</si>
  <si>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</si>
  <si>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</si>
  <si>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</si>
  <si>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</si>
  <si>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</si>
  <si>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</si>
  <si>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</si>
  <si>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</si>
  <si>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</si>
  <si>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</si>
  <si>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</si>
  <si>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</si>
  <si>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</si>
  <si>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</si>
  <si>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</si>
  <si>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</si>
  <si>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</si>
  <si>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</si>
  <si>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</si>
  <si>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</si>
  <si>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</si>
  <si>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</si>
  <si>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</si>
  <si>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</si>
  <si>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</si>
  <si>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</si>
  <si>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</si>
  <si>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</si>
  <si>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</si>
  <si>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</si>
  <si>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</si>
  <si>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</si>
  <si>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</si>
  <si>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</si>
  <si>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</si>
  <si>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</si>
  <si>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</si>
  <si>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</si>
  <si>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</si>
  <si>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</si>
  <si>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</si>
  <si>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</si>
  <si>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</si>
  <si>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</si>
  <si>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</si>
  <si>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</si>
  <si>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</si>
  <si>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</si>
  <si>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</si>
  <si>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</si>
  <si>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</si>
  <si>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</si>
  <si>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</si>
  <si>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</si>
  <si>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</si>
  <si>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</si>
  <si>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</si>
  <si>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</si>
  <si>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</si>
  <si>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</si>
  <si>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</si>
  <si>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</si>
  <si>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</si>
  <si>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</si>
  <si>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</si>
  <si>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від                 2025  №          - VIII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</si>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</sst>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5"/>
  <sheetViews>
    <sheetView tabSelected="1" view="pageBreakPreview" zoomScale="60" zoomScaleNormal="70" workbookViewId="0">
      <pane xSplit="4" ySplit="17" topLeftCell="E207" activePane="bottomRight" state="frozen"/>
      <selection pane="topRight" activeCell="E1" sqref="E1"/>
      <selection pane="bottomLeft" activeCell="A14" sqref="A14"/>
      <selection pane="bottomRight" activeCell="D211" sqref="D211:D213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282</v>
      </c>
    </row>
    <row r="2" spans="1:16">
      <c r="M2" s="2" t="s">
        <v>339</v>
      </c>
    </row>
    <row r="3" spans="1:16">
      <c r="M3" s="2" t="s">
        <v>396</v>
      </c>
    </row>
    <row r="5" spans="1:16" ht="20.45" customHeight="1">
      <c r="M5" s="2" t="s">
        <v>343</v>
      </c>
    </row>
    <row r="6" spans="1:16" ht="20.45" customHeight="1">
      <c r="M6" s="2" t="s">
        <v>339</v>
      </c>
    </row>
    <row r="7" spans="1:16" ht="20.45" customHeight="1">
      <c r="M7" s="2" t="s">
        <v>344</v>
      </c>
    </row>
    <row r="9" spans="1:16">
      <c r="A9" s="41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>
      <c r="A10" s="41" t="s">
        <v>289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43" t="s">
        <v>4</v>
      </c>
      <c r="B13" s="43" t="s">
        <v>5</v>
      </c>
      <c r="C13" s="43" t="s">
        <v>6</v>
      </c>
      <c r="D13" s="40" t="s">
        <v>7</v>
      </c>
      <c r="E13" s="40" t="s">
        <v>8</v>
      </c>
      <c r="F13" s="40"/>
      <c r="G13" s="40"/>
      <c r="H13" s="40"/>
      <c r="I13" s="40"/>
      <c r="J13" s="40" t="s">
        <v>15</v>
      </c>
      <c r="K13" s="40"/>
      <c r="L13" s="40"/>
      <c r="M13" s="40"/>
      <c r="N13" s="40"/>
      <c r="O13" s="40"/>
      <c r="P13" s="40" t="s">
        <v>17</v>
      </c>
    </row>
    <row r="14" spans="1:16" ht="26.45" customHeight="1">
      <c r="A14" s="43"/>
      <c r="B14" s="43"/>
      <c r="C14" s="43"/>
      <c r="D14" s="40"/>
      <c r="E14" s="40" t="s">
        <v>9</v>
      </c>
      <c r="F14" s="40" t="s">
        <v>10</v>
      </c>
      <c r="G14" s="40" t="s">
        <v>11</v>
      </c>
      <c r="H14" s="40"/>
      <c r="I14" s="40" t="s">
        <v>14</v>
      </c>
      <c r="J14" s="40" t="s">
        <v>9</v>
      </c>
      <c r="K14" s="40" t="s">
        <v>16</v>
      </c>
      <c r="L14" s="40" t="s">
        <v>10</v>
      </c>
      <c r="M14" s="40" t="s">
        <v>11</v>
      </c>
      <c r="N14" s="40"/>
      <c r="O14" s="40" t="s">
        <v>14</v>
      </c>
      <c r="P14" s="40"/>
    </row>
    <row r="15" spans="1:16" ht="30.6" customHeight="1">
      <c r="A15" s="43"/>
      <c r="B15" s="43"/>
      <c r="C15" s="43"/>
      <c r="D15" s="40"/>
      <c r="E15" s="40"/>
      <c r="F15" s="40"/>
      <c r="G15" s="40" t="s">
        <v>12</v>
      </c>
      <c r="H15" s="40" t="s">
        <v>13</v>
      </c>
      <c r="I15" s="40"/>
      <c r="J15" s="40"/>
      <c r="K15" s="40"/>
      <c r="L15" s="40"/>
      <c r="M15" s="40" t="s">
        <v>12</v>
      </c>
      <c r="N15" s="40" t="s">
        <v>13</v>
      </c>
      <c r="O15" s="40"/>
      <c r="P15" s="40"/>
    </row>
    <row r="16" spans="1:16" ht="26.45" customHeight="1">
      <c r="A16" s="43"/>
      <c r="B16" s="43"/>
      <c r="C16" s="4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7.25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219558380</v>
      </c>
      <c r="F18" s="11">
        <f>F19</f>
        <v>219412880</v>
      </c>
      <c r="G18" s="11">
        <f>G19</f>
        <v>117124450</v>
      </c>
      <c r="H18" s="11">
        <f>H19</f>
        <v>5432100</v>
      </c>
      <c r="I18" s="11">
        <f>I19</f>
        <v>145500</v>
      </c>
      <c r="J18" s="11">
        <f>L18+O18</f>
        <v>14842970</v>
      </c>
      <c r="K18" s="11">
        <f>K19</f>
        <v>13825370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13825370</v>
      </c>
      <c r="P18" s="11">
        <f t="shared" ref="P18:P81" si="0">E18 + J18</f>
        <v>234401350</v>
      </c>
      <c r="Q18" s="5"/>
    </row>
    <row r="19" spans="1:17" ht="47.25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219558380</v>
      </c>
      <c r="F19" s="11">
        <f>F20+F25+F26+F27+F28+F29+F30+F34+F35+F39+F40+F41+F49+F50+F51+F52+F53+F54+F55+F56</f>
        <v>219412880</v>
      </c>
      <c r="G19" s="11">
        <f t="shared" ref="G19:K19" si="1">G20+G25+G26+G27+G28+G29+G30+G34+G35+G39+G40+G41+G49+G50+G51+G52+G53+G54+G55+G56</f>
        <v>117124450</v>
      </c>
      <c r="H19" s="11">
        <f t="shared" si="1"/>
        <v>5432100</v>
      </c>
      <c r="I19" s="11">
        <f t="shared" si="1"/>
        <v>145500</v>
      </c>
      <c r="J19" s="11">
        <f>L19+O19</f>
        <v>14842970</v>
      </c>
      <c r="K19" s="11">
        <f t="shared" si="1"/>
        <v>13825370</v>
      </c>
      <c r="L19" s="11">
        <f t="shared" ref="L19" si="2">L20+L25+L26+L27+L28+L29+L30+L34+L35+L39+L40+L41+L49+L50+L51+L52+L53+L54+L55+L56</f>
        <v>1017600</v>
      </c>
      <c r="M19" s="11">
        <f t="shared" ref="M19" si="3">M20+M25+M26+M27+M28+M29+M30+M34+M35+M39+M40+M41+M49+M50+M51+M52+M53+M54+M55+M56</f>
        <v>0</v>
      </c>
      <c r="N19" s="11">
        <f t="shared" ref="N19" si="4">N20+N25+N26+N27+N28+N29+N30+N34+N35+N39+N40+N41+N49+N50+N51+N52+N53+N54+N55+N56</f>
        <v>0</v>
      </c>
      <c r="O19" s="11">
        <f t="shared" ref="O19" si="5">O20+O25+O26+O27+O28+O29+O30+O34+O35+O39+O40+O41+O49+O50+O51+O52+O53+O54+O55+O56</f>
        <v>13825370</v>
      </c>
      <c r="P19" s="11">
        <f>E19 + J19</f>
        <v>234401350</v>
      </c>
    </row>
    <row r="20" spans="1:17" ht="94.5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104634200</v>
      </c>
      <c r="F20" s="13">
        <f>F21+F22+F23+F24</f>
        <v>104634200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104751800</v>
      </c>
    </row>
    <row r="21" spans="1:17" s="7" customFormat="1" ht="47.25">
      <c r="A21" s="14"/>
      <c r="B21" s="14"/>
      <c r="C21" s="14"/>
      <c r="D21" s="1" t="s">
        <v>20</v>
      </c>
      <c r="E21" s="15">
        <f>F21+I21</f>
        <v>94225400</v>
      </c>
      <c r="F21" s="15">
        <f>93697400+730000-202000</f>
        <v>94225400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94342998</v>
      </c>
    </row>
    <row r="22" spans="1:17" s="7" customFormat="1" ht="63">
      <c r="A22" s="14"/>
      <c r="B22" s="14"/>
      <c r="C22" s="14"/>
      <c r="D22" s="1" t="s">
        <v>277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63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7.25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7.25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6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6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5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2515200</v>
      </c>
      <c r="F26" s="13">
        <f>2589200-294000+18000+202000</f>
        <v>2515200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2515200</v>
      </c>
    </row>
    <row r="27" spans="1:17" ht="31.5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39580130</v>
      </c>
      <c r="F27" s="13">
        <f>34002900+511600+5000000+65630</f>
        <v>39580130</v>
      </c>
      <c r="G27" s="13">
        <v>0</v>
      </c>
      <c r="H27" s="13">
        <v>0</v>
      </c>
      <c r="I27" s="13">
        <v>0</v>
      </c>
      <c r="J27" s="13">
        <f t="shared" si="11"/>
        <v>1970970</v>
      </c>
      <c r="K27" s="13">
        <f>2036600-65630</f>
        <v>1970970</v>
      </c>
      <c r="L27" s="13">
        <v>0</v>
      </c>
      <c r="M27" s="13">
        <v>0</v>
      </c>
      <c r="N27" s="13">
        <v>0</v>
      </c>
      <c r="O27" s="13">
        <f>2036600-65630</f>
        <v>1970970</v>
      </c>
      <c r="P27" s="13">
        <f t="shared" si="0"/>
        <v>41551100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3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4613400</v>
      </c>
      <c r="F29" s="13">
        <f>13402400-8857000+68000</f>
        <v>4613400</v>
      </c>
      <c r="G29" s="13">
        <v>0</v>
      </c>
      <c r="H29" s="13">
        <v>0</v>
      </c>
      <c r="I29" s="13">
        <v>0</v>
      </c>
      <c r="J29" s="13">
        <f t="shared" si="11"/>
        <v>1718100</v>
      </c>
      <c r="K29" s="13">
        <f>1426100+192000+100000</f>
        <v>1718100</v>
      </c>
      <c r="L29" s="13">
        <v>0</v>
      </c>
      <c r="M29" s="13">
        <v>0</v>
      </c>
      <c r="N29" s="13">
        <v>0</v>
      </c>
      <c r="O29" s="13">
        <f>1426100+192000+100000</f>
        <v>1718100</v>
      </c>
      <c r="P29" s="13">
        <f t="shared" si="0"/>
        <v>6331500</v>
      </c>
    </row>
    <row r="30" spans="1:17" ht="31.5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47.25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3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3">
      <c r="A33" s="14"/>
      <c r="B33" s="14"/>
      <c r="C33" s="14"/>
      <c r="D33" s="1" t="s">
        <v>308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ht="31.5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5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10052900</v>
      </c>
      <c r="F35" s="13">
        <f>SUM(F36:F38)</f>
        <v>10052900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10052900</v>
      </c>
    </row>
    <row r="36" spans="1:16" s="7" customFormat="1" ht="63">
      <c r="A36" s="14"/>
      <c r="B36" s="14"/>
      <c r="C36" s="14"/>
      <c r="D36" s="1" t="s">
        <v>277</v>
      </c>
      <c r="E36" s="15">
        <f>F36+I36</f>
        <v>5889800</v>
      </c>
      <c r="F36" s="15">
        <f>3978400-73000+2000000-15600</f>
        <v>5889800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5889800</v>
      </c>
    </row>
    <row r="37" spans="1:16" s="7" customFormat="1" ht="63">
      <c r="A37" s="14"/>
      <c r="B37" s="14"/>
      <c r="C37" s="14"/>
      <c r="D37" s="1" t="s">
        <v>278</v>
      </c>
      <c r="E37" s="15">
        <f t="shared" ref="E37:E38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7.25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ht="47.25">
      <c r="A39" s="16" t="s">
        <v>283</v>
      </c>
      <c r="B39" s="16" t="s">
        <v>255</v>
      </c>
      <c r="C39" s="16" t="s">
        <v>256</v>
      </c>
      <c r="D39" s="12" t="s">
        <v>257</v>
      </c>
      <c r="E39" s="13">
        <f t="shared" si="10"/>
        <v>0</v>
      </c>
      <c r="F39" s="13"/>
      <c r="G39" s="13"/>
      <c r="H39" s="13"/>
      <c r="I39" s="13"/>
      <c r="J39" s="13">
        <f t="shared" si="11"/>
        <v>340000</v>
      </c>
      <c r="K39" s="13">
        <f>7000000+340000-7000000</f>
        <v>340000</v>
      </c>
      <c r="L39" s="13"/>
      <c r="M39" s="13"/>
      <c r="N39" s="13"/>
      <c r="O39" s="13">
        <f>7000000+340000-7000000</f>
        <v>340000</v>
      </c>
      <c r="P39" s="13">
        <f t="shared" si="0"/>
        <v>340000</v>
      </c>
    </row>
    <row r="40" spans="1:16" ht="47.25">
      <c r="A40" s="16" t="s">
        <v>397</v>
      </c>
      <c r="B40" s="16" t="s">
        <v>398</v>
      </c>
      <c r="C40" s="16" t="s">
        <v>256</v>
      </c>
      <c r="D40" s="12" t="s">
        <v>399</v>
      </c>
      <c r="E40" s="13">
        <f t="shared" si="10"/>
        <v>0</v>
      </c>
      <c r="F40" s="13"/>
      <c r="G40" s="13"/>
      <c r="H40" s="13"/>
      <c r="I40" s="13"/>
      <c r="J40" s="13">
        <f t="shared" si="11"/>
        <v>7000000</v>
      </c>
      <c r="K40" s="13">
        <v>7000000</v>
      </c>
      <c r="L40" s="13"/>
      <c r="M40" s="13"/>
      <c r="N40" s="13"/>
      <c r="O40" s="13">
        <v>7000000</v>
      </c>
      <c r="P40" s="13">
        <f t="shared" si="0"/>
        <v>7000000</v>
      </c>
    </row>
    <row r="41" spans="1:16" ht="31.5">
      <c r="A41" s="16" t="s">
        <v>284</v>
      </c>
      <c r="B41" s="16" t="s">
        <v>285</v>
      </c>
      <c r="C41" s="16" t="s">
        <v>287</v>
      </c>
      <c r="D41" s="12" t="s">
        <v>286</v>
      </c>
      <c r="E41" s="13">
        <f t="shared" si="10"/>
        <v>1568540</v>
      </c>
      <c r="F41" s="13">
        <f>SUM(F42:F48)</f>
        <v>1423040</v>
      </c>
      <c r="G41" s="13">
        <f t="shared" ref="G41:I41" si="15">SUM(G42:G48)</f>
        <v>0</v>
      </c>
      <c r="H41" s="13">
        <f t="shared" si="15"/>
        <v>0</v>
      </c>
      <c r="I41" s="13">
        <f t="shared" si="15"/>
        <v>145500</v>
      </c>
      <c r="J41" s="13">
        <f t="shared" si="11"/>
        <v>725600</v>
      </c>
      <c r="K41" s="13">
        <f>SUM(K42:K48)</f>
        <v>725600</v>
      </c>
      <c r="L41" s="13">
        <f t="shared" ref="L41:O41" si="16">SUM(L42:L48)</f>
        <v>0</v>
      </c>
      <c r="M41" s="13">
        <f t="shared" si="16"/>
        <v>0</v>
      </c>
      <c r="N41" s="13">
        <f t="shared" si="16"/>
        <v>0</v>
      </c>
      <c r="O41" s="13">
        <f t="shared" si="16"/>
        <v>725600</v>
      </c>
      <c r="P41" s="13">
        <f t="shared" si="0"/>
        <v>2294140</v>
      </c>
    </row>
    <row r="42" spans="1:16" ht="47.25">
      <c r="A42" s="16"/>
      <c r="B42" s="16"/>
      <c r="C42" s="16"/>
      <c r="D42" s="1" t="s">
        <v>20</v>
      </c>
      <c r="E42" s="15">
        <f t="shared" si="10"/>
        <v>1287300</v>
      </c>
      <c r="F42" s="15">
        <v>1287300</v>
      </c>
      <c r="G42" s="13"/>
      <c r="H42" s="13"/>
      <c r="I42" s="13"/>
      <c r="J42" s="13">
        <f>L42+O42</f>
        <v>191600</v>
      </c>
      <c r="K42" s="13">
        <v>191600</v>
      </c>
      <c r="L42" s="13"/>
      <c r="M42" s="13"/>
      <c r="N42" s="13"/>
      <c r="O42" s="13">
        <v>191600</v>
      </c>
      <c r="P42" s="15">
        <f t="shared" si="0"/>
        <v>1478900</v>
      </c>
    </row>
    <row r="43" spans="1:16" ht="63">
      <c r="A43" s="16"/>
      <c r="B43" s="16"/>
      <c r="C43" s="16"/>
      <c r="D43" s="1" t="s">
        <v>277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63">
      <c r="A44" s="16"/>
      <c r="B44" s="16"/>
      <c r="C44" s="16"/>
      <c r="D44" s="1" t="s">
        <v>278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47.25">
      <c r="A45" s="16"/>
      <c r="B45" s="16"/>
      <c r="C45" s="16"/>
      <c r="D45" s="1" t="s">
        <v>279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7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63">
      <c r="A46" s="16"/>
      <c r="B46" s="16"/>
      <c r="C46" s="16"/>
      <c r="D46" s="1" t="s">
        <v>305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7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47.25">
      <c r="A47" s="19"/>
      <c r="B47" s="19"/>
      <c r="C47" s="19"/>
      <c r="D47" s="1" t="s">
        <v>345</v>
      </c>
      <c r="E47" s="15"/>
      <c r="F47" s="15"/>
      <c r="G47" s="15"/>
      <c r="H47" s="15"/>
      <c r="I47" s="15"/>
      <c r="J47" s="13">
        <f t="shared" si="17"/>
        <v>534000</v>
      </c>
      <c r="K47" s="15">
        <v>534000</v>
      </c>
      <c r="L47" s="15"/>
      <c r="M47" s="15"/>
      <c r="N47" s="15"/>
      <c r="O47" s="15">
        <v>534000</v>
      </c>
      <c r="P47" s="15">
        <f t="shared" si="0"/>
        <v>534000</v>
      </c>
    </row>
    <row r="48" spans="1:16" ht="47.25">
      <c r="A48" s="16"/>
      <c r="B48" s="16"/>
      <c r="C48" s="16"/>
      <c r="D48" s="1" t="s">
        <v>306</v>
      </c>
      <c r="E48" s="15">
        <f t="shared" si="10"/>
        <v>96140</v>
      </c>
      <c r="F48" s="15">
        <f>56900+39240</f>
        <v>96140</v>
      </c>
      <c r="G48" s="13"/>
      <c r="H48" s="13"/>
      <c r="I48" s="13"/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96140</v>
      </c>
    </row>
    <row r="49" spans="1:17">
      <c r="A49" s="16" t="s">
        <v>335</v>
      </c>
      <c r="B49" s="16" t="s">
        <v>336</v>
      </c>
      <c r="C49" s="16" t="s">
        <v>337</v>
      </c>
      <c r="D49" s="12" t="s">
        <v>338</v>
      </c>
      <c r="E49" s="13">
        <f t="shared" si="10"/>
        <v>0</v>
      </c>
      <c r="F49" s="15"/>
      <c r="G49" s="13"/>
      <c r="H49" s="13"/>
      <c r="I49" s="13"/>
      <c r="J49" s="13">
        <f t="shared" si="17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5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112000</v>
      </c>
      <c r="F50" s="13">
        <v>112000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112000</v>
      </c>
    </row>
    <row r="51" spans="1:17" ht="47.25">
      <c r="A51" s="16" t="s">
        <v>288</v>
      </c>
      <c r="B51" s="16">
        <v>8110</v>
      </c>
      <c r="C51" s="16" t="s">
        <v>239</v>
      </c>
      <c r="D51" s="12" t="s">
        <v>240</v>
      </c>
      <c r="E51" s="13">
        <f>F51+I51</f>
        <v>55000</v>
      </c>
      <c r="F51" s="13">
        <f>42000+13000</f>
        <v>55000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>E51 + J51</f>
        <v>55000</v>
      </c>
    </row>
    <row r="52" spans="1:17" ht="31.5">
      <c r="A52" s="8" t="s">
        <v>62</v>
      </c>
      <c r="B52" s="8" t="s">
        <v>63</v>
      </c>
      <c r="C52" s="8" t="s">
        <v>64</v>
      </c>
      <c r="D52" s="12" t="s">
        <v>65</v>
      </c>
      <c r="E52" s="13">
        <f t="shared" si="10"/>
        <v>26336110</v>
      </c>
      <c r="F52" s="13">
        <f>24248400+2126950-39240</f>
        <v>26336110</v>
      </c>
      <c r="G52" s="13">
        <f>17626300+3877000+2126950</f>
        <v>23630250</v>
      </c>
      <c r="H52" s="13">
        <f>53200+9300</f>
        <v>62500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26336110</v>
      </c>
    </row>
    <row r="53" spans="1:17" ht="31.5">
      <c r="A53" s="8" t="s">
        <v>66</v>
      </c>
      <c r="B53" s="8" t="s">
        <v>67</v>
      </c>
      <c r="C53" s="8" t="s">
        <v>64</v>
      </c>
      <c r="D53" s="12" t="s">
        <v>68</v>
      </c>
      <c r="E53" s="13">
        <f t="shared" si="10"/>
        <v>2083400</v>
      </c>
      <c r="F53" s="13">
        <f>2103400-20000</f>
        <v>2083400</v>
      </c>
      <c r="G53" s="13">
        <v>0</v>
      </c>
      <c r="H53" s="13">
        <v>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2083400</v>
      </c>
    </row>
    <row r="54" spans="1:17" ht="31.5">
      <c r="A54" s="8" t="s">
        <v>69</v>
      </c>
      <c r="B54" s="8" t="s">
        <v>70</v>
      </c>
      <c r="C54" s="8" t="s">
        <v>64</v>
      </c>
      <c r="D54" s="12" t="s">
        <v>71</v>
      </c>
      <c r="E54" s="13">
        <f t="shared" si="10"/>
        <v>2847000</v>
      </c>
      <c r="F54" s="13">
        <f>2673200+173800</f>
        <v>2847000</v>
      </c>
      <c r="G54" s="13">
        <v>0</v>
      </c>
      <c r="H54" s="13">
        <v>0</v>
      </c>
      <c r="I54" s="13">
        <v>0</v>
      </c>
      <c r="J54" s="13">
        <f t="shared" si="11"/>
        <v>514000</v>
      </c>
      <c r="K54" s="13">
        <v>514000</v>
      </c>
      <c r="L54" s="13">
        <v>0</v>
      </c>
      <c r="M54" s="13">
        <v>0</v>
      </c>
      <c r="N54" s="13">
        <v>0</v>
      </c>
      <c r="O54" s="13">
        <v>514000</v>
      </c>
      <c r="P54" s="13">
        <f t="shared" si="0"/>
        <v>3361000</v>
      </c>
    </row>
    <row r="55" spans="1:17" ht="31.5">
      <c r="A55" s="16" t="s">
        <v>346</v>
      </c>
      <c r="B55" s="33">
        <v>8240</v>
      </c>
      <c r="C55" s="16" t="s">
        <v>64</v>
      </c>
      <c r="D55" s="12" t="s">
        <v>261</v>
      </c>
      <c r="E55" s="13">
        <f t="shared" si="10"/>
        <v>22800</v>
      </c>
      <c r="F55" s="13">
        <v>22800</v>
      </c>
      <c r="G55" s="13"/>
      <c r="H55" s="13"/>
      <c r="I55" s="13"/>
      <c r="J55" s="13">
        <f t="shared" si="11"/>
        <v>56700</v>
      </c>
      <c r="K55" s="13">
        <f>200500-22800-121000</f>
        <v>56700</v>
      </c>
      <c r="L55" s="13"/>
      <c r="M55" s="13"/>
      <c r="N55" s="13"/>
      <c r="O55" s="13">
        <f>200500-22800-121000</f>
        <v>56700</v>
      </c>
      <c r="P55" s="13">
        <f t="shared" si="0"/>
        <v>79500</v>
      </c>
    </row>
    <row r="56" spans="1:17" ht="31.5">
      <c r="A56" s="16" t="s">
        <v>276</v>
      </c>
      <c r="B56" s="8">
        <v>8340</v>
      </c>
      <c r="C56" s="8" t="s">
        <v>274</v>
      </c>
      <c r="D56" s="12" t="s">
        <v>275</v>
      </c>
      <c r="E56" s="13">
        <f t="shared" si="10"/>
        <v>0</v>
      </c>
      <c r="F56" s="13"/>
      <c r="G56" s="13"/>
      <c r="H56" s="13"/>
      <c r="I56" s="13"/>
      <c r="J56" s="13">
        <f t="shared" si="11"/>
        <v>900000</v>
      </c>
      <c r="K56" s="13"/>
      <c r="L56" s="13">
        <v>900000</v>
      </c>
      <c r="M56" s="13"/>
      <c r="N56" s="13"/>
      <c r="O56" s="13"/>
      <c r="P56" s="13">
        <f t="shared" si="0"/>
        <v>900000</v>
      </c>
    </row>
    <row r="57" spans="1:17" ht="47.25">
      <c r="A57" s="9" t="s">
        <v>72</v>
      </c>
      <c r="B57" s="9" t="s">
        <v>19</v>
      </c>
      <c r="C57" s="9" t="s">
        <v>19</v>
      </c>
      <c r="D57" s="10" t="s">
        <v>73</v>
      </c>
      <c r="E57" s="11">
        <f>F57+I57</f>
        <v>420656994</v>
      </c>
      <c r="F57" s="11">
        <f>F58</f>
        <v>420656994</v>
      </c>
      <c r="G57" s="11">
        <f>G58</f>
        <v>302307284</v>
      </c>
      <c r="H57" s="11">
        <f>H58</f>
        <v>36013400</v>
      </c>
      <c r="I57" s="11">
        <f>I58</f>
        <v>0</v>
      </c>
      <c r="J57" s="11">
        <f>L57+O57</f>
        <v>32075076</v>
      </c>
      <c r="K57" s="11">
        <f>K58</f>
        <v>15069576</v>
      </c>
      <c r="L57" s="11">
        <f t="shared" ref="L57:O57" si="18">L58</f>
        <v>17005500</v>
      </c>
      <c r="M57" s="11">
        <f t="shared" si="18"/>
        <v>0</v>
      </c>
      <c r="N57" s="11">
        <f t="shared" si="18"/>
        <v>0</v>
      </c>
      <c r="O57" s="11">
        <f t="shared" si="18"/>
        <v>15069576</v>
      </c>
      <c r="P57" s="11">
        <f t="shared" si="0"/>
        <v>452732070</v>
      </c>
      <c r="Q57" s="5"/>
    </row>
    <row r="58" spans="1:17" ht="47.25">
      <c r="A58" s="9" t="s">
        <v>74</v>
      </c>
      <c r="B58" s="9" t="s">
        <v>19</v>
      </c>
      <c r="C58" s="9" t="s">
        <v>19</v>
      </c>
      <c r="D58" s="10" t="s">
        <v>73</v>
      </c>
      <c r="E58" s="11">
        <f>F58+I58</f>
        <v>420656994</v>
      </c>
      <c r="F58" s="11">
        <f>SUM(F59:F84)-F65-F66</f>
        <v>420656994</v>
      </c>
      <c r="G58" s="11">
        <f t="shared" ref="G58:I58" si="19">SUM(G59:G84)-G65-G66</f>
        <v>302307284</v>
      </c>
      <c r="H58" s="11">
        <f t="shared" si="19"/>
        <v>36013400</v>
      </c>
      <c r="I58" s="11">
        <f t="shared" si="19"/>
        <v>0</v>
      </c>
      <c r="J58" s="11">
        <f>L58+O58</f>
        <v>32075076</v>
      </c>
      <c r="K58" s="11">
        <f>SUM(K59:K84)-K65-K66</f>
        <v>15069576</v>
      </c>
      <c r="L58" s="11">
        <f t="shared" ref="L58:O58" si="20">SUM(L59:L84)-L65-L66</f>
        <v>17005500</v>
      </c>
      <c r="M58" s="11">
        <f t="shared" si="20"/>
        <v>0</v>
      </c>
      <c r="N58" s="11">
        <f t="shared" si="20"/>
        <v>0</v>
      </c>
      <c r="O58" s="11">
        <f t="shared" si="20"/>
        <v>15069576</v>
      </c>
      <c r="P58" s="11">
        <f>E58 + J58</f>
        <v>452732070</v>
      </c>
    </row>
    <row r="59" spans="1:17" ht="47.25">
      <c r="A59" s="8" t="s">
        <v>75</v>
      </c>
      <c r="B59" s="8" t="s">
        <v>76</v>
      </c>
      <c r="C59" s="8" t="s">
        <v>24</v>
      </c>
      <c r="D59" s="12" t="s">
        <v>77</v>
      </c>
      <c r="E59" s="13">
        <f>F59+I59</f>
        <v>5954600</v>
      </c>
      <c r="F59" s="13">
        <v>5954600</v>
      </c>
      <c r="G59" s="13">
        <f>4429700+974500</f>
        <v>5404200</v>
      </c>
      <c r="H59" s="13">
        <f>222100+10400+210000+8800</f>
        <v>451300</v>
      </c>
      <c r="I59" s="13">
        <v>0</v>
      </c>
      <c r="J59" s="13">
        <f>L59+O59</f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5954600</v>
      </c>
    </row>
    <row r="60" spans="1:17">
      <c r="A60" s="8" t="s">
        <v>78</v>
      </c>
      <c r="B60" s="8" t="s">
        <v>79</v>
      </c>
      <c r="C60" s="8" t="s">
        <v>80</v>
      </c>
      <c r="D60" s="12" t="s">
        <v>81</v>
      </c>
      <c r="E60" s="13">
        <f t="shared" ref="E60:E83" si="21">F60+I60</f>
        <v>104318920</v>
      </c>
      <c r="F60" s="13">
        <f>101843700+145980+130000+3240500-1041260</f>
        <v>104318920</v>
      </c>
      <c r="G60" s="13">
        <f>65000000+14300000-1041260</f>
        <v>78258740</v>
      </c>
      <c r="H60" s="13">
        <f>8000000+660000+3656100+157600+320000</f>
        <v>12793700</v>
      </c>
      <c r="I60" s="13">
        <v>0</v>
      </c>
      <c r="J60" s="13">
        <f t="shared" ref="J60:J84" si="22">L60+O60</f>
        <v>11160687</v>
      </c>
      <c r="K60" s="13">
        <f>1073037+700000</f>
        <v>1773037</v>
      </c>
      <c r="L60" s="13">
        <v>9387650</v>
      </c>
      <c r="M60" s="13">
        <v>0</v>
      </c>
      <c r="N60" s="13">
        <v>0</v>
      </c>
      <c r="O60" s="13">
        <f>1073037+700000</f>
        <v>1773037</v>
      </c>
      <c r="P60" s="13">
        <f t="shared" si="0"/>
        <v>115479607</v>
      </c>
    </row>
    <row r="61" spans="1:17" ht="47.25">
      <c r="A61" s="8" t="s">
        <v>82</v>
      </c>
      <c r="B61" s="8" t="s">
        <v>83</v>
      </c>
      <c r="C61" s="8" t="s">
        <v>84</v>
      </c>
      <c r="D61" s="12" t="s">
        <v>85</v>
      </c>
      <c r="E61" s="13">
        <f t="shared" si="21"/>
        <v>103518080</v>
      </c>
      <c r="F61" s="13">
        <f>95351700+432180+146000+6788200+800000</f>
        <v>103518080</v>
      </c>
      <c r="G61" s="13">
        <f>38229200+8410300</f>
        <v>46639500</v>
      </c>
      <c r="H61" s="13">
        <f>10200000+608000+4800000+900000+675000</f>
        <v>17183000</v>
      </c>
      <c r="I61" s="13">
        <v>0</v>
      </c>
      <c r="J61" s="13">
        <f t="shared" si="22"/>
        <v>2060939</v>
      </c>
      <c r="K61" s="13">
        <f>1800000+800000-200000-546750</f>
        <v>1853250</v>
      </c>
      <c r="L61" s="13">
        <v>207689</v>
      </c>
      <c r="M61" s="13">
        <v>0</v>
      </c>
      <c r="N61" s="13">
        <v>0</v>
      </c>
      <c r="O61" s="13">
        <f>1800000+800000-200000-546750</f>
        <v>1853250</v>
      </c>
      <c r="P61" s="13">
        <f t="shared" si="0"/>
        <v>105579019</v>
      </c>
      <c r="Q61" s="5"/>
    </row>
    <row r="62" spans="1:17" ht="94.5">
      <c r="A62" s="8" t="s">
        <v>86</v>
      </c>
      <c r="B62" s="8" t="s">
        <v>87</v>
      </c>
      <c r="C62" s="8" t="s">
        <v>88</v>
      </c>
      <c r="D62" s="12" t="s">
        <v>89</v>
      </c>
      <c r="E62" s="13">
        <f t="shared" si="21"/>
        <v>15424400</v>
      </c>
      <c r="F62" s="13">
        <f>14574000+13000+837400</f>
        <v>15424400</v>
      </c>
      <c r="G62" s="13">
        <f>7769100+1735200</f>
        <v>9504300</v>
      </c>
      <c r="H62" s="13">
        <f>871200+80500+661100+37300</f>
        <v>1650100</v>
      </c>
      <c r="I62" s="13">
        <v>0</v>
      </c>
      <c r="J62" s="13">
        <f t="shared" si="22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15424400</v>
      </c>
    </row>
    <row r="63" spans="1:17" s="21" customFormat="1" ht="47.25">
      <c r="A63" s="20" t="s">
        <v>90</v>
      </c>
      <c r="B63" s="20" t="s">
        <v>91</v>
      </c>
      <c r="C63" s="20" t="s">
        <v>84</v>
      </c>
      <c r="D63" s="12" t="s">
        <v>92</v>
      </c>
      <c r="E63" s="13">
        <f t="shared" si="21"/>
        <v>92648774</v>
      </c>
      <c r="F63" s="13">
        <f>F65+F66</f>
        <v>92648774</v>
      </c>
      <c r="G63" s="13">
        <f>G65+G66</f>
        <v>92648774</v>
      </c>
      <c r="H63" s="13">
        <v>0</v>
      </c>
      <c r="I63" s="13">
        <v>0</v>
      </c>
      <c r="J63" s="13">
        <f t="shared" si="22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92648774</v>
      </c>
    </row>
    <row r="64" spans="1:17" s="34" customFormat="1">
      <c r="A64" s="14"/>
      <c r="B64" s="14"/>
      <c r="C64" s="14"/>
      <c r="D64" s="1" t="s">
        <v>364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f t="shared" si="0"/>
        <v>0</v>
      </c>
    </row>
    <row r="65" spans="1:16" s="34" customFormat="1" ht="31.5">
      <c r="A65" s="14"/>
      <c r="B65" s="14"/>
      <c r="C65" s="14"/>
      <c r="D65" s="1" t="s">
        <v>365</v>
      </c>
      <c r="E65" s="15">
        <f t="shared" ref="E65:E66" si="23">F65+I65</f>
        <v>92366200</v>
      </c>
      <c r="F65" s="15">
        <f>92366200</f>
        <v>92366200</v>
      </c>
      <c r="G65" s="15">
        <f>92366200</f>
        <v>92366200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92366200</v>
      </c>
    </row>
    <row r="66" spans="1:16" s="34" customFormat="1" ht="31.5">
      <c r="A66" s="14"/>
      <c r="B66" s="14"/>
      <c r="C66" s="14"/>
      <c r="D66" s="1" t="s">
        <v>366</v>
      </c>
      <c r="E66" s="15">
        <f t="shared" si="23"/>
        <v>282574</v>
      </c>
      <c r="F66" s="15">
        <f>282574</f>
        <v>282574</v>
      </c>
      <c r="G66" s="15">
        <f>282574</f>
        <v>282574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282574</v>
      </c>
    </row>
    <row r="67" spans="1:16" s="21" customFormat="1" ht="94.5">
      <c r="A67" s="20" t="s">
        <v>93</v>
      </c>
      <c r="B67" s="20" t="s">
        <v>94</v>
      </c>
      <c r="C67" s="20" t="s">
        <v>88</v>
      </c>
      <c r="D67" s="12" t="s">
        <v>95</v>
      </c>
      <c r="E67" s="13">
        <f t="shared" si="21"/>
        <v>10645300</v>
      </c>
      <c r="F67" s="13">
        <v>10645300</v>
      </c>
      <c r="G67" s="13">
        <v>10645300</v>
      </c>
      <c r="H67" s="13">
        <v>0</v>
      </c>
      <c r="I67" s="13">
        <v>0</v>
      </c>
      <c r="J67" s="13">
        <f t="shared" si="22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10645300</v>
      </c>
    </row>
    <row r="68" spans="1:16" ht="47.25">
      <c r="A68" s="8" t="s">
        <v>96</v>
      </c>
      <c r="B68" s="8" t="s">
        <v>97</v>
      </c>
      <c r="C68" s="8" t="s">
        <v>98</v>
      </c>
      <c r="D68" s="12" t="s">
        <v>99</v>
      </c>
      <c r="E68" s="13">
        <f t="shared" si="21"/>
        <v>23299450</v>
      </c>
      <c r="F68" s="13">
        <f>22476900+13050+16000+793500</f>
        <v>23299450</v>
      </c>
      <c r="G68" s="13">
        <f>15583500+3428400</f>
        <v>19011900</v>
      </c>
      <c r="H68" s="13">
        <f>217600+352800+674300+79100</f>
        <v>1323800</v>
      </c>
      <c r="I68" s="13">
        <v>0</v>
      </c>
      <c r="J68" s="13">
        <f t="shared" si="22"/>
        <v>189360</v>
      </c>
      <c r="K68" s="13">
        <v>0</v>
      </c>
      <c r="L68" s="13">
        <v>189360</v>
      </c>
      <c r="M68" s="13">
        <v>0</v>
      </c>
      <c r="N68" s="13">
        <v>0</v>
      </c>
      <c r="O68" s="13">
        <v>0</v>
      </c>
      <c r="P68" s="13">
        <f t="shared" si="0"/>
        <v>23488810</v>
      </c>
    </row>
    <row r="69" spans="1:16" ht="31.5">
      <c r="A69" s="8" t="s">
        <v>100</v>
      </c>
      <c r="B69" s="8" t="s">
        <v>101</v>
      </c>
      <c r="C69" s="8" t="s">
        <v>102</v>
      </c>
      <c r="D69" s="12" t="s">
        <v>103</v>
      </c>
      <c r="E69" s="13">
        <f t="shared" si="21"/>
        <v>15000</v>
      </c>
      <c r="F69" s="13">
        <v>15000</v>
      </c>
      <c r="G69" s="13">
        <v>0</v>
      </c>
      <c r="H69" s="13">
        <v>0</v>
      </c>
      <c r="I69" s="13">
        <v>0</v>
      </c>
      <c r="J69" s="13">
        <f t="shared" si="22"/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0"/>
        <v>15000</v>
      </c>
    </row>
    <row r="70" spans="1:16" ht="31.5">
      <c r="A70" s="8" t="s">
        <v>104</v>
      </c>
      <c r="B70" s="8" t="s">
        <v>105</v>
      </c>
      <c r="C70" s="8" t="s">
        <v>106</v>
      </c>
      <c r="D70" s="12" t="s">
        <v>107</v>
      </c>
      <c r="E70" s="13">
        <f t="shared" si="21"/>
        <v>27731400</v>
      </c>
      <c r="F70" s="13">
        <f>27706400+25000</f>
        <v>27731400</v>
      </c>
      <c r="G70" s="13">
        <f>13803000+3036500</f>
        <v>16839500</v>
      </c>
      <c r="H70" s="13">
        <f>605500+60000+850000+111400</f>
        <v>1626900</v>
      </c>
      <c r="I70" s="13"/>
      <c r="J70" s="13">
        <f t="shared" si="22"/>
        <v>1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f t="shared" si="0"/>
        <v>27731401</v>
      </c>
    </row>
    <row r="71" spans="1:16" ht="47.25">
      <c r="A71" s="8" t="s">
        <v>108</v>
      </c>
      <c r="B71" s="8" t="s">
        <v>109</v>
      </c>
      <c r="C71" s="8" t="s">
        <v>106</v>
      </c>
      <c r="D71" s="12" t="s">
        <v>110</v>
      </c>
      <c r="E71" s="13">
        <f t="shared" si="21"/>
        <v>909000</v>
      </c>
      <c r="F71" s="13">
        <f>703000+100000+6000+100000</f>
        <v>909000</v>
      </c>
      <c r="G71" s="13">
        <f>349500+76200</f>
        <v>425700</v>
      </c>
      <c r="H71" s="13">
        <f>50000+6500+58900+7900</f>
        <v>123300</v>
      </c>
      <c r="I71" s="13">
        <v>0</v>
      </c>
      <c r="J71" s="13">
        <f t="shared" si="22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909000</v>
      </c>
    </row>
    <row r="72" spans="1:16" s="21" customFormat="1" ht="47.25">
      <c r="A72" s="16" t="s">
        <v>347</v>
      </c>
      <c r="B72" s="33">
        <v>1152</v>
      </c>
      <c r="C72" s="33" t="s">
        <v>106</v>
      </c>
      <c r="D72" s="12" t="s">
        <v>348</v>
      </c>
      <c r="E72" s="13">
        <f t="shared" si="21"/>
        <v>1387870</v>
      </c>
      <c r="F72" s="13">
        <v>1387870</v>
      </c>
      <c r="G72" s="13">
        <v>1387870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1387870</v>
      </c>
    </row>
    <row r="73" spans="1:16" ht="47.25">
      <c r="A73" s="8" t="s">
        <v>111</v>
      </c>
      <c r="B73" s="8" t="s">
        <v>112</v>
      </c>
      <c r="C73" s="8" t="s">
        <v>106</v>
      </c>
      <c r="D73" s="12" t="s">
        <v>113</v>
      </c>
      <c r="E73" s="13">
        <f t="shared" si="21"/>
        <v>4271100</v>
      </c>
      <c r="F73" s="13">
        <f>4125500+145600</f>
        <v>4271100</v>
      </c>
      <c r="G73" s="13">
        <f>3167900+696900</f>
        <v>3864800</v>
      </c>
      <c r="H73" s="13">
        <f>18400+4300+15700+1800</f>
        <v>40200</v>
      </c>
      <c r="I73" s="13">
        <v>0</v>
      </c>
      <c r="J73" s="13">
        <f t="shared" si="22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4271100</v>
      </c>
    </row>
    <row r="74" spans="1:16" ht="126">
      <c r="A74" s="16" t="s">
        <v>349</v>
      </c>
      <c r="B74" s="16" t="s">
        <v>354</v>
      </c>
      <c r="C74" s="16" t="s">
        <v>106</v>
      </c>
      <c r="D74" s="12" t="s">
        <v>359</v>
      </c>
      <c r="E74" s="13">
        <f t="shared" si="21"/>
        <v>0</v>
      </c>
      <c r="F74" s="13"/>
      <c r="G74" s="13"/>
      <c r="H74" s="13"/>
      <c r="I74" s="13"/>
      <c r="J74" s="13">
        <f t="shared" si="22"/>
        <v>1304329</v>
      </c>
      <c r="K74" s="13">
        <v>1304329</v>
      </c>
      <c r="L74" s="13"/>
      <c r="M74" s="13"/>
      <c r="N74" s="13"/>
      <c r="O74" s="13">
        <v>1304329</v>
      </c>
      <c r="P74" s="13">
        <f t="shared" si="0"/>
        <v>1304329</v>
      </c>
    </row>
    <row r="75" spans="1:16" ht="126">
      <c r="A75" s="16" t="s">
        <v>350</v>
      </c>
      <c r="B75" s="16" t="s">
        <v>355</v>
      </c>
      <c r="C75" s="16" t="s">
        <v>106</v>
      </c>
      <c r="D75" s="12" t="s">
        <v>360</v>
      </c>
      <c r="E75" s="13">
        <f t="shared" si="21"/>
        <v>0</v>
      </c>
      <c r="F75" s="13"/>
      <c r="G75" s="13"/>
      <c r="H75" s="13"/>
      <c r="I75" s="13"/>
      <c r="J75" s="13">
        <f t="shared" si="22"/>
        <v>3043200</v>
      </c>
      <c r="K75" s="13">
        <v>3043200</v>
      </c>
      <c r="L75" s="13"/>
      <c r="M75" s="13"/>
      <c r="N75" s="13"/>
      <c r="O75" s="13">
        <v>3043200</v>
      </c>
      <c r="P75" s="13">
        <f t="shared" si="0"/>
        <v>3043200</v>
      </c>
    </row>
    <row r="76" spans="1:16" ht="110.25">
      <c r="A76" s="16" t="s">
        <v>351</v>
      </c>
      <c r="B76" s="16" t="s">
        <v>356</v>
      </c>
      <c r="C76" s="16" t="s">
        <v>106</v>
      </c>
      <c r="D76" s="12" t="s">
        <v>361</v>
      </c>
      <c r="E76" s="13">
        <f t="shared" si="21"/>
        <v>330900</v>
      </c>
      <c r="F76" s="13">
        <v>330900</v>
      </c>
      <c r="G76" s="13"/>
      <c r="H76" s="13"/>
      <c r="I76" s="13"/>
      <c r="J76" s="13">
        <f t="shared" si="22"/>
        <v>0</v>
      </c>
      <c r="K76" s="13"/>
      <c r="L76" s="13"/>
      <c r="M76" s="13"/>
      <c r="N76" s="13"/>
      <c r="O76" s="13"/>
      <c r="P76" s="13">
        <f t="shared" si="0"/>
        <v>330900</v>
      </c>
    </row>
    <row r="77" spans="1:16" ht="189">
      <c r="A77" s="16" t="s">
        <v>400</v>
      </c>
      <c r="B77" s="16" t="s">
        <v>401</v>
      </c>
      <c r="C77" s="16" t="s">
        <v>106</v>
      </c>
      <c r="D77" s="12" t="s">
        <v>402</v>
      </c>
      <c r="E77" s="13">
        <f t="shared" si="21"/>
        <v>0</v>
      </c>
      <c r="F77" s="13"/>
      <c r="G77" s="13"/>
      <c r="H77" s="13"/>
      <c r="I77" s="13"/>
      <c r="J77" s="13">
        <f t="shared" si="22"/>
        <v>50000</v>
      </c>
      <c r="K77" s="13">
        <v>50000</v>
      </c>
      <c r="L77" s="13"/>
      <c r="M77" s="13"/>
      <c r="N77" s="13"/>
      <c r="O77" s="13">
        <v>50000</v>
      </c>
      <c r="P77" s="13">
        <f t="shared" si="0"/>
        <v>50000</v>
      </c>
    </row>
    <row r="78" spans="1:16" ht="78.75">
      <c r="A78" s="16" t="s">
        <v>352</v>
      </c>
      <c r="B78" s="16" t="s">
        <v>357</v>
      </c>
      <c r="C78" s="16" t="s">
        <v>106</v>
      </c>
      <c r="D78" s="12" t="s">
        <v>362</v>
      </c>
      <c r="E78" s="13">
        <f t="shared" si="21"/>
        <v>0</v>
      </c>
      <c r="F78" s="13"/>
      <c r="G78" s="13"/>
      <c r="H78" s="13"/>
      <c r="I78" s="13"/>
      <c r="J78" s="13">
        <f t="shared" si="22"/>
        <v>7220800</v>
      </c>
      <c r="K78" s="13"/>
      <c r="L78" s="13">
        <v>7220800</v>
      </c>
      <c r="M78" s="13"/>
      <c r="N78" s="13"/>
      <c r="O78" s="13"/>
      <c r="P78" s="13">
        <f t="shared" si="0"/>
        <v>7220800</v>
      </c>
    </row>
    <row r="79" spans="1:16" ht="78.75">
      <c r="A79" s="16" t="s">
        <v>353</v>
      </c>
      <c r="B79" s="16" t="s">
        <v>358</v>
      </c>
      <c r="C79" s="16" t="s">
        <v>106</v>
      </c>
      <c r="D79" s="12" t="s">
        <v>363</v>
      </c>
      <c r="E79" s="13">
        <f t="shared" si="21"/>
        <v>7051000</v>
      </c>
      <c r="F79" s="13">
        <v>7051000</v>
      </c>
      <c r="G79" s="13">
        <v>7051000</v>
      </c>
      <c r="H79" s="13"/>
      <c r="I79" s="13"/>
      <c r="J79" s="13">
        <f t="shared" si="22"/>
        <v>0</v>
      </c>
      <c r="K79" s="13"/>
      <c r="L79" s="13"/>
      <c r="M79" s="13"/>
      <c r="N79" s="13"/>
      <c r="O79" s="13"/>
      <c r="P79" s="13">
        <f t="shared" si="0"/>
        <v>7051000</v>
      </c>
    </row>
    <row r="80" spans="1:16" ht="94.5">
      <c r="A80" s="8" t="s">
        <v>114</v>
      </c>
      <c r="B80" s="8" t="s">
        <v>115</v>
      </c>
      <c r="C80" s="8" t="s">
        <v>116</v>
      </c>
      <c r="D80" s="12" t="s">
        <v>117</v>
      </c>
      <c r="E80" s="13">
        <f t="shared" si="21"/>
        <v>4638400</v>
      </c>
      <c r="F80" s="13">
        <v>4638400</v>
      </c>
      <c r="G80" s="13">
        <v>0</v>
      </c>
      <c r="H80" s="13">
        <v>0</v>
      </c>
      <c r="I80" s="13">
        <v>0</v>
      </c>
      <c r="J80" s="13">
        <f t="shared" si="22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0"/>
        <v>4638400</v>
      </c>
    </row>
    <row r="81" spans="1:17" ht="31.5">
      <c r="A81" s="8" t="s">
        <v>118</v>
      </c>
      <c r="B81" s="8" t="s">
        <v>51</v>
      </c>
      <c r="C81" s="8" t="s">
        <v>52</v>
      </c>
      <c r="D81" s="12" t="s">
        <v>53</v>
      </c>
      <c r="E81" s="13">
        <f t="shared" si="21"/>
        <v>4101000</v>
      </c>
      <c r="F81" s="13">
        <v>4101000</v>
      </c>
      <c r="G81" s="13">
        <v>0</v>
      </c>
      <c r="H81" s="13">
        <v>0</v>
      </c>
      <c r="I81" s="13">
        <v>0</v>
      </c>
      <c r="J81" s="13">
        <f t="shared" si="22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0"/>
        <v>4101000</v>
      </c>
    </row>
    <row r="82" spans="1:17" ht="63">
      <c r="A82" s="8" t="s">
        <v>119</v>
      </c>
      <c r="B82" s="8" t="s">
        <v>120</v>
      </c>
      <c r="C82" s="8" t="s">
        <v>121</v>
      </c>
      <c r="D82" s="12" t="s">
        <v>342</v>
      </c>
      <c r="E82" s="13">
        <f t="shared" si="21"/>
        <v>13131800</v>
      </c>
      <c r="F82" s="13">
        <f>12646800+12000+473000</f>
        <v>13131800</v>
      </c>
      <c r="G82" s="13">
        <f>8709600+1916100</f>
        <v>10625700</v>
      </c>
      <c r="H82" s="13">
        <f>657600+21600+127000+14900</f>
        <v>821100</v>
      </c>
      <c r="I82" s="13">
        <v>0</v>
      </c>
      <c r="J82" s="13">
        <f t="shared" si="22"/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ref="P82:P120" si="24">E82 + J82</f>
        <v>13131800</v>
      </c>
    </row>
    <row r="83" spans="1:17" ht="31.5">
      <c r="A83" s="16" t="s">
        <v>290</v>
      </c>
      <c r="B83" s="16" t="s">
        <v>285</v>
      </c>
      <c r="C83" s="16" t="s">
        <v>287</v>
      </c>
      <c r="D83" s="12" t="s">
        <v>286</v>
      </c>
      <c r="E83" s="13">
        <f t="shared" si="21"/>
        <v>500000</v>
      </c>
      <c r="F83" s="13">
        <v>500000</v>
      </c>
      <c r="G83" s="13"/>
      <c r="H83" s="13"/>
      <c r="I83" s="13"/>
      <c r="J83" s="13">
        <f t="shared" si="22"/>
        <v>0</v>
      </c>
      <c r="K83" s="13"/>
      <c r="L83" s="13"/>
      <c r="M83" s="13"/>
      <c r="N83" s="13"/>
      <c r="O83" s="13"/>
      <c r="P83" s="13">
        <f t="shared" si="24"/>
        <v>500000</v>
      </c>
    </row>
    <row r="84" spans="1:17" ht="47.25">
      <c r="A84" s="16" t="s">
        <v>291</v>
      </c>
      <c r="B84" s="16">
        <v>8110</v>
      </c>
      <c r="C84" s="16" t="s">
        <v>239</v>
      </c>
      <c r="D84" s="12" t="s">
        <v>240</v>
      </c>
      <c r="E84" s="13">
        <f>F84+I84</f>
        <v>780000</v>
      </c>
      <c r="F84" s="13">
        <v>780000</v>
      </c>
      <c r="G84" s="13"/>
      <c r="H84" s="13"/>
      <c r="I84" s="13"/>
      <c r="J84" s="13">
        <f t="shared" si="22"/>
        <v>7045760</v>
      </c>
      <c r="K84" s="13">
        <f>200000+6894650+200000-37590-211300</f>
        <v>7045760</v>
      </c>
      <c r="L84" s="13"/>
      <c r="M84" s="13"/>
      <c r="N84" s="13"/>
      <c r="O84" s="13">
        <f>200000+6894650+200000-37590-211300</f>
        <v>7045760</v>
      </c>
      <c r="P84" s="13">
        <f>E84 + J84</f>
        <v>7825760</v>
      </c>
    </row>
    <row r="85" spans="1:17" ht="47.25">
      <c r="A85" s="9" t="s">
        <v>122</v>
      </c>
      <c r="B85" s="9" t="s">
        <v>19</v>
      </c>
      <c r="C85" s="9" t="s">
        <v>19</v>
      </c>
      <c r="D85" s="10" t="s">
        <v>123</v>
      </c>
      <c r="E85" s="11">
        <f>F85+I85</f>
        <v>119247947.87</v>
      </c>
      <c r="F85" s="11">
        <f>F86</f>
        <v>119247947.87</v>
      </c>
      <c r="G85" s="11">
        <f>G86</f>
        <v>46875592.870000005</v>
      </c>
      <c r="H85" s="11">
        <f>H86</f>
        <v>1477200</v>
      </c>
      <c r="I85" s="11">
        <f>I86</f>
        <v>0</v>
      </c>
      <c r="J85" s="11">
        <f>L85+O85</f>
        <v>1173625</v>
      </c>
      <c r="K85" s="11">
        <f>K86</f>
        <v>991625</v>
      </c>
      <c r="L85" s="11">
        <f t="shared" ref="L85:O85" si="25">L86</f>
        <v>57000</v>
      </c>
      <c r="M85" s="11">
        <f t="shared" si="25"/>
        <v>0</v>
      </c>
      <c r="N85" s="11">
        <f t="shared" si="25"/>
        <v>0</v>
      </c>
      <c r="O85" s="11">
        <f t="shared" si="25"/>
        <v>1116625</v>
      </c>
      <c r="P85" s="11">
        <f t="shared" si="24"/>
        <v>120421572.87</v>
      </c>
      <c r="Q85" s="5"/>
    </row>
    <row r="86" spans="1:17" ht="47.25">
      <c r="A86" s="9" t="s">
        <v>124</v>
      </c>
      <c r="B86" s="9" t="s">
        <v>19</v>
      </c>
      <c r="C86" s="9" t="s">
        <v>19</v>
      </c>
      <c r="D86" s="10" t="s">
        <v>123</v>
      </c>
      <c r="E86" s="11">
        <f>F86+I86</f>
        <v>119247947.87</v>
      </c>
      <c r="F86" s="11">
        <f>SUM(F87:F104)</f>
        <v>119247947.87</v>
      </c>
      <c r="G86" s="11">
        <f t="shared" ref="G86:K86" si="26">SUM(G87:G104)</f>
        <v>46875592.870000005</v>
      </c>
      <c r="H86" s="11">
        <f t="shared" si="26"/>
        <v>1477200</v>
      </c>
      <c r="I86" s="11">
        <f t="shared" si="26"/>
        <v>0</v>
      </c>
      <c r="J86" s="11">
        <f>L86+O86</f>
        <v>1173625</v>
      </c>
      <c r="K86" s="11">
        <f t="shared" si="26"/>
        <v>991625</v>
      </c>
      <c r="L86" s="11">
        <f t="shared" ref="L86" si="27">SUM(L87:L104)</f>
        <v>57000</v>
      </c>
      <c r="M86" s="11">
        <f t="shared" ref="M86" si="28">SUM(M87:M104)</f>
        <v>0</v>
      </c>
      <c r="N86" s="11">
        <f t="shared" ref="N86" si="29">SUM(N87:N104)</f>
        <v>0</v>
      </c>
      <c r="O86" s="11">
        <f t="shared" ref="O86" si="30">SUM(O87:O104)</f>
        <v>1116625</v>
      </c>
      <c r="P86" s="11">
        <f t="shared" si="24"/>
        <v>120421572.87</v>
      </c>
      <c r="Q86" s="5"/>
    </row>
    <row r="87" spans="1:17" ht="47.25">
      <c r="A87" s="8" t="s">
        <v>125</v>
      </c>
      <c r="B87" s="8" t="s">
        <v>76</v>
      </c>
      <c r="C87" s="8" t="s">
        <v>24</v>
      </c>
      <c r="D87" s="12" t="s">
        <v>77</v>
      </c>
      <c r="E87" s="13">
        <f>F87+I87</f>
        <v>22512700</v>
      </c>
      <c r="F87" s="13">
        <v>22512700</v>
      </c>
      <c r="G87" s="13">
        <f>17437500+3836200</f>
        <v>21273700</v>
      </c>
      <c r="H87" s="13">
        <f>500000+20000+300000</f>
        <v>820000</v>
      </c>
      <c r="I87" s="13">
        <v>0</v>
      </c>
      <c r="J87" s="13">
        <f>L87+O87</f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4"/>
        <v>22512700</v>
      </c>
    </row>
    <row r="88" spans="1:17" ht="31.5">
      <c r="A88" s="8" t="s">
        <v>126</v>
      </c>
      <c r="B88" s="8" t="s">
        <v>31</v>
      </c>
      <c r="C88" s="8" t="s">
        <v>32</v>
      </c>
      <c r="D88" s="12" t="s">
        <v>33</v>
      </c>
      <c r="E88" s="13">
        <f t="shared" ref="E88:E107" si="31">F88+I88</f>
        <v>50000</v>
      </c>
      <c r="F88" s="13">
        <v>50000</v>
      </c>
      <c r="G88" s="13">
        <v>0</v>
      </c>
      <c r="H88" s="13">
        <v>0</v>
      </c>
      <c r="I88" s="13">
        <v>0</v>
      </c>
      <c r="J88" s="13">
        <f t="shared" ref="J88:J176" si="32">L88+O88</f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4"/>
        <v>50000</v>
      </c>
    </row>
    <row r="89" spans="1:17" ht="47.25">
      <c r="A89" s="8" t="s">
        <v>127</v>
      </c>
      <c r="B89" s="8" t="s">
        <v>128</v>
      </c>
      <c r="C89" s="8" t="s">
        <v>129</v>
      </c>
      <c r="D89" s="12" t="s">
        <v>130</v>
      </c>
      <c r="E89" s="13">
        <f t="shared" si="31"/>
        <v>3161000</v>
      </c>
      <c r="F89" s="13">
        <v>3161000</v>
      </c>
      <c r="G89" s="13">
        <v>0</v>
      </c>
      <c r="H89" s="13">
        <v>0</v>
      </c>
      <c r="I89" s="13">
        <v>0</v>
      </c>
      <c r="J89" s="13">
        <f t="shared" si="32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4"/>
        <v>3161000</v>
      </c>
    </row>
    <row r="90" spans="1:17" ht="31.5">
      <c r="A90" s="8" t="s">
        <v>131</v>
      </c>
      <c r="B90" s="8" t="s">
        <v>132</v>
      </c>
      <c r="C90" s="8" t="s">
        <v>97</v>
      </c>
      <c r="D90" s="12" t="s">
        <v>133</v>
      </c>
      <c r="E90" s="13">
        <f t="shared" si="31"/>
        <v>5000</v>
      </c>
      <c r="F90" s="13">
        <v>5000</v>
      </c>
      <c r="G90" s="13">
        <v>0</v>
      </c>
      <c r="H90" s="13">
        <v>0</v>
      </c>
      <c r="I90" s="13">
        <v>0</v>
      </c>
      <c r="J90" s="13">
        <f t="shared" si="32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4"/>
        <v>5000</v>
      </c>
    </row>
    <row r="91" spans="1:17" s="21" customFormat="1" ht="47.25">
      <c r="A91" s="20" t="s">
        <v>134</v>
      </c>
      <c r="B91" s="20" t="s">
        <v>135</v>
      </c>
      <c r="C91" s="20" t="s">
        <v>97</v>
      </c>
      <c r="D91" s="12" t="s">
        <v>136</v>
      </c>
      <c r="E91" s="13">
        <f t="shared" si="31"/>
        <v>444119</v>
      </c>
      <c r="F91" s="13">
        <v>444119</v>
      </c>
      <c r="G91" s="13">
        <v>0</v>
      </c>
      <c r="H91" s="13">
        <v>0</v>
      </c>
      <c r="I91" s="13">
        <v>0</v>
      </c>
      <c r="J91" s="13">
        <f t="shared" si="32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4"/>
        <v>444119</v>
      </c>
    </row>
    <row r="92" spans="1:17" s="21" customFormat="1" ht="47.25">
      <c r="A92" s="20" t="s">
        <v>137</v>
      </c>
      <c r="B92" s="20" t="s">
        <v>138</v>
      </c>
      <c r="C92" s="20" t="s">
        <v>129</v>
      </c>
      <c r="D92" s="12" t="s">
        <v>139</v>
      </c>
      <c r="E92" s="13">
        <f t="shared" si="31"/>
        <v>83516</v>
      </c>
      <c r="F92" s="13">
        <v>83516</v>
      </c>
      <c r="G92" s="13">
        <v>0</v>
      </c>
      <c r="H92" s="13">
        <v>0</v>
      </c>
      <c r="I92" s="13">
        <v>0</v>
      </c>
      <c r="J92" s="13">
        <f t="shared" si="32"/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4"/>
        <v>83516</v>
      </c>
    </row>
    <row r="93" spans="1:17" ht="78.75">
      <c r="A93" s="8" t="s">
        <v>140</v>
      </c>
      <c r="B93" s="8" t="s">
        <v>141</v>
      </c>
      <c r="C93" s="8" t="s">
        <v>142</v>
      </c>
      <c r="D93" s="12" t="s">
        <v>143</v>
      </c>
      <c r="E93" s="13">
        <f t="shared" si="31"/>
        <v>18855774.870000001</v>
      </c>
      <c r="F93" s="13">
        <f>17480300+1200000+175474.87</f>
        <v>18855774.870000001</v>
      </c>
      <c r="G93" s="13">
        <f>13304500+2932600+1200000+175474.87</f>
        <v>17612574.870000001</v>
      </c>
      <c r="H93" s="13">
        <f>190000+6000+140000</f>
        <v>336000</v>
      </c>
      <c r="I93" s="13">
        <v>0</v>
      </c>
      <c r="J93" s="13">
        <f t="shared" si="32"/>
        <v>182000</v>
      </c>
      <c r="K93" s="13">
        <v>0</v>
      </c>
      <c r="L93" s="13">
        <v>57000</v>
      </c>
      <c r="M93" s="13">
        <v>0</v>
      </c>
      <c r="N93" s="13">
        <v>0</v>
      </c>
      <c r="O93" s="13">
        <v>125000</v>
      </c>
      <c r="P93" s="13">
        <f t="shared" si="24"/>
        <v>19037774.870000001</v>
      </c>
    </row>
    <row r="94" spans="1:17" ht="110.25">
      <c r="A94" s="8" t="s">
        <v>144</v>
      </c>
      <c r="B94" s="8" t="s">
        <v>145</v>
      </c>
      <c r="C94" s="8" t="s">
        <v>116</v>
      </c>
      <c r="D94" s="12" t="s">
        <v>340</v>
      </c>
      <c r="E94" s="13">
        <f t="shared" si="31"/>
        <v>9399500</v>
      </c>
      <c r="F94" s="13">
        <f>9208500+93000+98000</f>
        <v>9399500</v>
      </c>
      <c r="G94" s="13">
        <f>6040000+1344700</f>
        <v>7384700</v>
      </c>
      <c r="H94" s="13">
        <f>123600+18800+178800</f>
        <v>321200</v>
      </c>
      <c r="I94" s="13">
        <v>0</v>
      </c>
      <c r="J94" s="13">
        <f t="shared" si="32"/>
        <v>991625</v>
      </c>
      <c r="K94" s="13">
        <v>991625</v>
      </c>
      <c r="L94" s="13">
        <v>0</v>
      </c>
      <c r="M94" s="13">
        <v>0</v>
      </c>
      <c r="N94" s="13">
        <v>0</v>
      </c>
      <c r="O94" s="13">
        <v>991625</v>
      </c>
      <c r="P94" s="13">
        <f t="shared" si="24"/>
        <v>10391125</v>
      </c>
    </row>
    <row r="95" spans="1:17" ht="31.5">
      <c r="A95" s="8" t="s">
        <v>146</v>
      </c>
      <c r="B95" s="8" t="s">
        <v>147</v>
      </c>
      <c r="C95" s="8" t="s">
        <v>116</v>
      </c>
      <c r="D95" s="12" t="s">
        <v>148</v>
      </c>
      <c r="E95" s="13">
        <f t="shared" si="31"/>
        <v>707500</v>
      </c>
      <c r="F95" s="13">
        <v>707500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707500</v>
      </c>
    </row>
    <row r="96" spans="1:17" ht="94.5">
      <c r="A96" s="16" t="s">
        <v>292</v>
      </c>
      <c r="B96" s="8" t="s">
        <v>115</v>
      </c>
      <c r="C96" s="8" t="s">
        <v>116</v>
      </c>
      <c r="D96" s="12" t="s">
        <v>117</v>
      </c>
      <c r="E96" s="13">
        <f t="shared" si="31"/>
        <v>1200000</v>
      </c>
      <c r="F96" s="13">
        <f>200000+1000000</f>
        <v>1200000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1200000</v>
      </c>
    </row>
    <row r="97" spans="1:17" ht="110.25">
      <c r="A97" s="8" t="s">
        <v>149</v>
      </c>
      <c r="B97" s="8" t="s">
        <v>150</v>
      </c>
      <c r="C97" s="8" t="s">
        <v>79</v>
      </c>
      <c r="D97" s="12" t="s">
        <v>151</v>
      </c>
      <c r="E97" s="13">
        <f t="shared" si="31"/>
        <v>3300000</v>
      </c>
      <c r="F97" s="13">
        <v>3300000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3300000</v>
      </c>
    </row>
    <row r="98" spans="1:17" s="21" customFormat="1" ht="78.75">
      <c r="A98" s="20" t="s">
        <v>152</v>
      </c>
      <c r="B98" s="20" t="s">
        <v>153</v>
      </c>
      <c r="C98" s="20" t="s">
        <v>79</v>
      </c>
      <c r="D98" s="12" t="s">
        <v>154</v>
      </c>
      <c r="E98" s="13">
        <f t="shared" si="31"/>
        <v>28720</v>
      </c>
      <c r="F98" s="13">
        <v>28720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28720</v>
      </c>
    </row>
    <row r="99" spans="1:17" ht="94.5">
      <c r="A99" s="8" t="s">
        <v>155</v>
      </c>
      <c r="B99" s="8" t="s">
        <v>156</v>
      </c>
      <c r="C99" s="8" t="s">
        <v>157</v>
      </c>
      <c r="D99" s="12" t="s">
        <v>158</v>
      </c>
      <c r="E99" s="13">
        <f t="shared" si="31"/>
        <v>1000000</v>
      </c>
      <c r="F99" s="13">
        <v>1000000</v>
      </c>
      <c r="G99" s="13">
        <v>0</v>
      </c>
      <c r="H99" s="13">
        <v>0</v>
      </c>
      <c r="I99" s="13">
        <v>0</v>
      </c>
      <c r="J99" s="13">
        <f t="shared" si="32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4"/>
        <v>1000000</v>
      </c>
    </row>
    <row r="100" spans="1:17" ht="63">
      <c r="A100" s="8" t="s">
        <v>159</v>
      </c>
      <c r="B100" s="8" t="s">
        <v>160</v>
      </c>
      <c r="C100" s="8" t="s">
        <v>129</v>
      </c>
      <c r="D100" s="12" t="s">
        <v>161</v>
      </c>
      <c r="E100" s="13">
        <f t="shared" si="31"/>
        <v>71000</v>
      </c>
      <c r="F100" s="13">
        <v>71000</v>
      </c>
      <c r="G100" s="13">
        <v>0</v>
      </c>
      <c r="H100" s="13">
        <v>0</v>
      </c>
      <c r="I100" s="13">
        <v>0</v>
      </c>
      <c r="J100" s="13">
        <f t="shared" si="32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4"/>
        <v>71000</v>
      </c>
    </row>
    <row r="101" spans="1:17" ht="94.5">
      <c r="A101" s="16" t="s">
        <v>392</v>
      </c>
      <c r="B101" s="37">
        <v>3193</v>
      </c>
      <c r="C101" s="37">
        <v>1030</v>
      </c>
      <c r="D101" s="12" t="s">
        <v>391</v>
      </c>
      <c r="E101" s="13">
        <f t="shared" si="31"/>
        <v>604618</v>
      </c>
      <c r="F101" s="13">
        <v>604618</v>
      </c>
      <c r="G101" s="13">
        <v>604618</v>
      </c>
      <c r="H101" s="13"/>
      <c r="I101" s="13"/>
      <c r="J101" s="13">
        <f t="shared" si="32"/>
        <v>0</v>
      </c>
      <c r="K101" s="13"/>
      <c r="L101" s="13"/>
      <c r="M101" s="13"/>
      <c r="N101" s="13"/>
      <c r="O101" s="13"/>
      <c r="P101" s="13">
        <f t="shared" si="24"/>
        <v>604618</v>
      </c>
    </row>
    <row r="102" spans="1:17" ht="63">
      <c r="A102" s="8" t="s">
        <v>162</v>
      </c>
      <c r="B102" s="8" t="s">
        <v>163</v>
      </c>
      <c r="C102" s="8" t="s">
        <v>97</v>
      </c>
      <c r="D102" s="12" t="s">
        <v>164</v>
      </c>
      <c r="E102" s="13">
        <f t="shared" si="31"/>
        <v>497600</v>
      </c>
      <c r="F102" s="13">
        <v>497600</v>
      </c>
      <c r="G102" s="13">
        <v>0</v>
      </c>
      <c r="H102" s="13">
        <v>0</v>
      </c>
      <c r="I102" s="13">
        <v>0</v>
      </c>
      <c r="J102" s="13">
        <f t="shared" si="32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4"/>
        <v>497600</v>
      </c>
    </row>
    <row r="103" spans="1:17" ht="31.5">
      <c r="A103" s="8" t="s">
        <v>165</v>
      </c>
      <c r="B103" s="8" t="s">
        <v>51</v>
      </c>
      <c r="C103" s="8" t="s">
        <v>52</v>
      </c>
      <c r="D103" s="12" t="s">
        <v>53</v>
      </c>
      <c r="E103" s="13">
        <f t="shared" si="31"/>
        <v>57048400</v>
      </c>
      <c r="F103" s="13">
        <f>57048400-35000000+1000000+35000000-1000000</f>
        <v>57048400</v>
      </c>
      <c r="G103" s="13">
        <v>0</v>
      </c>
      <c r="H103" s="13">
        <v>0</v>
      </c>
      <c r="I103" s="13">
        <v>0</v>
      </c>
      <c r="J103" s="13">
        <f t="shared" si="32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4"/>
        <v>57048400</v>
      </c>
    </row>
    <row r="104" spans="1:17" ht="31.5">
      <c r="A104" s="16" t="s">
        <v>293</v>
      </c>
      <c r="B104" s="16" t="s">
        <v>285</v>
      </c>
      <c r="C104" s="16" t="s">
        <v>287</v>
      </c>
      <c r="D104" s="12" t="s">
        <v>286</v>
      </c>
      <c r="E104" s="13">
        <f t="shared" si="31"/>
        <v>278500</v>
      </c>
      <c r="F104" s="13">
        <f>SUM(F105:F107)</f>
        <v>278500</v>
      </c>
      <c r="G104" s="13"/>
      <c r="H104" s="13"/>
      <c r="I104" s="13"/>
      <c r="J104" s="13">
        <f t="shared" si="32"/>
        <v>0</v>
      </c>
      <c r="K104" s="13"/>
      <c r="L104" s="13"/>
      <c r="M104" s="13"/>
      <c r="N104" s="13"/>
      <c r="O104" s="13"/>
      <c r="P104" s="13">
        <f t="shared" ref="P104:P107" si="33">E104 + J104</f>
        <v>278500</v>
      </c>
    </row>
    <row r="105" spans="1:17" s="7" customFormat="1" ht="47.25">
      <c r="A105" s="19"/>
      <c r="B105" s="19"/>
      <c r="C105" s="19"/>
      <c r="D105" s="1" t="s">
        <v>309</v>
      </c>
      <c r="E105" s="15">
        <f t="shared" si="31"/>
        <v>96200</v>
      </c>
      <c r="F105" s="15">
        <v>96200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3"/>
        <v>96200</v>
      </c>
    </row>
    <row r="106" spans="1:17" s="7" customFormat="1" ht="63">
      <c r="A106" s="19"/>
      <c r="B106" s="19"/>
      <c r="C106" s="19"/>
      <c r="D106" s="1" t="s">
        <v>314</v>
      </c>
      <c r="E106" s="15">
        <f t="shared" si="31"/>
        <v>126900</v>
      </c>
      <c r="F106" s="15">
        <v>126900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f t="shared" si="33"/>
        <v>126900</v>
      </c>
    </row>
    <row r="107" spans="1:17" s="7" customFormat="1" ht="78.75">
      <c r="A107" s="19"/>
      <c r="B107" s="19"/>
      <c r="C107" s="19"/>
      <c r="D107" s="1" t="s">
        <v>313</v>
      </c>
      <c r="E107" s="15">
        <f t="shared" si="31"/>
        <v>55400</v>
      </c>
      <c r="F107" s="15">
        <v>55400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f t="shared" si="33"/>
        <v>55400</v>
      </c>
    </row>
    <row r="108" spans="1:17" ht="47.25">
      <c r="A108" s="9" t="s">
        <v>166</v>
      </c>
      <c r="B108" s="9" t="s">
        <v>19</v>
      </c>
      <c r="C108" s="9" t="s">
        <v>19</v>
      </c>
      <c r="D108" s="10" t="s">
        <v>167</v>
      </c>
      <c r="E108" s="11">
        <f t="shared" ref="E108:E115" si="34">F108+I108</f>
        <v>3720800</v>
      </c>
      <c r="F108" s="11">
        <f>F109</f>
        <v>3720800</v>
      </c>
      <c r="G108" s="11">
        <f t="shared" ref="G108:I108" si="35">G109</f>
        <v>3224300</v>
      </c>
      <c r="H108" s="11">
        <f t="shared" si="35"/>
        <v>0</v>
      </c>
      <c r="I108" s="11">
        <f t="shared" si="35"/>
        <v>0</v>
      </c>
      <c r="J108" s="11">
        <f t="shared" si="32"/>
        <v>0</v>
      </c>
      <c r="K108" s="11">
        <f>K109</f>
        <v>0</v>
      </c>
      <c r="L108" s="11">
        <f t="shared" ref="L108:O108" si="36">L109</f>
        <v>0</v>
      </c>
      <c r="M108" s="11">
        <f t="shared" si="36"/>
        <v>0</v>
      </c>
      <c r="N108" s="11">
        <f t="shared" si="36"/>
        <v>0</v>
      </c>
      <c r="O108" s="11">
        <f t="shared" si="36"/>
        <v>0</v>
      </c>
      <c r="P108" s="11">
        <f t="shared" si="24"/>
        <v>3720800</v>
      </c>
      <c r="Q108" s="5"/>
    </row>
    <row r="109" spans="1:17" ht="47.25">
      <c r="A109" s="9" t="s">
        <v>168</v>
      </c>
      <c r="B109" s="9" t="s">
        <v>19</v>
      </c>
      <c r="C109" s="9" t="s">
        <v>19</v>
      </c>
      <c r="D109" s="10" t="s">
        <v>167</v>
      </c>
      <c r="E109" s="11">
        <f t="shared" si="34"/>
        <v>3720800</v>
      </c>
      <c r="F109" s="11">
        <f>SUM(F110:F112)</f>
        <v>3720800</v>
      </c>
      <c r="G109" s="11">
        <f t="shared" ref="G109:K109" si="37">SUM(G110:G112)</f>
        <v>3224300</v>
      </c>
      <c r="H109" s="11">
        <f t="shared" si="37"/>
        <v>0</v>
      </c>
      <c r="I109" s="11">
        <f t="shared" si="37"/>
        <v>0</v>
      </c>
      <c r="J109" s="11">
        <f t="shared" si="32"/>
        <v>0</v>
      </c>
      <c r="K109" s="11">
        <f t="shared" si="37"/>
        <v>0</v>
      </c>
      <c r="L109" s="11">
        <f t="shared" ref="L109" si="38">SUM(L110:L112)</f>
        <v>0</v>
      </c>
      <c r="M109" s="11">
        <f t="shared" ref="M109" si="39">SUM(M110:M112)</f>
        <v>0</v>
      </c>
      <c r="N109" s="11">
        <f t="shared" ref="N109" si="40">SUM(N110:N112)</f>
        <v>0</v>
      </c>
      <c r="O109" s="11">
        <f t="shared" ref="O109" si="41">SUM(O110:O112)</f>
        <v>0</v>
      </c>
      <c r="P109" s="11">
        <f t="shared" si="24"/>
        <v>3720800</v>
      </c>
    </row>
    <row r="110" spans="1:17" ht="47.25">
      <c r="A110" s="8" t="s">
        <v>169</v>
      </c>
      <c r="B110" s="8" t="s">
        <v>76</v>
      </c>
      <c r="C110" s="8" t="s">
        <v>24</v>
      </c>
      <c r="D110" s="12" t="s">
        <v>77</v>
      </c>
      <c r="E110" s="13">
        <f t="shared" si="34"/>
        <v>3342500</v>
      </c>
      <c r="F110" s="13">
        <v>3342500</v>
      </c>
      <c r="G110" s="13">
        <f>2642900+581400</f>
        <v>3224300</v>
      </c>
      <c r="H110" s="13">
        <v>0</v>
      </c>
      <c r="I110" s="13">
        <v>0</v>
      </c>
      <c r="J110" s="13">
        <f t="shared" si="32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24"/>
        <v>3342500</v>
      </c>
    </row>
    <row r="111" spans="1:17" ht="31.5">
      <c r="A111" s="8" t="s">
        <v>170</v>
      </c>
      <c r="B111" s="8" t="s">
        <v>171</v>
      </c>
      <c r="C111" s="8" t="s">
        <v>116</v>
      </c>
      <c r="D111" s="12" t="s">
        <v>172</v>
      </c>
      <c r="E111" s="13">
        <f t="shared" si="34"/>
        <v>278000</v>
      </c>
      <c r="F111" s="13">
        <v>278000</v>
      </c>
      <c r="G111" s="13">
        <v>0</v>
      </c>
      <c r="H111" s="13">
        <v>0</v>
      </c>
      <c r="I111" s="13">
        <v>0</v>
      </c>
      <c r="J111" s="13">
        <f t="shared" si="32"/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f t="shared" si="24"/>
        <v>278000</v>
      </c>
    </row>
    <row r="112" spans="1:17" ht="31.5">
      <c r="A112" s="16" t="s">
        <v>294</v>
      </c>
      <c r="B112" s="16" t="s">
        <v>285</v>
      </c>
      <c r="C112" s="16" t="s">
        <v>287</v>
      </c>
      <c r="D112" s="12" t="s">
        <v>286</v>
      </c>
      <c r="E112" s="13">
        <f t="shared" si="34"/>
        <v>100300</v>
      </c>
      <c r="F112" s="13">
        <v>100300</v>
      </c>
      <c r="G112" s="13"/>
      <c r="H112" s="13"/>
      <c r="I112" s="13"/>
      <c r="J112" s="13">
        <f t="shared" ref="J112" si="42">L112+O112</f>
        <v>0</v>
      </c>
      <c r="K112" s="13"/>
      <c r="L112" s="13"/>
      <c r="M112" s="13"/>
      <c r="N112" s="13"/>
      <c r="O112" s="13"/>
      <c r="P112" s="13">
        <f t="shared" si="24"/>
        <v>100300</v>
      </c>
    </row>
    <row r="113" spans="1:17" ht="47.25">
      <c r="A113" s="9" t="s">
        <v>173</v>
      </c>
      <c r="B113" s="9" t="s">
        <v>19</v>
      </c>
      <c r="C113" s="9" t="s">
        <v>19</v>
      </c>
      <c r="D113" s="10" t="s">
        <v>174</v>
      </c>
      <c r="E113" s="11">
        <f t="shared" si="34"/>
        <v>57837100</v>
      </c>
      <c r="F113" s="11">
        <f>F114</f>
        <v>57837100</v>
      </c>
      <c r="G113" s="11">
        <f t="shared" ref="G113:I113" si="43">G114</f>
        <v>48890200</v>
      </c>
      <c r="H113" s="11">
        <f t="shared" si="43"/>
        <v>3759100</v>
      </c>
      <c r="I113" s="11">
        <f t="shared" si="43"/>
        <v>0</v>
      </c>
      <c r="J113" s="11">
        <f t="shared" si="32"/>
        <v>1596000</v>
      </c>
      <c r="K113" s="11">
        <f>K114</f>
        <v>230000</v>
      </c>
      <c r="L113" s="11">
        <f t="shared" ref="L113:O113" si="44">L114</f>
        <v>1136000</v>
      </c>
      <c r="M113" s="11">
        <f t="shared" si="44"/>
        <v>507100</v>
      </c>
      <c r="N113" s="11">
        <f t="shared" si="44"/>
        <v>0</v>
      </c>
      <c r="O113" s="11">
        <f t="shared" si="44"/>
        <v>460000</v>
      </c>
      <c r="P113" s="11">
        <f t="shared" si="24"/>
        <v>59433100</v>
      </c>
      <c r="Q113" s="5"/>
    </row>
    <row r="114" spans="1:17" ht="47.25">
      <c r="A114" s="9" t="s">
        <v>175</v>
      </c>
      <c r="B114" s="9" t="s">
        <v>19</v>
      </c>
      <c r="C114" s="9" t="s">
        <v>19</v>
      </c>
      <c r="D114" s="10" t="s">
        <v>174</v>
      </c>
      <c r="E114" s="11">
        <f t="shared" si="34"/>
        <v>57837100</v>
      </c>
      <c r="F114" s="11">
        <f>SUM(F115:F123)</f>
        <v>57837100</v>
      </c>
      <c r="G114" s="11">
        <f t="shared" ref="G114:K114" si="45">SUM(G115:G123)</f>
        <v>48890200</v>
      </c>
      <c r="H114" s="11">
        <f t="shared" si="45"/>
        <v>3759100</v>
      </c>
      <c r="I114" s="11">
        <f t="shared" si="45"/>
        <v>0</v>
      </c>
      <c r="J114" s="11">
        <f t="shared" si="32"/>
        <v>1596000</v>
      </c>
      <c r="K114" s="11">
        <f t="shared" si="45"/>
        <v>230000</v>
      </c>
      <c r="L114" s="11">
        <f t="shared" ref="L114" si="46">SUM(L115:L123)</f>
        <v>1136000</v>
      </c>
      <c r="M114" s="11">
        <f t="shared" ref="M114" si="47">SUM(M115:M123)</f>
        <v>507100</v>
      </c>
      <c r="N114" s="11">
        <f t="shared" ref="N114" si="48">SUM(N115:N123)</f>
        <v>0</v>
      </c>
      <c r="O114" s="11">
        <f t="shared" ref="O114" si="49">SUM(O115:O123)</f>
        <v>460000</v>
      </c>
      <c r="P114" s="11">
        <f t="shared" si="24"/>
        <v>59433100</v>
      </c>
    </row>
    <row r="115" spans="1:17" ht="47.25">
      <c r="A115" s="8" t="s">
        <v>176</v>
      </c>
      <c r="B115" s="8" t="s">
        <v>76</v>
      </c>
      <c r="C115" s="8" t="s">
        <v>24</v>
      </c>
      <c r="D115" s="12" t="s">
        <v>77</v>
      </c>
      <c r="E115" s="13">
        <f t="shared" si="34"/>
        <v>1352500</v>
      </c>
      <c r="F115" s="13">
        <v>1352500</v>
      </c>
      <c r="G115" s="13">
        <f>1085700+238900</f>
        <v>1324600</v>
      </c>
      <c r="H115" s="13">
        <v>0</v>
      </c>
      <c r="I115" s="13">
        <v>0</v>
      </c>
      <c r="J115" s="13">
        <f t="shared" si="32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4"/>
        <v>1352500</v>
      </c>
    </row>
    <row r="116" spans="1:17" ht="31.5">
      <c r="A116" s="8" t="s">
        <v>177</v>
      </c>
      <c r="B116" s="8" t="s">
        <v>178</v>
      </c>
      <c r="C116" s="8" t="s">
        <v>98</v>
      </c>
      <c r="D116" s="12" t="s">
        <v>179</v>
      </c>
      <c r="E116" s="13">
        <f t="shared" ref="E116:E123" si="50">F116+I116</f>
        <v>25845900</v>
      </c>
      <c r="F116" s="13">
        <f>25258300+587600</f>
        <v>25845900</v>
      </c>
      <c r="G116" s="13">
        <f>19980300+4395600</f>
        <v>24375900</v>
      </c>
      <c r="H116" s="13">
        <f>24500+399000+292900+34000</f>
        <v>750400</v>
      </c>
      <c r="I116" s="13">
        <v>0</v>
      </c>
      <c r="J116" s="13">
        <f t="shared" si="32"/>
        <v>1086000</v>
      </c>
      <c r="K116" s="13">
        <v>0</v>
      </c>
      <c r="L116" s="13">
        <v>886000</v>
      </c>
      <c r="M116" s="13">
        <f>405800+89300</f>
        <v>495100</v>
      </c>
      <c r="N116" s="13">
        <v>0</v>
      </c>
      <c r="O116" s="13">
        <v>200000</v>
      </c>
      <c r="P116" s="13">
        <f t="shared" si="24"/>
        <v>26931900</v>
      </c>
    </row>
    <row r="117" spans="1:17" ht="94.5">
      <c r="A117" s="8" t="s">
        <v>180</v>
      </c>
      <c r="B117" s="8" t="s">
        <v>115</v>
      </c>
      <c r="C117" s="8" t="s">
        <v>116</v>
      </c>
      <c r="D117" s="12" t="s">
        <v>117</v>
      </c>
      <c r="E117" s="13">
        <f t="shared" si="50"/>
        <v>150000</v>
      </c>
      <c r="F117" s="13">
        <v>150000</v>
      </c>
      <c r="G117" s="13">
        <v>0</v>
      </c>
      <c r="H117" s="13">
        <v>0</v>
      </c>
      <c r="I117" s="13">
        <v>0</v>
      </c>
      <c r="J117" s="13">
        <f t="shared" si="32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24"/>
        <v>150000</v>
      </c>
    </row>
    <row r="118" spans="1:17">
      <c r="A118" s="8" t="s">
        <v>181</v>
      </c>
      <c r="B118" s="8" t="s">
        <v>182</v>
      </c>
      <c r="C118" s="8" t="s">
        <v>183</v>
      </c>
      <c r="D118" s="12" t="s">
        <v>184</v>
      </c>
      <c r="E118" s="13">
        <f t="shared" si="50"/>
        <v>9465700</v>
      </c>
      <c r="F118" s="13">
        <f>9205700+260000</f>
        <v>9465700</v>
      </c>
      <c r="G118" s="13">
        <f>6059000+1332900</f>
        <v>7391900</v>
      </c>
      <c r="H118" s="13">
        <f>741700+20200+410400+36800+4700</f>
        <v>1213800</v>
      </c>
      <c r="I118" s="13">
        <v>0</v>
      </c>
      <c r="J118" s="13">
        <f t="shared" si="32"/>
        <v>80000</v>
      </c>
      <c r="K118" s="13">
        <v>0</v>
      </c>
      <c r="L118" s="13">
        <f>80000</f>
        <v>80000</v>
      </c>
      <c r="M118" s="13">
        <v>0</v>
      </c>
      <c r="N118" s="13">
        <v>0</v>
      </c>
      <c r="O118" s="13">
        <v>0</v>
      </c>
      <c r="P118" s="13">
        <f t="shared" si="24"/>
        <v>9545700</v>
      </c>
    </row>
    <row r="119" spans="1:17" ht="31.5">
      <c r="A119" s="8" t="s">
        <v>185</v>
      </c>
      <c r="B119" s="8" t="s">
        <v>186</v>
      </c>
      <c r="C119" s="8" t="s">
        <v>183</v>
      </c>
      <c r="D119" s="12" t="s">
        <v>187</v>
      </c>
      <c r="E119" s="13">
        <f t="shared" si="50"/>
        <v>3928000</v>
      </c>
      <c r="F119" s="13">
        <f>3595900+136500+195600</f>
        <v>3928000</v>
      </c>
      <c r="G119" s="13">
        <f>2170200+477400</f>
        <v>2647600</v>
      </c>
      <c r="H119" s="13">
        <f>370700+10100+125400+3100</f>
        <v>509300</v>
      </c>
      <c r="I119" s="13">
        <v>0</v>
      </c>
      <c r="J119" s="13">
        <f t="shared" si="32"/>
        <v>40000</v>
      </c>
      <c r="K119" s="13">
        <v>0</v>
      </c>
      <c r="L119" s="13">
        <v>40000</v>
      </c>
      <c r="M119" s="13">
        <v>0</v>
      </c>
      <c r="N119" s="13">
        <v>0</v>
      </c>
      <c r="O119" s="13">
        <v>0</v>
      </c>
      <c r="P119" s="13">
        <f t="shared" si="24"/>
        <v>3968000</v>
      </c>
    </row>
    <row r="120" spans="1:17" ht="47.25">
      <c r="A120" s="8" t="s">
        <v>188</v>
      </c>
      <c r="B120" s="8" t="s">
        <v>189</v>
      </c>
      <c r="C120" s="8" t="s">
        <v>190</v>
      </c>
      <c r="D120" s="12" t="s">
        <v>191</v>
      </c>
      <c r="E120" s="13">
        <f t="shared" si="50"/>
        <v>13652200</v>
      </c>
      <c r="F120" s="13">
        <f>13136300+515900+30000-30000</f>
        <v>13652200</v>
      </c>
      <c r="G120" s="13">
        <f>8756500+1926400</f>
        <v>10682900</v>
      </c>
      <c r="H120" s="13">
        <f>44400+535800+392900+241000</f>
        <v>1214100</v>
      </c>
      <c r="I120" s="13">
        <v>0</v>
      </c>
      <c r="J120" s="13">
        <f t="shared" si="32"/>
        <v>390000</v>
      </c>
      <c r="K120" s="13">
        <f>200000+30000</f>
        <v>230000</v>
      </c>
      <c r="L120" s="13">
        <v>130000</v>
      </c>
      <c r="M120" s="13">
        <f>10000+2000</f>
        <v>12000</v>
      </c>
      <c r="N120" s="13">
        <v>0</v>
      </c>
      <c r="O120" s="13">
        <f>30000+200000+30000</f>
        <v>260000</v>
      </c>
      <c r="P120" s="13">
        <f t="shared" si="24"/>
        <v>14042200</v>
      </c>
    </row>
    <row r="121" spans="1:17" ht="31.5">
      <c r="A121" s="8" t="s">
        <v>192</v>
      </c>
      <c r="B121" s="8" t="s">
        <v>193</v>
      </c>
      <c r="C121" s="8" t="s">
        <v>194</v>
      </c>
      <c r="D121" s="12" t="s">
        <v>195</v>
      </c>
      <c r="E121" s="13">
        <f t="shared" si="50"/>
        <v>2595800</v>
      </c>
      <c r="F121" s="13">
        <v>2595800</v>
      </c>
      <c r="G121" s="13">
        <f>2022400+444900</f>
        <v>2467300</v>
      </c>
      <c r="H121" s="13">
        <f>24400+1500+45600</f>
        <v>71500</v>
      </c>
      <c r="I121" s="13">
        <v>0</v>
      </c>
      <c r="J121" s="13">
        <f t="shared" si="32"/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f t="shared" ref="P121:P173" si="51">E121 + J121</f>
        <v>2595800</v>
      </c>
    </row>
    <row r="122" spans="1:17" ht="31.5">
      <c r="A122" s="8" t="s">
        <v>196</v>
      </c>
      <c r="B122" s="8" t="s">
        <v>197</v>
      </c>
      <c r="C122" s="8" t="s">
        <v>194</v>
      </c>
      <c r="D122" s="12" t="s">
        <v>198</v>
      </c>
      <c r="E122" s="13">
        <f t="shared" si="50"/>
        <v>680000</v>
      </c>
      <c r="F122" s="13">
        <f>600000+80000</f>
        <v>680000</v>
      </c>
      <c r="G122" s="13">
        <v>0</v>
      </c>
      <c r="H122" s="13">
        <v>0</v>
      </c>
      <c r="I122" s="13">
        <v>0</v>
      </c>
      <c r="J122" s="13">
        <f t="shared" si="32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51"/>
        <v>680000</v>
      </c>
    </row>
    <row r="123" spans="1:17" ht="31.5">
      <c r="A123" s="16" t="s">
        <v>295</v>
      </c>
      <c r="B123" s="16" t="s">
        <v>285</v>
      </c>
      <c r="C123" s="16" t="s">
        <v>287</v>
      </c>
      <c r="D123" s="12" t="s">
        <v>286</v>
      </c>
      <c r="E123" s="13">
        <f t="shared" si="50"/>
        <v>167000</v>
      </c>
      <c r="F123" s="13">
        <v>167000</v>
      </c>
      <c r="G123" s="13"/>
      <c r="H123" s="13"/>
      <c r="I123" s="13"/>
      <c r="J123" s="13">
        <f t="shared" si="32"/>
        <v>0</v>
      </c>
      <c r="K123" s="13"/>
      <c r="L123" s="13"/>
      <c r="M123" s="13"/>
      <c r="N123" s="13"/>
      <c r="O123" s="13"/>
      <c r="P123" s="13">
        <f t="shared" si="51"/>
        <v>167000</v>
      </c>
    </row>
    <row r="124" spans="1:17" ht="47.25">
      <c r="A124" s="9" t="s">
        <v>199</v>
      </c>
      <c r="B124" s="9" t="s">
        <v>19</v>
      </c>
      <c r="C124" s="9" t="s">
        <v>19</v>
      </c>
      <c r="D124" s="10" t="s">
        <v>200</v>
      </c>
      <c r="E124" s="11">
        <f t="shared" ref="E124:E135" si="52">F124+I124</f>
        <v>10437900</v>
      </c>
      <c r="F124" s="11">
        <f>F125</f>
        <v>10437900</v>
      </c>
      <c r="G124" s="11">
        <f t="shared" ref="G124:I124" si="53">G125</f>
        <v>3241400</v>
      </c>
      <c r="H124" s="11">
        <f t="shared" si="53"/>
        <v>70800</v>
      </c>
      <c r="I124" s="11">
        <f t="shared" si="53"/>
        <v>0</v>
      </c>
      <c r="J124" s="11">
        <f t="shared" si="32"/>
        <v>35000</v>
      </c>
      <c r="K124" s="11">
        <f>K125</f>
        <v>35000</v>
      </c>
      <c r="L124" s="11">
        <f t="shared" ref="L124:O124" si="54">L125</f>
        <v>0</v>
      </c>
      <c r="M124" s="11">
        <f t="shared" si="54"/>
        <v>0</v>
      </c>
      <c r="N124" s="11">
        <f t="shared" si="54"/>
        <v>0</v>
      </c>
      <c r="O124" s="11">
        <f t="shared" si="54"/>
        <v>35000</v>
      </c>
      <c r="P124" s="11">
        <f t="shared" si="51"/>
        <v>10472900</v>
      </c>
      <c r="Q124" s="5"/>
    </row>
    <row r="125" spans="1:17" ht="47.25">
      <c r="A125" s="9" t="s">
        <v>201</v>
      </c>
      <c r="B125" s="9" t="s">
        <v>19</v>
      </c>
      <c r="C125" s="9" t="s">
        <v>19</v>
      </c>
      <c r="D125" s="10" t="s">
        <v>200</v>
      </c>
      <c r="E125" s="11">
        <f t="shared" si="52"/>
        <v>10437900</v>
      </c>
      <c r="F125" s="11">
        <f>SUM(F126:F132)</f>
        <v>10437900</v>
      </c>
      <c r="G125" s="11">
        <f t="shared" ref="G125:K125" si="55">SUM(G126:G132)</f>
        <v>3241400</v>
      </c>
      <c r="H125" s="11">
        <f t="shared" si="55"/>
        <v>70800</v>
      </c>
      <c r="I125" s="11">
        <f t="shared" si="55"/>
        <v>0</v>
      </c>
      <c r="J125" s="11">
        <f t="shared" si="32"/>
        <v>35000</v>
      </c>
      <c r="K125" s="11">
        <f t="shared" si="55"/>
        <v>35000</v>
      </c>
      <c r="L125" s="11">
        <f t="shared" ref="L125" si="56">SUM(L126:L132)</f>
        <v>0</v>
      </c>
      <c r="M125" s="11">
        <f t="shared" ref="M125" si="57">SUM(M126:M132)</f>
        <v>0</v>
      </c>
      <c r="N125" s="11">
        <f t="shared" ref="N125" si="58">SUM(N126:N132)</f>
        <v>0</v>
      </c>
      <c r="O125" s="11">
        <f t="shared" ref="O125" si="59">SUM(O126:O132)</f>
        <v>35000</v>
      </c>
      <c r="P125" s="11">
        <f t="shared" si="51"/>
        <v>10472900</v>
      </c>
    </row>
    <row r="126" spans="1:17" ht="47.25">
      <c r="A126" s="8" t="s">
        <v>202</v>
      </c>
      <c r="B126" s="8" t="s">
        <v>76</v>
      </c>
      <c r="C126" s="8" t="s">
        <v>24</v>
      </c>
      <c r="D126" s="12" t="s">
        <v>77</v>
      </c>
      <c r="E126" s="13">
        <f t="shared" si="52"/>
        <v>2778600</v>
      </c>
      <c r="F126" s="13">
        <v>2778600</v>
      </c>
      <c r="G126" s="13">
        <f>2183700+480400</f>
        <v>2664100</v>
      </c>
      <c r="H126" s="13">
        <v>0</v>
      </c>
      <c r="I126" s="13">
        <v>0</v>
      </c>
      <c r="J126" s="13">
        <f t="shared" si="32"/>
        <v>35000</v>
      </c>
      <c r="K126" s="13">
        <v>35000</v>
      </c>
      <c r="L126" s="13">
        <v>0</v>
      </c>
      <c r="M126" s="13">
        <v>0</v>
      </c>
      <c r="N126" s="13">
        <v>0</v>
      </c>
      <c r="O126" s="13">
        <v>35000</v>
      </c>
      <c r="P126" s="13">
        <f t="shared" si="51"/>
        <v>2813600</v>
      </c>
    </row>
    <row r="127" spans="1:17" ht="63">
      <c r="A127" s="8" t="s">
        <v>203</v>
      </c>
      <c r="B127" s="8" t="s">
        <v>204</v>
      </c>
      <c r="C127" s="8" t="s">
        <v>116</v>
      </c>
      <c r="D127" s="12" t="s">
        <v>341</v>
      </c>
      <c r="E127" s="13">
        <f t="shared" si="52"/>
        <v>1921300</v>
      </c>
      <c r="F127" s="13">
        <f>1956300-35000</f>
        <v>1921300</v>
      </c>
      <c r="G127" s="13">
        <f>473200+104100</f>
        <v>577300</v>
      </c>
      <c r="H127" s="13">
        <f>54600+1600+14600</f>
        <v>70800</v>
      </c>
      <c r="I127" s="13">
        <v>0</v>
      </c>
      <c r="J127" s="13">
        <f t="shared" si="32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1"/>
        <v>1921300</v>
      </c>
    </row>
    <row r="128" spans="1:17" ht="47.25">
      <c r="A128" s="8" t="s">
        <v>205</v>
      </c>
      <c r="B128" s="8" t="s">
        <v>206</v>
      </c>
      <c r="C128" s="8" t="s">
        <v>121</v>
      </c>
      <c r="D128" s="12" t="s">
        <v>207</v>
      </c>
      <c r="E128" s="13">
        <f t="shared" si="52"/>
        <v>1449000</v>
      </c>
      <c r="F128" s="13">
        <f>1400000+49000</f>
        <v>1449000</v>
      </c>
      <c r="G128" s="13">
        <v>0</v>
      </c>
      <c r="H128" s="13">
        <v>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1"/>
        <v>1449000</v>
      </c>
    </row>
    <row r="129" spans="1:17" ht="47.25">
      <c r="A129" s="8" t="s">
        <v>208</v>
      </c>
      <c r="B129" s="8" t="s">
        <v>209</v>
      </c>
      <c r="C129" s="8" t="s">
        <v>121</v>
      </c>
      <c r="D129" s="12" t="s">
        <v>210</v>
      </c>
      <c r="E129" s="13">
        <f t="shared" si="52"/>
        <v>1039000</v>
      </c>
      <c r="F129" s="13">
        <f>990000+49000</f>
        <v>1039000</v>
      </c>
      <c r="G129" s="13">
        <v>0</v>
      </c>
      <c r="H129" s="13">
        <v>0</v>
      </c>
      <c r="I129" s="13">
        <v>0</v>
      </c>
      <c r="J129" s="13">
        <f t="shared" si="32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1"/>
        <v>1039000</v>
      </c>
    </row>
    <row r="130" spans="1:17" ht="47.25">
      <c r="A130" s="39">
        <v>1115049</v>
      </c>
      <c r="B130" s="39">
        <v>5049</v>
      </c>
      <c r="C130" s="39" t="s">
        <v>121</v>
      </c>
      <c r="D130" s="12" t="s">
        <v>403</v>
      </c>
      <c r="E130" s="13">
        <f t="shared" si="52"/>
        <v>35136</v>
      </c>
      <c r="F130" s="13">
        <v>35136</v>
      </c>
      <c r="G130" s="13"/>
      <c r="H130" s="13"/>
      <c r="I130" s="13">
        <v>0</v>
      </c>
      <c r="J130" s="13"/>
      <c r="K130" s="13"/>
      <c r="L130" s="13"/>
      <c r="M130" s="13"/>
      <c r="N130" s="13"/>
      <c r="O130" s="13"/>
      <c r="P130" s="13">
        <f t="shared" si="51"/>
        <v>35136</v>
      </c>
    </row>
    <row r="131" spans="1:17" ht="78.75">
      <c r="A131" s="8" t="s">
        <v>211</v>
      </c>
      <c r="B131" s="8" t="s">
        <v>212</v>
      </c>
      <c r="C131" s="8" t="s">
        <v>121</v>
      </c>
      <c r="D131" s="12" t="s">
        <v>213</v>
      </c>
      <c r="E131" s="13">
        <f t="shared" si="52"/>
        <v>3149864</v>
      </c>
      <c r="F131" s="13">
        <f>3185000-35136</f>
        <v>3149864</v>
      </c>
      <c r="G131" s="13">
        <v>0</v>
      </c>
      <c r="H131" s="13">
        <v>0</v>
      </c>
      <c r="I131" s="13">
        <v>0</v>
      </c>
      <c r="J131" s="13">
        <f t="shared" si="32"/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f t="shared" si="51"/>
        <v>3149864</v>
      </c>
    </row>
    <row r="132" spans="1:17" ht="31.5">
      <c r="A132" s="16" t="s">
        <v>296</v>
      </c>
      <c r="B132" s="16" t="s">
        <v>285</v>
      </c>
      <c r="C132" s="16" t="s">
        <v>287</v>
      </c>
      <c r="D132" s="12" t="s">
        <v>286</v>
      </c>
      <c r="E132" s="13">
        <f t="shared" si="52"/>
        <v>65000</v>
      </c>
      <c r="F132" s="13">
        <v>65000</v>
      </c>
      <c r="G132" s="13"/>
      <c r="H132" s="13"/>
      <c r="I132" s="13"/>
      <c r="J132" s="13">
        <f t="shared" ref="J132" si="60">L132+O132</f>
        <v>0</v>
      </c>
      <c r="K132" s="13"/>
      <c r="L132" s="13"/>
      <c r="M132" s="13"/>
      <c r="N132" s="13"/>
      <c r="O132" s="13"/>
      <c r="P132" s="13">
        <f t="shared" ref="P132" si="61">E132 + J132</f>
        <v>65000</v>
      </c>
    </row>
    <row r="133" spans="1:17" ht="63">
      <c r="A133" s="9" t="s">
        <v>214</v>
      </c>
      <c r="B133" s="9" t="s">
        <v>19</v>
      </c>
      <c r="C133" s="9" t="s">
        <v>19</v>
      </c>
      <c r="D133" s="10" t="s">
        <v>215</v>
      </c>
      <c r="E133" s="11">
        <f t="shared" si="52"/>
        <v>174413118</v>
      </c>
      <c r="F133" s="11">
        <f>F134</f>
        <v>62465359</v>
      </c>
      <c r="G133" s="11">
        <f t="shared" ref="G133:I133" si="62">G134</f>
        <v>5315400</v>
      </c>
      <c r="H133" s="11">
        <f t="shared" si="62"/>
        <v>15700</v>
      </c>
      <c r="I133" s="11">
        <f t="shared" si="62"/>
        <v>111947759</v>
      </c>
      <c r="J133" s="11">
        <f t="shared" si="32"/>
        <v>22543109.18</v>
      </c>
      <c r="K133" s="11">
        <f>K134</f>
        <v>22158735</v>
      </c>
      <c r="L133" s="11">
        <f t="shared" ref="L133:O133" si="63">L134</f>
        <v>0</v>
      </c>
      <c r="M133" s="11">
        <f t="shared" si="63"/>
        <v>0</v>
      </c>
      <c r="N133" s="11">
        <f t="shared" si="63"/>
        <v>0</v>
      </c>
      <c r="O133" s="11">
        <f t="shared" si="63"/>
        <v>22543109.18</v>
      </c>
      <c r="P133" s="11">
        <f t="shared" si="51"/>
        <v>196956227.18000001</v>
      </c>
      <c r="Q133" s="5"/>
    </row>
    <row r="134" spans="1:17" ht="63">
      <c r="A134" s="9" t="s">
        <v>216</v>
      </c>
      <c r="B134" s="9" t="s">
        <v>19</v>
      </c>
      <c r="C134" s="9" t="s">
        <v>19</v>
      </c>
      <c r="D134" s="10" t="s">
        <v>215</v>
      </c>
      <c r="E134" s="11">
        <f t="shared" si="52"/>
        <v>174413118</v>
      </c>
      <c r="F134" s="11">
        <f>SUM(F135:F153)</f>
        <v>62465359</v>
      </c>
      <c r="G134" s="11">
        <f t="shared" ref="G134:K134" si="64">SUM(G135:G153)</f>
        <v>5315400</v>
      </c>
      <c r="H134" s="11">
        <f t="shared" si="64"/>
        <v>15700</v>
      </c>
      <c r="I134" s="11">
        <f t="shared" si="64"/>
        <v>111947759</v>
      </c>
      <c r="J134" s="11">
        <f t="shared" si="32"/>
        <v>22543109.18</v>
      </c>
      <c r="K134" s="11">
        <f t="shared" si="64"/>
        <v>22158735</v>
      </c>
      <c r="L134" s="11">
        <f t="shared" ref="L134" si="65">SUM(L135:L153)</f>
        <v>0</v>
      </c>
      <c r="M134" s="11">
        <f t="shared" ref="M134" si="66">SUM(M135:M153)</f>
        <v>0</v>
      </c>
      <c r="N134" s="11">
        <f t="shared" ref="N134" si="67">SUM(N135:N153)</f>
        <v>0</v>
      </c>
      <c r="O134" s="11">
        <f t="shared" ref="O134" si="68">SUM(O135:O153)</f>
        <v>22543109.18</v>
      </c>
      <c r="P134" s="11">
        <f>E134 + J134</f>
        <v>196956227.18000001</v>
      </c>
    </row>
    <row r="135" spans="1:17" ht="47.25">
      <c r="A135" s="8" t="s">
        <v>217</v>
      </c>
      <c r="B135" s="8" t="s">
        <v>76</v>
      </c>
      <c r="C135" s="8" t="s">
        <v>24</v>
      </c>
      <c r="D135" s="12" t="s">
        <v>77</v>
      </c>
      <c r="E135" s="13">
        <f t="shared" si="52"/>
        <v>5665100</v>
      </c>
      <c r="F135" s="13">
        <v>5665100</v>
      </c>
      <c r="G135" s="13">
        <f>4356900+958500</f>
        <v>5315400</v>
      </c>
      <c r="H135" s="13">
        <f>7200+900+7600</f>
        <v>15700</v>
      </c>
      <c r="I135" s="13">
        <v>0</v>
      </c>
      <c r="J135" s="13">
        <f t="shared" si="32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1"/>
        <v>5665100</v>
      </c>
    </row>
    <row r="136" spans="1:17" ht="47.25">
      <c r="A136" s="8" t="s">
        <v>218</v>
      </c>
      <c r="B136" s="8" t="s">
        <v>27</v>
      </c>
      <c r="C136" s="8" t="s">
        <v>28</v>
      </c>
      <c r="D136" s="12" t="s">
        <v>29</v>
      </c>
      <c r="E136" s="13">
        <f t="shared" ref="E136:E153" si="69">F136+I136</f>
        <v>10000</v>
      </c>
      <c r="F136" s="13">
        <v>10000</v>
      </c>
      <c r="G136" s="13">
        <v>0</v>
      </c>
      <c r="H136" s="13">
        <v>0</v>
      </c>
      <c r="I136" s="13">
        <v>0</v>
      </c>
      <c r="J136" s="13">
        <f t="shared" si="32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1"/>
        <v>10000</v>
      </c>
    </row>
    <row r="137" spans="1:17" ht="31.5">
      <c r="A137" s="8" t="s">
        <v>219</v>
      </c>
      <c r="B137" s="8" t="s">
        <v>220</v>
      </c>
      <c r="C137" s="8" t="s">
        <v>221</v>
      </c>
      <c r="D137" s="12" t="s">
        <v>222</v>
      </c>
      <c r="E137" s="13">
        <f t="shared" si="69"/>
        <v>50000</v>
      </c>
      <c r="F137" s="13">
        <v>50000</v>
      </c>
      <c r="G137" s="13">
        <v>0</v>
      </c>
      <c r="H137" s="13">
        <v>0</v>
      </c>
      <c r="I137" s="13">
        <v>0</v>
      </c>
      <c r="J137" s="13">
        <f t="shared" si="32"/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f t="shared" si="51"/>
        <v>50000</v>
      </c>
    </row>
    <row r="138" spans="1:17" ht="31.5">
      <c r="A138" s="33">
        <v>1216011</v>
      </c>
      <c r="B138" s="33">
        <v>6011</v>
      </c>
      <c r="C138" s="16" t="s">
        <v>368</v>
      </c>
      <c r="D138" s="12" t="s">
        <v>367</v>
      </c>
      <c r="E138" s="13">
        <f t="shared" si="69"/>
        <v>319069</v>
      </c>
      <c r="F138" s="13"/>
      <c r="G138" s="13"/>
      <c r="H138" s="13"/>
      <c r="I138" s="13">
        <v>319069</v>
      </c>
      <c r="J138" s="13">
        <f t="shared" si="32"/>
        <v>3797517</v>
      </c>
      <c r="K138" s="13">
        <f>1660017+43200+600000+94300+1400000</f>
        <v>3797517</v>
      </c>
      <c r="L138" s="13"/>
      <c r="M138" s="13"/>
      <c r="N138" s="13"/>
      <c r="O138" s="13">
        <f>1660017+43200+600000+94300+1400000</f>
        <v>3797517</v>
      </c>
      <c r="P138" s="13">
        <f t="shared" si="51"/>
        <v>4116586</v>
      </c>
    </row>
    <row r="139" spans="1:17" ht="31.5">
      <c r="A139" s="8" t="s">
        <v>223</v>
      </c>
      <c r="B139" s="8" t="s">
        <v>224</v>
      </c>
      <c r="C139" s="8" t="s">
        <v>56</v>
      </c>
      <c r="D139" s="12" t="s">
        <v>225</v>
      </c>
      <c r="E139" s="13">
        <f t="shared" si="69"/>
        <v>300000</v>
      </c>
      <c r="F139" s="13">
        <v>0</v>
      </c>
      <c r="G139" s="13">
        <v>0</v>
      </c>
      <c r="H139" s="13">
        <v>0</v>
      </c>
      <c r="I139" s="13">
        <v>300000</v>
      </c>
      <c r="J139" s="13">
        <f t="shared" si="32"/>
        <v>7215287</v>
      </c>
      <c r="K139" s="13">
        <v>7215287</v>
      </c>
      <c r="L139" s="13">
        <v>0</v>
      </c>
      <c r="M139" s="13">
        <v>0</v>
      </c>
      <c r="N139" s="13">
        <v>0</v>
      </c>
      <c r="O139" s="13">
        <v>7215287</v>
      </c>
      <c r="P139" s="13">
        <f t="shared" si="51"/>
        <v>7515287</v>
      </c>
    </row>
    <row r="140" spans="1:17" ht="47.25">
      <c r="A140" s="8" t="s">
        <v>226</v>
      </c>
      <c r="B140" s="8" t="s">
        <v>227</v>
      </c>
      <c r="C140" s="8" t="s">
        <v>56</v>
      </c>
      <c r="D140" s="12" t="s">
        <v>228</v>
      </c>
      <c r="E140" s="13">
        <f t="shared" si="69"/>
        <v>1720000</v>
      </c>
      <c r="F140" s="13">
        <v>0</v>
      </c>
      <c r="G140" s="13">
        <v>0</v>
      </c>
      <c r="H140" s="13">
        <v>0</v>
      </c>
      <c r="I140" s="13">
        <v>1720000</v>
      </c>
      <c r="J140" s="13">
        <f t="shared" si="32"/>
        <v>1095000</v>
      </c>
      <c r="K140" s="13">
        <v>1095000</v>
      </c>
      <c r="L140" s="13">
        <v>0</v>
      </c>
      <c r="M140" s="13">
        <v>0</v>
      </c>
      <c r="N140" s="13">
        <v>0</v>
      </c>
      <c r="O140" s="13">
        <v>1095000</v>
      </c>
      <c r="P140" s="13">
        <f t="shared" si="51"/>
        <v>2815000</v>
      </c>
    </row>
    <row r="141" spans="1:17" ht="31.5">
      <c r="A141" s="8" t="s">
        <v>229</v>
      </c>
      <c r="B141" s="8" t="s">
        <v>55</v>
      </c>
      <c r="C141" s="8" t="s">
        <v>56</v>
      </c>
      <c r="D141" s="12" t="s">
        <v>57</v>
      </c>
      <c r="E141" s="13">
        <f t="shared" si="69"/>
        <v>84270490</v>
      </c>
      <c r="F141" s="13">
        <f>12500000+11000000+15000-500000+195000-200000</f>
        <v>23010000</v>
      </c>
      <c r="G141" s="13">
        <v>0</v>
      </c>
      <c r="H141" s="13">
        <v>0</v>
      </c>
      <c r="I141" s="13">
        <f>60450000+195000+601000-195000+9490+200000</f>
        <v>61260490</v>
      </c>
      <c r="J141" s="13">
        <f t="shared" si="32"/>
        <v>1091500</v>
      </c>
      <c r="K141" s="13">
        <f>839500+252000</f>
        <v>1091500</v>
      </c>
      <c r="L141" s="13">
        <v>0</v>
      </c>
      <c r="M141" s="13">
        <v>0</v>
      </c>
      <c r="N141" s="13">
        <v>0</v>
      </c>
      <c r="O141" s="13">
        <f>839500+252000</f>
        <v>1091500</v>
      </c>
      <c r="P141" s="13">
        <f t="shared" si="51"/>
        <v>85361990</v>
      </c>
    </row>
    <row r="142" spans="1:17" ht="31.5">
      <c r="A142" s="37">
        <v>1216091</v>
      </c>
      <c r="B142" s="37">
        <v>6091</v>
      </c>
      <c r="C142" s="16" t="s">
        <v>311</v>
      </c>
      <c r="D142" s="12" t="s">
        <v>383</v>
      </c>
      <c r="E142" s="13">
        <f t="shared" si="69"/>
        <v>0</v>
      </c>
      <c r="F142" s="13"/>
      <c r="G142" s="13"/>
      <c r="H142" s="13"/>
      <c r="I142" s="13"/>
      <c r="J142" s="13">
        <f t="shared" si="32"/>
        <v>6400000</v>
      </c>
      <c r="K142" s="13">
        <f>5800000+600000</f>
        <v>6400000</v>
      </c>
      <c r="L142" s="13"/>
      <c r="M142" s="13"/>
      <c r="N142" s="13"/>
      <c r="O142" s="13">
        <f>5800000+600000</f>
        <v>6400000</v>
      </c>
      <c r="P142" s="13">
        <f t="shared" si="51"/>
        <v>6400000</v>
      </c>
    </row>
    <row r="143" spans="1:17" ht="94.5">
      <c r="A143" s="33">
        <v>1216093</v>
      </c>
      <c r="B143" s="33">
        <v>6093</v>
      </c>
      <c r="C143" s="16" t="s">
        <v>311</v>
      </c>
      <c r="D143" s="12" t="s">
        <v>369</v>
      </c>
      <c r="E143" s="13">
        <f t="shared" si="69"/>
        <v>47400</v>
      </c>
      <c r="F143" s="13"/>
      <c r="G143" s="13"/>
      <c r="H143" s="13"/>
      <c r="I143" s="13">
        <v>47400</v>
      </c>
      <c r="J143" s="13">
        <f t="shared" si="32"/>
        <v>0</v>
      </c>
      <c r="K143" s="13"/>
      <c r="L143" s="13"/>
      <c r="M143" s="13"/>
      <c r="N143" s="13"/>
      <c r="O143" s="13"/>
      <c r="P143" s="13">
        <f t="shared" si="51"/>
        <v>47400</v>
      </c>
    </row>
    <row r="144" spans="1:17">
      <c r="A144" s="33">
        <v>1217130</v>
      </c>
      <c r="B144" s="33">
        <v>7130</v>
      </c>
      <c r="C144" s="16" t="s">
        <v>253</v>
      </c>
      <c r="D144" s="12" t="s">
        <v>254</v>
      </c>
      <c r="E144" s="13">
        <f t="shared" si="69"/>
        <v>180000</v>
      </c>
      <c r="F144" s="13"/>
      <c r="G144" s="13"/>
      <c r="H144" s="13"/>
      <c r="I144" s="13">
        <v>180000</v>
      </c>
      <c r="J144" s="13">
        <f t="shared" si="32"/>
        <v>0</v>
      </c>
      <c r="K144" s="13"/>
      <c r="L144" s="13"/>
      <c r="M144" s="13"/>
      <c r="N144" s="13"/>
      <c r="O144" s="13"/>
      <c r="P144" s="13">
        <f t="shared" si="51"/>
        <v>180000</v>
      </c>
    </row>
    <row r="145" spans="1:17" ht="47.25">
      <c r="A145" s="8" t="s">
        <v>230</v>
      </c>
      <c r="B145" s="8" t="s">
        <v>231</v>
      </c>
      <c r="C145" s="8" t="s">
        <v>232</v>
      </c>
      <c r="D145" s="12" t="s">
        <v>233</v>
      </c>
      <c r="E145" s="13">
        <f t="shared" si="69"/>
        <v>30000000</v>
      </c>
      <c r="F145" s="13">
        <v>30000000</v>
      </c>
      <c r="G145" s="13">
        <v>0</v>
      </c>
      <c r="H145" s="13">
        <v>0</v>
      </c>
      <c r="I145" s="13">
        <v>0</v>
      </c>
      <c r="J145" s="13">
        <f t="shared" si="32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1"/>
        <v>30000000</v>
      </c>
    </row>
    <row r="146" spans="1:17" ht="31.5">
      <c r="A146" s="16" t="s">
        <v>297</v>
      </c>
      <c r="B146" s="16" t="s">
        <v>285</v>
      </c>
      <c r="C146" s="16" t="s">
        <v>287</v>
      </c>
      <c r="D146" s="12" t="s">
        <v>286</v>
      </c>
      <c r="E146" s="13">
        <f t="shared" si="69"/>
        <v>488300</v>
      </c>
      <c r="F146" s="13">
        <v>488300</v>
      </c>
      <c r="G146" s="13"/>
      <c r="H146" s="13"/>
      <c r="I146" s="13"/>
      <c r="J146" s="13">
        <f t="shared" si="32"/>
        <v>36000</v>
      </c>
      <c r="K146" s="13">
        <v>36000</v>
      </c>
      <c r="L146" s="13"/>
      <c r="M146" s="13"/>
      <c r="N146" s="13"/>
      <c r="O146" s="13">
        <v>36000</v>
      </c>
      <c r="P146" s="13">
        <f t="shared" si="51"/>
        <v>524300</v>
      </c>
    </row>
    <row r="147" spans="1:17" ht="31.5">
      <c r="A147" s="16" t="s">
        <v>370</v>
      </c>
      <c r="B147" s="16" t="s">
        <v>371</v>
      </c>
      <c r="C147" s="16" t="s">
        <v>60</v>
      </c>
      <c r="D147" s="12" t="s">
        <v>372</v>
      </c>
      <c r="E147" s="13">
        <f t="shared" si="69"/>
        <v>0</v>
      </c>
      <c r="F147" s="13"/>
      <c r="G147" s="13"/>
      <c r="H147" s="13"/>
      <c r="I147" s="13"/>
      <c r="J147" s="13">
        <f t="shared" si="32"/>
        <v>2050510</v>
      </c>
      <c r="K147" s="13">
        <f>2060000-9490</f>
        <v>2050510</v>
      </c>
      <c r="L147" s="13"/>
      <c r="M147" s="13"/>
      <c r="N147" s="13"/>
      <c r="O147" s="13">
        <f>2060000-9490</f>
        <v>2050510</v>
      </c>
      <c r="P147" s="13">
        <f t="shared" si="51"/>
        <v>2050510</v>
      </c>
    </row>
    <row r="148" spans="1:17" ht="141.75">
      <c r="A148" s="16" t="s">
        <v>389</v>
      </c>
      <c r="B148" s="16" t="s">
        <v>373</v>
      </c>
      <c r="C148" s="16" t="s">
        <v>60</v>
      </c>
      <c r="D148" s="12" t="s">
        <v>374</v>
      </c>
      <c r="E148" s="13">
        <f t="shared" si="69"/>
        <v>0</v>
      </c>
      <c r="F148" s="13"/>
      <c r="G148" s="13"/>
      <c r="H148" s="13"/>
      <c r="I148" s="13"/>
      <c r="J148" s="13">
        <f t="shared" si="32"/>
        <v>384374.18</v>
      </c>
      <c r="K148" s="13"/>
      <c r="L148" s="13"/>
      <c r="M148" s="13"/>
      <c r="N148" s="13"/>
      <c r="O148" s="13">
        <v>384374.18</v>
      </c>
      <c r="P148" s="13">
        <f t="shared" si="51"/>
        <v>384374.18</v>
      </c>
    </row>
    <row r="149" spans="1:17" ht="31.5">
      <c r="A149" s="8" t="s">
        <v>234</v>
      </c>
      <c r="B149" s="8" t="s">
        <v>235</v>
      </c>
      <c r="C149" s="8" t="s">
        <v>60</v>
      </c>
      <c r="D149" s="12" t="s">
        <v>236</v>
      </c>
      <c r="E149" s="13">
        <f t="shared" si="69"/>
        <v>47720800</v>
      </c>
      <c r="F149" s="13">
        <v>0</v>
      </c>
      <c r="G149" s="13">
        <v>0</v>
      </c>
      <c r="H149" s="13">
        <v>0</v>
      </c>
      <c r="I149" s="13">
        <f>43320000+4300000+100800</f>
        <v>47720800</v>
      </c>
      <c r="J149" s="13">
        <f t="shared" si="32"/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f t="shared" si="51"/>
        <v>47720800</v>
      </c>
    </row>
    <row r="150" spans="1:17" ht="47.25">
      <c r="A150" s="8" t="s">
        <v>237</v>
      </c>
      <c r="B150" s="8" t="s">
        <v>238</v>
      </c>
      <c r="C150" s="8" t="s">
        <v>239</v>
      </c>
      <c r="D150" s="12" t="s">
        <v>240</v>
      </c>
      <c r="E150" s="13">
        <f t="shared" si="69"/>
        <v>3118300</v>
      </c>
      <c r="F150" s="13">
        <f>2527200+91100+500000</f>
        <v>3118300</v>
      </c>
      <c r="G150" s="13">
        <v>0</v>
      </c>
      <c r="H150" s="13">
        <v>0</v>
      </c>
      <c r="I150" s="13">
        <v>0</v>
      </c>
      <c r="J150" s="13">
        <f t="shared" si="32"/>
        <v>378921</v>
      </c>
      <c r="K150" s="13">
        <v>378921</v>
      </c>
      <c r="L150" s="13">
        <v>0</v>
      </c>
      <c r="M150" s="13">
        <v>0</v>
      </c>
      <c r="N150" s="13">
        <v>0</v>
      </c>
      <c r="O150" s="13">
        <v>378921</v>
      </c>
      <c r="P150" s="13">
        <f t="shared" si="51"/>
        <v>3497221</v>
      </c>
    </row>
    <row r="151" spans="1:17" ht="31.5">
      <c r="A151" s="16" t="s">
        <v>390</v>
      </c>
      <c r="B151" s="36">
        <v>8240</v>
      </c>
      <c r="C151" s="16" t="s">
        <v>64</v>
      </c>
      <c r="D151" s="12" t="s">
        <v>261</v>
      </c>
      <c r="E151" s="13">
        <f t="shared" si="69"/>
        <v>0</v>
      </c>
      <c r="F151" s="13"/>
      <c r="G151" s="13"/>
      <c r="H151" s="13"/>
      <c r="I151" s="13"/>
      <c r="J151" s="13">
        <f t="shared" si="32"/>
        <v>94000</v>
      </c>
      <c r="K151" s="13">
        <f>200000-106000</f>
        <v>94000</v>
      </c>
      <c r="L151" s="13"/>
      <c r="M151" s="13"/>
      <c r="N151" s="13"/>
      <c r="O151" s="13">
        <f>200000-106000</f>
        <v>94000</v>
      </c>
      <c r="P151" s="13">
        <f t="shared" si="51"/>
        <v>94000</v>
      </c>
    </row>
    <row r="152" spans="1:17" ht="78.75">
      <c r="A152" s="16" t="s">
        <v>404</v>
      </c>
      <c r="B152" s="39">
        <v>8733</v>
      </c>
      <c r="C152" s="16" t="s">
        <v>232</v>
      </c>
      <c r="D152" s="12" t="s">
        <v>406</v>
      </c>
      <c r="E152" s="13">
        <f t="shared" si="69"/>
        <v>123659</v>
      </c>
      <c r="F152" s="13">
        <v>123659</v>
      </c>
      <c r="G152" s="13"/>
      <c r="H152" s="13"/>
      <c r="I152" s="13"/>
      <c r="J152" s="13">
        <f t="shared" si="32"/>
        <v>0</v>
      </c>
      <c r="K152" s="13"/>
      <c r="L152" s="13"/>
      <c r="M152" s="13"/>
      <c r="N152" s="13"/>
      <c r="O152" s="13"/>
      <c r="P152" s="13">
        <f t="shared" si="51"/>
        <v>123659</v>
      </c>
    </row>
    <row r="153" spans="1:17" ht="78.75">
      <c r="A153" s="16" t="s">
        <v>405</v>
      </c>
      <c r="B153" s="39">
        <v>8741</v>
      </c>
      <c r="C153" s="16" t="s">
        <v>368</v>
      </c>
      <c r="D153" s="12" t="s">
        <v>407</v>
      </c>
      <c r="E153" s="13">
        <f t="shared" si="69"/>
        <v>400000</v>
      </c>
      <c r="F153" s="13"/>
      <c r="G153" s="13"/>
      <c r="H153" s="13"/>
      <c r="I153" s="13">
        <v>400000</v>
      </c>
      <c r="J153" s="13">
        <f t="shared" si="32"/>
        <v>0</v>
      </c>
      <c r="K153" s="13"/>
      <c r="L153" s="13"/>
      <c r="M153" s="13"/>
      <c r="N153" s="13"/>
      <c r="O153" s="13"/>
      <c r="P153" s="13">
        <f t="shared" si="51"/>
        <v>400000</v>
      </c>
    </row>
    <row r="154" spans="1:17" ht="63">
      <c r="A154" s="9" t="s">
        <v>241</v>
      </c>
      <c r="B154" s="9" t="s">
        <v>19</v>
      </c>
      <c r="C154" s="9" t="s">
        <v>19</v>
      </c>
      <c r="D154" s="10" t="s">
        <v>242</v>
      </c>
      <c r="E154" s="11">
        <f t="shared" ref="E154:E168" si="70">F154+I154</f>
        <v>6423600</v>
      </c>
      <c r="F154" s="11">
        <f>F155</f>
        <v>6423600</v>
      </c>
      <c r="G154" s="11">
        <f t="shared" ref="G154:I154" si="71">G155</f>
        <v>6211800</v>
      </c>
      <c r="H154" s="11">
        <f t="shared" si="71"/>
        <v>0</v>
      </c>
      <c r="I154" s="11">
        <f t="shared" si="71"/>
        <v>0</v>
      </c>
      <c r="J154" s="11">
        <f t="shared" si="32"/>
        <v>161348647.63</v>
      </c>
      <c r="K154" s="11">
        <f>K155</f>
        <v>161348647.63</v>
      </c>
      <c r="L154" s="11">
        <f t="shared" ref="L154:O154" si="72">L155</f>
        <v>0</v>
      </c>
      <c r="M154" s="11">
        <f t="shared" si="72"/>
        <v>0</v>
      </c>
      <c r="N154" s="11">
        <f t="shared" si="72"/>
        <v>0</v>
      </c>
      <c r="O154" s="11">
        <f t="shared" si="72"/>
        <v>161348647.63</v>
      </c>
      <c r="P154" s="11">
        <f t="shared" si="51"/>
        <v>167772247.63</v>
      </c>
      <c r="Q154" s="5"/>
    </row>
    <row r="155" spans="1:17" ht="63">
      <c r="A155" s="9" t="s">
        <v>243</v>
      </c>
      <c r="B155" s="9" t="s">
        <v>19</v>
      </c>
      <c r="C155" s="9" t="s">
        <v>19</v>
      </c>
      <c r="D155" s="10" t="s">
        <v>242</v>
      </c>
      <c r="E155" s="11">
        <f t="shared" si="70"/>
        <v>6423600</v>
      </c>
      <c r="F155" s="11">
        <f>SUM(F156:F165)</f>
        <v>6423600</v>
      </c>
      <c r="G155" s="11">
        <f t="shared" ref="G155:K155" si="73">SUM(G156:G165)</f>
        <v>6211800</v>
      </c>
      <c r="H155" s="11">
        <f t="shared" si="73"/>
        <v>0</v>
      </c>
      <c r="I155" s="11">
        <f t="shared" si="73"/>
        <v>0</v>
      </c>
      <c r="J155" s="11">
        <f t="shared" si="32"/>
        <v>161348647.63</v>
      </c>
      <c r="K155" s="11">
        <f t="shared" si="73"/>
        <v>161348647.63</v>
      </c>
      <c r="L155" s="11">
        <f t="shared" ref="L155" si="74">SUM(L156:L165)</f>
        <v>0</v>
      </c>
      <c r="M155" s="11">
        <f t="shared" ref="M155" si="75">SUM(M156:M165)</f>
        <v>0</v>
      </c>
      <c r="N155" s="11">
        <f t="shared" ref="N155" si="76">SUM(N156:N165)</f>
        <v>0</v>
      </c>
      <c r="O155" s="11">
        <f t="shared" ref="O155" si="77">SUM(O156:O165)</f>
        <v>161348647.63</v>
      </c>
      <c r="P155" s="11">
        <f t="shared" si="51"/>
        <v>167772247.63</v>
      </c>
    </row>
    <row r="156" spans="1:17" ht="94.5">
      <c r="A156" s="37">
        <v>1510150</v>
      </c>
      <c r="B156" s="16" t="s">
        <v>23</v>
      </c>
      <c r="C156" s="16" t="s">
        <v>24</v>
      </c>
      <c r="D156" s="12" t="s">
        <v>25</v>
      </c>
      <c r="E156" s="13">
        <f t="shared" si="70"/>
        <v>0</v>
      </c>
      <c r="F156" s="13"/>
      <c r="G156" s="13"/>
      <c r="H156" s="13"/>
      <c r="I156" s="13"/>
      <c r="J156" s="13">
        <f t="shared" si="32"/>
        <v>590000</v>
      </c>
      <c r="K156" s="13">
        <v>590000</v>
      </c>
      <c r="L156" s="13"/>
      <c r="M156" s="13"/>
      <c r="N156" s="13"/>
      <c r="O156" s="13">
        <v>590000</v>
      </c>
      <c r="P156" s="13">
        <f t="shared" si="51"/>
        <v>590000</v>
      </c>
    </row>
    <row r="157" spans="1:17" ht="47.25">
      <c r="A157" s="8" t="s">
        <v>244</v>
      </c>
      <c r="B157" s="8" t="s">
        <v>76</v>
      </c>
      <c r="C157" s="8" t="s">
        <v>24</v>
      </c>
      <c r="D157" s="12" t="s">
        <v>77</v>
      </c>
      <c r="E157" s="13">
        <f t="shared" si="70"/>
        <v>6353300</v>
      </c>
      <c r="F157" s="13">
        <f>6327300+26000</f>
        <v>6353300</v>
      </c>
      <c r="G157" s="13">
        <f>5091700+1120100</f>
        <v>6211800</v>
      </c>
      <c r="H157" s="13">
        <v>0</v>
      </c>
      <c r="I157" s="13">
        <v>0</v>
      </c>
      <c r="J157" s="13">
        <f t="shared" si="32"/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f t="shared" si="51"/>
        <v>6353300</v>
      </c>
    </row>
    <row r="158" spans="1:17" ht="31.5">
      <c r="A158" s="33">
        <v>1511300</v>
      </c>
      <c r="B158" s="16" t="s">
        <v>375</v>
      </c>
      <c r="C158" s="16" t="s">
        <v>106</v>
      </c>
      <c r="D158" s="12" t="s">
        <v>381</v>
      </c>
      <c r="E158" s="13">
        <f t="shared" si="70"/>
        <v>0</v>
      </c>
      <c r="F158" s="13"/>
      <c r="G158" s="13"/>
      <c r="H158" s="13"/>
      <c r="I158" s="13"/>
      <c r="J158" s="13">
        <f t="shared" si="32"/>
        <v>86968800</v>
      </c>
      <c r="K158" s="13">
        <f>83518800+3500000+100000-250000+100000</f>
        <v>86968800</v>
      </c>
      <c r="L158" s="13"/>
      <c r="M158" s="13"/>
      <c r="N158" s="13"/>
      <c r="O158" s="13">
        <f>83518800+3500000+100000-250000+100000</f>
        <v>86968800</v>
      </c>
      <c r="P158" s="13">
        <f t="shared" si="51"/>
        <v>86968800</v>
      </c>
    </row>
    <row r="159" spans="1:17" ht="78.75">
      <c r="A159" s="33">
        <v>1512171</v>
      </c>
      <c r="B159" s="16" t="s">
        <v>376</v>
      </c>
      <c r="C159" s="16" t="s">
        <v>48</v>
      </c>
      <c r="D159" s="12" t="s">
        <v>382</v>
      </c>
      <c r="E159" s="13">
        <f t="shared" si="70"/>
        <v>0</v>
      </c>
      <c r="F159" s="13"/>
      <c r="G159" s="13"/>
      <c r="H159" s="13"/>
      <c r="I159" s="13"/>
      <c r="J159" s="13">
        <f t="shared" si="32"/>
        <v>550000</v>
      </c>
      <c r="K159" s="13">
        <v>550000</v>
      </c>
      <c r="L159" s="13"/>
      <c r="M159" s="13"/>
      <c r="N159" s="13"/>
      <c r="O159" s="13">
        <v>550000</v>
      </c>
      <c r="P159" s="13">
        <f t="shared" si="51"/>
        <v>550000</v>
      </c>
    </row>
    <row r="160" spans="1:17" ht="31.5">
      <c r="A160" s="37">
        <v>1516015</v>
      </c>
      <c r="B160" s="16" t="s">
        <v>224</v>
      </c>
      <c r="C160" s="16" t="s">
        <v>56</v>
      </c>
      <c r="D160" s="12" t="s">
        <v>225</v>
      </c>
      <c r="E160" s="13">
        <f t="shared" si="70"/>
        <v>0</v>
      </c>
      <c r="F160" s="13"/>
      <c r="G160" s="13"/>
      <c r="H160" s="13"/>
      <c r="I160" s="13"/>
      <c r="J160" s="13">
        <f t="shared" si="32"/>
        <v>486000</v>
      </c>
      <c r="K160" s="13">
        <v>486000</v>
      </c>
      <c r="L160" s="13"/>
      <c r="M160" s="13"/>
      <c r="N160" s="13"/>
      <c r="O160" s="13">
        <v>486000</v>
      </c>
      <c r="P160" s="13">
        <f t="shared" si="51"/>
        <v>486000</v>
      </c>
    </row>
    <row r="161" spans="1:17" ht="31.5">
      <c r="A161" s="33">
        <v>1516091</v>
      </c>
      <c r="B161" s="16" t="s">
        <v>377</v>
      </c>
      <c r="C161" s="16" t="s">
        <v>311</v>
      </c>
      <c r="D161" s="12" t="s">
        <v>383</v>
      </c>
      <c r="E161" s="13">
        <f t="shared" si="70"/>
        <v>0</v>
      </c>
      <c r="F161" s="13"/>
      <c r="G161" s="13"/>
      <c r="H161" s="13"/>
      <c r="I161" s="13"/>
      <c r="J161" s="13">
        <f t="shared" si="32"/>
        <v>30226232.009999998</v>
      </c>
      <c r="K161" s="13">
        <f>14033601.01+10981383+4148102+926970+136176</f>
        <v>30226232.009999998</v>
      </c>
      <c r="L161" s="13"/>
      <c r="M161" s="13"/>
      <c r="N161" s="13"/>
      <c r="O161" s="13">
        <f>14033601.01+10981383+4148102+926970+136176</f>
        <v>30226232.009999998</v>
      </c>
      <c r="P161" s="13">
        <f t="shared" si="51"/>
        <v>30226232.009999998</v>
      </c>
    </row>
    <row r="162" spans="1:17" ht="31.5">
      <c r="A162" s="33">
        <v>1517368</v>
      </c>
      <c r="B162" s="16" t="s">
        <v>378</v>
      </c>
      <c r="C162" s="16" t="s">
        <v>60</v>
      </c>
      <c r="D162" s="12" t="s">
        <v>384</v>
      </c>
      <c r="E162" s="13">
        <f t="shared" si="70"/>
        <v>0</v>
      </c>
      <c r="F162" s="13"/>
      <c r="G162" s="13"/>
      <c r="H162" s="13"/>
      <c r="I162" s="13"/>
      <c r="J162" s="13">
        <f t="shared" si="32"/>
        <v>15815727.619999999</v>
      </c>
      <c r="K162" s="13">
        <v>15815727.619999999</v>
      </c>
      <c r="L162" s="13"/>
      <c r="M162" s="13"/>
      <c r="N162" s="13"/>
      <c r="O162" s="13">
        <v>15815727.619999999</v>
      </c>
      <c r="P162" s="13">
        <f t="shared" si="51"/>
        <v>15815727.619999999</v>
      </c>
    </row>
    <row r="163" spans="1:17" ht="31.5">
      <c r="A163" s="33">
        <v>1517370</v>
      </c>
      <c r="B163" s="16" t="s">
        <v>379</v>
      </c>
      <c r="C163" s="16" t="s">
        <v>60</v>
      </c>
      <c r="D163" s="12" t="s">
        <v>385</v>
      </c>
      <c r="E163" s="13">
        <f t="shared" si="70"/>
        <v>0</v>
      </c>
      <c r="F163" s="13"/>
      <c r="G163" s="13"/>
      <c r="H163" s="13"/>
      <c r="I163" s="13"/>
      <c r="J163" s="13">
        <f t="shared" si="32"/>
        <v>19920588</v>
      </c>
      <c r="K163" s="13">
        <v>19920588</v>
      </c>
      <c r="L163" s="13"/>
      <c r="M163" s="13"/>
      <c r="N163" s="13"/>
      <c r="O163" s="13">
        <v>19920588</v>
      </c>
      <c r="P163" s="13">
        <f t="shared" si="51"/>
        <v>19920588</v>
      </c>
    </row>
    <row r="164" spans="1:17" ht="31.5">
      <c r="A164" s="16" t="s">
        <v>298</v>
      </c>
      <c r="B164" s="16" t="s">
        <v>285</v>
      </c>
      <c r="C164" s="16" t="s">
        <v>287</v>
      </c>
      <c r="D164" s="12" t="s">
        <v>286</v>
      </c>
      <c r="E164" s="13">
        <f t="shared" si="70"/>
        <v>70300</v>
      </c>
      <c r="F164" s="13">
        <f>46300+24000</f>
        <v>70300</v>
      </c>
      <c r="G164" s="13"/>
      <c r="H164" s="13"/>
      <c r="I164" s="13"/>
      <c r="J164" s="13">
        <f t="shared" si="32"/>
        <v>0</v>
      </c>
      <c r="K164" s="13"/>
      <c r="L164" s="13"/>
      <c r="M164" s="13"/>
      <c r="N164" s="13"/>
      <c r="O164" s="13"/>
      <c r="P164" s="13">
        <f t="shared" si="51"/>
        <v>70300</v>
      </c>
    </row>
    <row r="165" spans="1:17" ht="47.25">
      <c r="A165" s="16" t="s">
        <v>380</v>
      </c>
      <c r="B165" s="16" t="s">
        <v>238</v>
      </c>
      <c r="C165" s="16" t="s">
        <v>239</v>
      </c>
      <c r="D165" s="12" t="s">
        <v>240</v>
      </c>
      <c r="E165" s="13">
        <f t="shared" si="70"/>
        <v>0</v>
      </c>
      <c r="F165" s="13"/>
      <c r="G165" s="13"/>
      <c r="H165" s="13"/>
      <c r="I165" s="13"/>
      <c r="J165" s="13">
        <f t="shared" si="32"/>
        <v>6791300</v>
      </c>
      <c r="K165" s="13">
        <f>5000000+1791300</f>
        <v>6791300</v>
      </c>
      <c r="L165" s="13"/>
      <c r="M165" s="13"/>
      <c r="N165" s="13"/>
      <c r="O165" s="13">
        <f>5000000+1791300</f>
        <v>6791300</v>
      </c>
      <c r="P165" s="13">
        <f t="shared" si="51"/>
        <v>6791300</v>
      </c>
    </row>
    <row r="166" spans="1:17" ht="63">
      <c r="A166" s="9" t="s">
        <v>245</v>
      </c>
      <c r="B166" s="9" t="s">
        <v>19</v>
      </c>
      <c r="C166" s="9" t="s">
        <v>19</v>
      </c>
      <c r="D166" s="10" t="s">
        <v>246</v>
      </c>
      <c r="E166" s="11">
        <f t="shared" si="70"/>
        <v>28791300</v>
      </c>
      <c r="F166" s="11">
        <f>F167</f>
        <v>7270300</v>
      </c>
      <c r="G166" s="11">
        <f t="shared" ref="G166:I166" si="78">G167</f>
        <v>5521700</v>
      </c>
      <c r="H166" s="11">
        <f t="shared" si="78"/>
        <v>0</v>
      </c>
      <c r="I166" s="11">
        <f t="shared" si="78"/>
        <v>21521000</v>
      </c>
      <c r="J166" s="11">
        <f t="shared" si="32"/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f t="shared" si="51"/>
        <v>28791300</v>
      </c>
      <c r="Q166" s="5"/>
    </row>
    <row r="167" spans="1:17" ht="63">
      <c r="A167" s="9" t="s">
        <v>247</v>
      </c>
      <c r="B167" s="9" t="s">
        <v>19</v>
      </c>
      <c r="C167" s="9" t="s">
        <v>19</v>
      </c>
      <c r="D167" s="10" t="s">
        <v>246</v>
      </c>
      <c r="E167" s="11">
        <f t="shared" si="70"/>
        <v>28791300</v>
      </c>
      <c r="F167" s="11">
        <f>SUM(F168:F175)</f>
        <v>7270300</v>
      </c>
      <c r="G167" s="11">
        <f t="shared" ref="G167:K167" si="79">SUM(G168:G175)</f>
        <v>5521700</v>
      </c>
      <c r="H167" s="11">
        <f t="shared" si="79"/>
        <v>0</v>
      </c>
      <c r="I167" s="11">
        <f t="shared" si="79"/>
        <v>21521000</v>
      </c>
      <c r="J167" s="11">
        <f t="shared" si="32"/>
        <v>0</v>
      </c>
      <c r="K167" s="11">
        <f t="shared" si="79"/>
        <v>0</v>
      </c>
      <c r="L167" s="11">
        <f t="shared" ref="L167" si="80">SUM(L168:L175)</f>
        <v>0</v>
      </c>
      <c r="M167" s="11">
        <f t="shared" ref="M167" si="81">SUM(M168:M175)</f>
        <v>0</v>
      </c>
      <c r="N167" s="11">
        <f t="shared" ref="N167" si="82">SUM(N168:N175)</f>
        <v>0</v>
      </c>
      <c r="O167" s="11">
        <f t="shared" ref="O167" si="83">SUM(O168:O175)</f>
        <v>0</v>
      </c>
      <c r="P167" s="11">
        <f t="shared" si="51"/>
        <v>28791300</v>
      </c>
    </row>
    <row r="168" spans="1:17" ht="47.25">
      <c r="A168" s="8" t="s">
        <v>248</v>
      </c>
      <c r="B168" s="8" t="s">
        <v>76</v>
      </c>
      <c r="C168" s="8" t="s">
        <v>24</v>
      </c>
      <c r="D168" s="12" t="s">
        <v>77</v>
      </c>
      <c r="E168" s="13">
        <f t="shared" si="70"/>
        <v>5601700</v>
      </c>
      <c r="F168" s="13">
        <v>5601700</v>
      </c>
      <c r="G168" s="13">
        <f>4526000+995700</f>
        <v>5521700</v>
      </c>
      <c r="H168" s="13">
        <v>0</v>
      </c>
      <c r="I168" s="13">
        <v>0</v>
      </c>
      <c r="J168" s="13">
        <f t="shared" si="32"/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f t="shared" si="51"/>
        <v>5601700</v>
      </c>
    </row>
    <row r="169" spans="1:17" ht="31.5">
      <c r="A169" s="8" t="s">
        <v>249</v>
      </c>
      <c r="B169" s="8" t="s">
        <v>31</v>
      </c>
      <c r="C169" s="8" t="s">
        <v>32</v>
      </c>
      <c r="D169" s="12" t="s">
        <v>33</v>
      </c>
      <c r="E169" s="13">
        <f t="shared" ref="E169:E175" si="84">F169+I169</f>
        <v>115000</v>
      </c>
      <c r="F169" s="13">
        <f>65000+50000</f>
        <v>115000</v>
      </c>
      <c r="G169" s="13">
        <v>0</v>
      </c>
      <c r="H169" s="13">
        <v>0</v>
      </c>
      <c r="I169" s="13">
        <v>0</v>
      </c>
      <c r="J169" s="13">
        <f t="shared" si="32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si="51"/>
        <v>115000</v>
      </c>
    </row>
    <row r="170" spans="1:17" ht="47.25">
      <c r="A170" s="8" t="s">
        <v>250</v>
      </c>
      <c r="B170" s="8" t="s">
        <v>227</v>
      </c>
      <c r="C170" s="8" t="s">
        <v>56</v>
      </c>
      <c r="D170" s="12" t="s">
        <v>228</v>
      </c>
      <c r="E170" s="13">
        <f t="shared" si="84"/>
        <v>200000</v>
      </c>
      <c r="F170" s="13">
        <v>200000</v>
      </c>
      <c r="G170" s="13">
        <v>0</v>
      </c>
      <c r="H170" s="13">
        <v>0</v>
      </c>
      <c r="I170" s="13">
        <v>0</v>
      </c>
      <c r="J170" s="13">
        <f t="shared" si="32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51"/>
        <v>200000</v>
      </c>
    </row>
    <row r="171" spans="1:17" s="21" customFormat="1" ht="31.5">
      <c r="A171" s="16" t="s">
        <v>312</v>
      </c>
      <c r="B171" s="20">
        <v>6090</v>
      </c>
      <c r="C171" s="16" t="s">
        <v>311</v>
      </c>
      <c r="D171" s="12" t="s">
        <v>310</v>
      </c>
      <c r="E171" s="13">
        <f t="shared" ref="E171" si="85">F171+I171</f>
        <v>1500000</v>
      </c>
      <c r="F171" s="13"/>
      <c r="G171" s="13">
        <v>0</v>
      </c>
      <c r="H171" s="13">
        <v>0</v>
      </c>
      <c r="I171" s="13">
        <v>1500000</v>
      </c>
      <c r="J171" s="13">
        <f t="shared" ref="J171" si="86">L171+O171</f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f t="shared" si="51"/>
        <v>1500000</v>
      </c>
    </row>
    <row r="172" spans="1:17">
      <c r="A172" s="8" t="s">
        <v>251</v>
      </c>
      <c r="B172" s="8" t="s">
        <v>252</v>
      </c>
      <c r="C172" s="8" t="s">
        <v>253</v>
      </c>
      <c r="D172" s="12" t="s">
        <v>254</v>
      </c>
      <c r="E172" s="13">
        <f t="shared" si="84"/>
        <v>1160000</v>
      </c>
      <c r="F172" s="13">
        <v>1160000</v>
      </c>
      <c r="G172" s="13">
        <v>0</v>
      </c>
      <c r="H172" s="13">
        <v>0</v>
      </c>
      <c r="I172" s="13">
        <v>0</v>
      </c>
      <c r="J172" s="13">
        <f t="shared" si="32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51"/>
        <v>1160000</v>
      </c>
    </row>
    <row r="173" spans="1:17" ht="31.5">
      <c r="A173" s="16" t="s">
        <v>299</v>
      </c>
      <c r="B173" s="16" t="s">
        <v>285</v>
      </c>
      <c r="C173" s="16" t="s">
        <v>287</v>
      </c>
      <c r="D173" s="12" t="s">
        <v>286</v>
      </c>
      <c r="E173" s="13">
        <f t="shared" si="84"/>
        <v>48600</v>
      </c>
      <c r="F173" s="13">
        <f>8600+40000</f>
        <v>48600</v>
      </c>
      <c r="G173" s="13"/>
      <c r="H173" s="13"/>
      <c r="I173" s="13"/>
      <c r="J173" s="13">
        <f t="shared" si="32"/>
        <v>0</v>
      </c>
      <c r="K173" s="13"/>
      <c r="L173" s="13"/>
      <c r="M173" s="13"/>
      <c r="N173" s="13"/>
      <c r="O173" s="13"/>
      <c r="P173" s="13">
        <f t="shared" si="51"/>
        <v>48600</v>
      </c>
    </row>
    <row r="174" spans="1:17" ht="31.5">
      <c r="A174" s="8" t="s">
        <v>258</v>
      </c>
      <c r="B174" s="8" t="s">
        <v>235</v>
      </c>
      <c r="C174" s="8" t="s">
        <v>60</v>
      </c>
      <c r="D174" s="12" t="s">
        <v>236</v>
      </c>
      <c r="E174" s="13">
        <f t="shared" si="84"/>
        <v>20021000</v>
      </c>
      <c r="F174" s="13">
        <v>0</v>
      </c>
      <c r="G174" s="13">
        <v>0</v>
      </c>
      <c r="H174" s="13">
        <v>0</v>
      </c>
      <c r="I174" s="13">
        <v>20021000</v>
      </c>
      <c r="J174" s="13">
        <f t="shared" si="32"/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ref="P174:P194" si="87">E174 + J174</f>
        <v>20021000</v>
      </c>
    </row>
    <row r="175" spans="1:17" ht="31.5">
      <c r="A175" s="8" t="s">
        <v>259</v>
      </c>
      <c r="B175" s="8" t="s">
        <v>260</v>
      </c>
      <c r="C175" s="8" t="s">
        <v>64</v>
      </c>
      <c r="D175" s="12" t="s">
        <v>261</v>
      </c>
      <c r="E175" s="13">
        <f t="shared" si="84"/>
        <v>145000</v>
      </c>
      <c r="F175" s="13">
        <v>145000</v>
      </c>
      <c r="G175" s="13">
        <v>0</v>
      </c>
      <c r="H175" s="13">
        <v>0</v>
      </c>
      <c r="I175" s="13">
        <v>0</v>
      </c>
      <c r="J175" s="13">
        <f t="shared" si="32"/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f t="shared" si="87"/>
        <v>145000</v>
      </c>
    </row>
    <row r="176" spans="1:17" ht="47.25">
      <c r="A176" s="9" t="s">
        <v>262</v>
      </c>
      <c r="B176" s="9" t="s">
        <v>19</v>
      </c>
      <c r="C176" s="9" t="s">
        <v>19</v>
      </c>
      <c r="D176" s="10" t="s">
        <v>263</v>
      </c>
      <c r="E176" s="11">
        <f>E177</f>
        <v>177189859</v>
      </c>
      <c r="F176" s="11">
        <f>F177</f>
        <v>168213518</v>
      </c>
      <c r="G176" s="11">
        <f t="shared" ref="G176:I176" si="88">G177</f>
        <v>7756900</v>
      </c>
      <c r="H176" s="11">
        <f t="shared" si="88"/>
        <v>0</v>
      </c>
      <c r="I176" s="11">
        <f t="shared" si="88"/>
        <v>0</v>
      </c>
      <c r="J176" s="11">
        <f t="shared" si="32"/>
        <v>16150382</v>
      </c>
      <c r="K176" s="11">
        <f>K177</f>
        <v>16150382</v>
      </c>
      <c r="L176" s="11">
        <f t="shared" ref="L176:O176" si="89">L177</f>
        <v>0</v>
      </c>
      <c r="M176" s="11">
        <f t="shared" si="89"/>
        <v>0</v>
      </c>
      <c r="N176" s="11">
        <f t="shared" si="89"/>
        <v>0</v>
      </c>
      <c r="O176" s="11">
        <f t="shared" si="89"/>
        <v>16150382</v>
      </c>
      <c r="P176" s="11">
        <f t="shared" si="87"/>
        <v>193340241</v>
      </c>
      <c r="Q176" s="5"/>
    </row>
    <row r="177" spans="1:16" ht="47.25">
      <c r="A177" s="9" t="s">
        <v>264</v>
      </c>
      <c r="B177" s="9" t="s">
        <v>19</v>
      </c>
      <c r="C177" s="9" t="s">
        <v>19</v>
      </c>
      <c r="D177" s="10" t="s">
        <v>263</v>
      </c>
      <c r="E177" s="11">
        <f>F177+I177+E180</f>
        <v>177189859</v>
      </c>
      <c r="F177" s="11">
        <f>F178+F179+F180+F181+F182+F188</f>
        <v>168213518</v>
      </c>
      <c r="G177" s="11">
        <f t="shared" ref="G177:I177" si="90">G178+G179+G180+G181+G182+G188</f>
        <v>7756900</v>
      </c>
      <c r="H177" s="11">
        <f t="shared" si="90"/>
        <v>0</v>
      </c>
      <c r="I177" s="11">
        <f t="shared" si="90"/>
        <v>0</v>
      </c>
      <c r="J177" s="11">
        <f t="shared" ref="J177:J187" si="91">L177+O177</f>
        <v>16150382</v>
      </c>
      <c r="K177" s="11">
        <f>K178+K179+K180+K181+K182+K188</f>
        <v>16150382</v>
      </c>
      <c r="L177" s="11">
        <f t="shared" ref="L177" si="92">L178+L179+L180+L181+L182+L188</f>
        <v>0</v>
      </c>
      <c r="M177" s="11">
        <f t="shared" ref="M177" si="93">M178+M179+M180+M181+M182+M188</f>
        <v>0</v>
      </c>
      <c r="N177" s="11">
        <f t="shared" ref="N177" si="94">N178+N179+N180+N181+N182+N188</f>
        <v>0</v>
      </c>
      <c r="O177" s="11">
        <f t="shared" ref="O177" si="95">O178+O179+O180+O181+O182+O188</f>
        <v>16150382</v>
      </c>
      <c r="P177" s="11">
        <f t="shared" si="87"/>
        <v>193340241</v>
      </c>
    </row>
    <row r="178" spans="1:16" ht="47.25">
      <c r="A178" s="8" t="s">
        <v>265</v>
      </c>
      <c r="B178" s="8" t="s">
        <v>76</v>
      </c>
      <c r="C178" s="8" t="s">
        <v>24</v>
      </c>
      <c r="D178" s="12" t="s">
        <v>77</v>
      </c>
      <c r="E178" s="13">
        <f>F178+I178</f>
        <v>8035900</v>
      </c>
      <c r="F178" s="13">
        <v>8035900</v>
      </c>
      <c r="G178" s="13">
        <f>6358000+1398900</f>
        <v>7756900</v>
      </c>
      <c r="H178" s="13">
        <v>0</v>
      </c>
      <c r="I178" s="13">
        <v>0</v>
      </c>
      <c r="J178" s="13">
        <f t="shared" si="91"/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f t="shared" si="87"/>
        <v>8035900</v>
      </c>
    </row>
    <row r="179" spans="1:16" ht="31.5">
      <c r="A179" s="16" t="s">
        <v>300</v>
      </c>
      <c r="B179" s="16" t="s">
        <v>285</v>
      </c>
      <c r="C179" s="16" t="s">
        <v>287</v>
      </c>
      <c r="D179" s="12" t="s">
        <v>286</v>
      </c>
      <c r="E179" s="13">
        <f t="shared" ref="E179" si="96">F179+I179</f>
        <v>92500</v>
      </c>
      <c r="F179" s="13">
        <v>92500</v>
      </c>
      <c r="G179" s="13"/>
      <c r="H179" s="13"/>
      <c r="I179" s="13"/>
      <c r="J179" s="13">
        <f t="shared" si="91"/>
        <v>0</v>
      </c>
      <c r="K179" s="13"/>
      <c r="L179" s="13"/>
      <c r="M179" s="13"/>
      <c r="N179" s="13"/>
      <c r="O179" s="13"/>
      <c r="P179" s="13">
        <f t="shared" si="87"/>
        <v>92500</v>
      </c>
    </row>
    <row r="180" spans="1:16" ht="23.45" customHeight="1">
      <c r="A180" s="8" t="s">
        <v>266</v>
      </c>
      <c r="B180" s="8" t="s">
        <v>267</v>
      </c>
      <c r="C180" s="8" t="s">
        <v>32</v>
      </c>
      <c r="D180" s="12" t="s">
        <v>268</v>
      </c>
      <c r="E180" s="13">
        <f>10000000-523659-500000</f>
        <v>8976341</v>
      </c>
      <c r="F180" s="13">
        <v>0</v>
      </c>
      <c r="G180" s="13">
        <v>0</v>
      </c>
      <c r="H180" s="13">
        <v>0</v>
      </c>
      <c r="I180" s="13">
        <v>0</v>
      </c>
      <c r="J180" s="13">
        <f t="shared" si="91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87"/>
        <v>8976341</v>
      </c>
    </row>
    <row r="181" spans="1:16" ht="23.45" customHeight="1">
      <c r="A181" s="8">
        <v>3719110</v>
      </c>
      <c r="B181" s="8">
        <v>9110</v>
      </c>
      <c r="C181" s="16" t="s">
        <v>31</v>
      </c>
      <c r="D181" s="12" t="s">
        <v>301</v>
      </c>
      <c r="E181" s="13">
        <f>F181+I181</f>
        <v>63874800</v>
      </c>
      <c r="F181" s="13">
        <v>63874800</v>
      </c>
      <c r="G181" s="13"/>
      <c r="H181" s="13"/>
      <c r="I181" s="13"/>
      <c r="J181" s="13">
        <f t="shared" si="91"/>
        <v>0</v>
      </c>
      <c r="K181" s="13"/>
      <c r="L181" s="13"/>
      <c r="M181" s="13"/>
      <c r="N181" s="13"/>
      <c r="O181" s="13"/>
      <c r="P181" s="13">
        <f t="shared" si="87"/>
        <v>63874800</v>
      </c>
    </row>
    <row r="182" spans="1:16" ht="23.45" customHeight="1">
      <c r="A182" s="8" t="s">
        <v>269</v>
      </c>
      <c r="B182" s="8" t="s">
        <v>270</v>
      </c>
      <c r="C182" s="8" t="s">
        <v>31</v>
      </c>
      <c r="D182" s="12" t="s">
        <v>271</v>
      </c>
      <c r="E182" s="13">
        <f>F182+I182</f>
        <v>14699800</v>
      </c>
      <c r="F182" s="13">
        <f>SUM(F183:F187)</f>
        <v>14699800</v>
      </c>
      <c r="G182" s="13">
        <f t="shared" ref="G182:K182" si="97">SUM(G183:G187)</f>
        <v>0</v>
      </c>
      <c r="H182" s="13">
        <f t="shared" si="97"/>
        <v>0</v>
      </c>
      <c r="I182" s="13">
        <f t="shared" si="97"/>
        <v>0</v>
      </c>
      <c r="J182" s="13">
        <f t="shared" si="91"/>
        <v>1041300</v>
      </c>
      <c r="K182" s="13">
        <f t="shared" si="97"/>
        <v>1041300</v>
      </c>
      <c r="L182" s="13">
        <f t="shared" ref="L182" si="98">SUM(L183:L187)</f>
        <v>0</v>
      </c>
      <c r="M182" s="13">
        <f t="shared" ref="M182" si="99">SUM(M183:M187)</f>
        <v>0</v>
      </c>
      <c r="N182" s="13">
        <f t="shared" ref="N182" si="100">SUM(N183:N187)</f>
        <v>0</v>
      </c>
      <c r="O182" s="13">
        <f t="shared" ref="O182" si="101">SUM(O183:O187)</f>
        <v>1041300</v>
      </c>
      <c r="P182" s="13">
        <f t="shared" si="87"/>
        <v>15741100</v>
      </c>
    </row>
    <row r="183" spans="1:16" s="7" customFormat="1" ht="126">
      <c r="A183" s="14"/>
      <c r="B183" s="14"/>
      <c r="C183" s="14"/>
      <c r="D183" s="18" t="s">
        <v>303</v>
      </c>
      <c r="E183" s="15">
        <f>F183+I183</f>
        <v>1958700</v>
      </c>
      <c r="F183" s="15">
        <f>1760700+198000</f>
        <v>1958700</v>
      </c>
      <c r="G183" s="15"/>
      <c r="H183" s="15"/>
      <c r="I183" s="15"/>
      <c r="J183" s="15">
        <f t="shared" si="91"/>
        <v>0</v>
      </c>
      <c r="K183" s="15"/>
      <c r="L183" s="15"/>
      <c r="M183" s="15"/>
      <c r="N183" s="15"/>
      <c r="O183" s="15"/>
      <c r="P183" s="15">
        <f t="shared" si="87"/>
        <v>1958700</v>
      </c>
    </row>
    <row r="184" spans="1:16" s="7" customFormat="1" ht="63">
      <c r="A184" s="14"/>
      <c r="B184" s="14"/>
      <c r="C184" s="14"/>
      <c r="D184" s="1" t="s">
        <v>304</v>
      </c>
      <c r="E184" s="15">
        <f t="shared" ref="E184:E187" si="102">F184+I184</f>
        <v>500000</v>
      </c>
      <c r="F184" s="15">
        <v>500000</v>
      </c>
      <c r="G184" s="15"/>
      <c r="H184" s="15"/>
      <c r="I184" s="15"/>
      <c r="J184" s="15">
        <f t="shared" si="91"/>
        <v>0</v>
      </c>
      <c r="K184" s="15"/>
      <c r="L184" s="15"/>
      <c r="M184" s="15"/>
      <c r="N184" s="15"/>
      <c r="O184" s="15"/>
      <c r="P184" s="15">
        <f t="shared" si="87"/>
        <v>500000</v>
      </c>
    </row>
    <row r="185" spans="1:16" s="7" customFormat="1" ht="78.75">
      <c r="A185" s="14"/>
      <c r="B185" s="14"/>
      <c r="C185" s="14"/>
      <c r="D185" s="18" t="s">
        <v>302</v>
      </c>
      <c r="E185" s="15">
        <f t="shared" si="102"/>
        <v>2241100</v>
      </c>
      <c r="F185" s="15">
        <f>2237000+14200-10100</f>
        <v>2241100</v>
      </c>
      <c r="G185" s="15"/>
      <c r="H185" s="15"/>
      <c r="I185" s="15"/>
      <c r="J185" s="15">
        <f t="shared" si="91"/>
        <v>0</v>
      </c>
      <c r="K185" s="15"/>
      <c r="L185" s="15"/>
      <c r="M185" s="15"/>
      <c r="N185" s="15"/>
      <c r="O185" s="15"/>
      <c r="P185" s="15">
        <f t="shared" si="87"/>
        <v>2241100</v>
      </c>
    </row>
    <row r="186" spans="1:16" s="7" customFormat="1" ht="94.5">
      <c r="A186" s="14"/>
      <c r="B186" s="14"/>
      <c r="C186" s="14"/>
      <c r="D186" s="18" t="s">
        <v>387</v>
      </c>
      <c r="E186" s="15">
        <f t="shared" si="102"/>
        <v>10000000</v>
      </c>
      <c r="F186" s="15">
        <v>10000000</v>
      </c>
      <c r="G186" s="15"/>
      <c r="H186" s="15"/>
      <c r="I186" s="15"/>
      <c r="J186" s="15">
        <f t="shared" si="91"/>
        <v>0</v>
      </c>
      <c r="K186" s="15"/>
      <c r="L186" s="15"/>
      <c r="M186" s="15"/>
      <c r="N186" s="15"/>
      <c r="O186" s="15"/>
      <c r="P186" s="15">
        <f t="shared" si="87"/>
        <v>10000000</v>
      </c>
    </row>
    <row r="187" spans="1:16" s="7" customFormat="1" ht="47.25">
      <c r="A187" s="14"/>
      <c r="B187" s="14"/>
      <c r="C187" s="14"/>
      <c r="D187" s="18" t="s">
        <v>408</v>
      </c>
      <c r="E187" s="15">
        <f t="shared" si="102"/>
        <v>0</v>
      </c>
      <c r="F187" s="15"/>
      <c r="G187" s="15"/>
      <c r="H187" s="15"/>
      <c r="I187" s="15"/>
      <c r="J187" s="15">
        <f t="shared" si="91"/>
        <v>1041300</v>
      </c>
      <c r="K187" s="15">
        <v>1041300</v>
      </c>
      <c r="L187" s="15"/>
      <c r="M187" s="15"/>
      <c r="N187" s="15"/>
      <c r="O187" s="15">
        <v>1041300</v>
      </c>
      <c r="P187" s="15">
        <f t="shared" si="87"/>
        <v>1041300</v>
      </c>
    </row>
    <row r="188" spans="1:16" ht="63">
      <c r="A188" s="33">
        <v>3719800</v>
      </c>
      <c r="B188" s="33">
        <v>9800</v>
      </c>
      <c r="C188" s="16" t="s">
        <v>31</v>
      </c>
      <c r="D188" s="35" t="s">
        <v>386</v>
      </c>
      <c r="E188" s="13">
        <f t="shared" ref="E188:E193" si="103">F188+I188</f>
        <v>81510518</v>
      </c>
      <c r="F188" s="13">
        <f>SUM(F189:F193)</f>
        <v>81510518</v>
      </c>
      <c r="G188" s="13">
        <f t="shared" ref="G188:I188" si="104">G189+G190</f>
        <v>0</v>
      </c>
      <c r="H188" s="13">
        <f t="shared" si="104"/>
        <v>0</v>
      </c>
      <c r="I188" s="13">
        <f t="shared" si="104"/>
        <v>0</v>
      </c>
      <c r="J188" s="13">
        <f>L188+O188</f>
        <v>15109082</v>
      </c>
      <c r="K188" s="13">
        <f>SUM(K189:K193)</f>
        <v>15109082</v>
      </c>
      <c r="L188" s="13">
        <f t="shared" ref="L188" si="105">L189+L190</f>
        <v>0</v>
      </c>
      <c r="M188" s="13">
        <f t="shared" ref="M188" si="106">M189+M190</f>
        <v>0</v>
      </c>
      <c r="N188" s="13">
        <f t="shared" ref="N188" si="107">N189+N190</f>
        <v>0</v>
      </c>
      <c r="O188" s="13">
        <f>SUM(O189:O193)</f>
        <v>15109082</v>
      </c>
      <c r="P188" s="13">
        <f t="shared" si="87"/>
        <v>96619600</v>
      </c>
    </row>
    <row r="189" spans="1:16" s="7" customFormat="1" ht="94.5">
      <c r="A189" s="14"/>
      <c r="B189" s="14"/>
      <c r="C189" s="14"/>
      <c r="D189" s="18" t="s">
        <v>387</v>
      </c>
      <c r="E189" s="15">
        <f t="shared" si="103"/>
        <v>77315918</v>
      </c>
      <c r="F189" s="15">
        <f>1690000+14000000+77500000-15874082</f>
        <v>77315918</v>
      </c>
      <c r="G189" s="15"/>
      <c r="H189" s="15"/>
      <c r="I189" s="15"/>
      <c r="J189" s="15">
        <f t="shared" ref="J189:J193" si="108">L189+O189</f>
        <v>12684082</v>
      </c>
      <c r="K189" s="15">
        <f>2310000+4500000+5874082</f>
        <v>12684082</v>
      </c>
      <c r="L189" s="15"/>
      <c r="M189" s="15"/>
      <c r="N189" s="15"/>
      <c r="O189" s="15">
        <f>2310000+4500000+5874082</f>
        <v>12684082</v>
      </c>
      <c r="P189" s="15">
        <f>E189 + J189</f>
        <v>90000000</v>
      </c>
    </row>
    <row r="190" spans="1:16" s="7" customFormat="1" ht="63">
      <c r="A190" s="14"/>
      <c r="B190" s="14"/>
      <c r="C190" s="14"/>
      <c r="D190" s="18" t="s">
        <v>388</v>
      </c>
      <c r="E190" s="15">
        <f t="shared" si="103"/>
        <v>1870000</v>
      </c>
      <c r="F190" s="15">
        <f>2000000-130000</f>
        <v>1870000</v>
      </c>
      <c r="G190" s="15"/>
      <c r="H190" s="15"/>
      <c r="I190" s="15"/>
      <c r="J190" s="15">
        <f t="shared" si="108"/>
        <v>1130000</v>
      </c>
      <c r="K190" s="15">
        <f>1000000+130000</f>
        <v>1130000</v>
      </c>
      <c r="L190" s="15"/>
      <c r="M190" s="15"/>
      <c r="N190" s="15"/>
      <c r="O190" s="15">
        <f>1000000+130000</f>
        <v>1130000</v>
      </c>
      <c r="P190" s="15">
        <f t="shared" si="87"/>
        <v>3000000</v>
      </c>
    </row>
    <row r="191" spans="1:16" s="7" customFormat="1" ht="78.75">
      <c r="A191" s="14"/>
      <c r="B191" s="14"/>
      <c r="C191" s="14"/>
      <c r="D191" s="18" t="s">
        <v>393</v>
      </c>
      <c r="E191" s="15">
        <f t="shared" si="103"/>
        <v>2000000</v>
      </c>
      <c r="F191" s="15">
        <v>2000000</v>
      </c>
      <c r="G191" s="15"/>
      <c r="H191" s="15"/>
      <c r="I191" s="15"/>
      <c r="J191" s="15">
        <f t="shared" si="108"/>
        <v>0</v>
      </c>
      <c r="K191" s="15"/>
      <c r="L191" s="15"/>
      <c r="M191" s="15"/>
      <c r="N191" s="15"/>
      <c r="O191" s="15"/>
      <c r="P191" s="15">
        <f t="shared" si="87"/>
        <v>2000000</v>
      </c>
    </row>
    <row r="192" spans="1:16" s="7" customFormat="1" ht="47.25">
      <c r="A192" s="14"/>
      <c r="B192" s="14"/>
      <c r="C192" s="14"/>
      <c r="D192" s="18" t="s">
        <v>394</v>
      </c>
      <c r="E192" s="15">
        <f t="shared" si="103"/>
        <v>200000</v>
      </c>
      <c r="F192" s="15">
        <v>200000</v>
      </c>
      <c r="G192" s="15"/>
      <c r="H192" s="15"/>
      <c r="I192" s="15"/>
      <c r="J192" s="15">
        <f t="shared" si="108"/>
        <v>0</v>
      </c>
      <c r="K192" s="15"/>
      <c r="L192" s="15"/>
      <c r="M192" s="15"/>
      <c r="N192" s="15"/>
      <c r="O192" s="15"/>
      <c r="P192" s="15">
        <f t="shared" si="87"/>
        <v>200000</v>
      </c>
    </row>
    <row r="193" spans="1:16" s="7" customFormat="1" ht="63">
      <c r="A193" s="14"/>
      <c r="B193" s="14"/>
      <c r="C193" s="14"/>
      <c r="D193" s="18" t="s">
        <v>395</v>
      </c>
      <c r="E193" s="15">
        <f t="shared" si="103"/>
        <v>124600</v>
      </c>
      <c r="F193" s="15">
        <v>124600</v>
      </c>
      <c r="G193" s="15"/>
      <c r="H193" s="15"/>
      <c r="I193" s="15"/>
      <c r="J193" s="15">
        <f t="shared" si="108"/>
        <v>1295000</v>
      </c>
      <c r="K193" s="15">
        <v>1295000</v>
      </c>
      <c r="L193" s="15"/>
      <c r="M193" s="15"/>
      <c r="N193" s="15"/>
      <c r="O193" s="15">
        <v>1295000</v>
      </c>
      <c r="P193" s="15">
        <f t="shared" si="87"/>
        <v>1419600</v>
      </c>
    </row>
    <row r="194" spans="1:16" ht="19.899999999999999" customHeight="1">
      <c r="A194" s="9" t="s">
        <v>273</v>
      </c>
      <c r="B194" s="9" t="s">
        <v>273</v>
      </c>
      <c r="C194" s="9" t="s">
        <v>273</v>
      </c>
      <c r="D194" s="17" t="s">
        <v>272</v>
      </c>
      <c r="E194" s="11">
        <f>E18+E57+E85+E108+E113+E124+E133+E154+E166+E176</f>
        <v>1218276998.8699999</v>
      </c>
      <c r="F194" s="11">
        <f>F18+F57+F85+F108+F113+F124+F133+F154+F166+F176</f>
        <v>1075686398.8699999</v>
      </c>
      <c r="G194" s="11">
        <f>G18+G57+G85+G108+G113+G124+G133+G154+G166+G176</f>
        <v>546469026.87</v>
      </c>
      <c r="H194" s="11">
        <f>H18+H57+H85+H108+H113+H124+H133+H154+H166+H176</f>
        <v>46768300</v>
      </c>
      <c r="I194" s="11">
        <f>I18+I57+I85+I108+I113+I124+I133+I154+I166+I176</f>
        <v>133614259</v>
      </c>
      <c r="J194" s="11">
        <f>L194+O194</f>
        <v>249764809.81</v>
      </c>
      <c r="K194" s="11">
        <f>K18+K57+K85+K108+K113+K124+K133+K154+K166+K176</f>
        <v>229809335.63</v>
      </c>
      <c r="L194" s="11">
        <f>L18+L57+L85+L108+L113+L124+L133+L154+L166+L176</f>
        <v>19216100</v>
      </c>
      <c r="M194" s="11">
        <f>M18+M57+M85+M108+M113+M124+M133+M154+M166+M176</f>
        <v>507100</v>
      </c>
      <c r="N194" s="11">
        <f>N18+N57+N85+N108+N113+N124+N133+N154+N166+N176</f>
        <v>0</v>
      </c>
      <c r="O194" s="11">
        <f>O18+O57+O85+O108+O113+O124+O133+O154+O166+O176</f>
        <v>230548709.81</v>
      </c>
      <c r="P194" s="11">
        <f t="shared" si="87"/>
        <v>1468041808.6799998</v>
      </c>
    </row>
    <row r="195" spans="1:16" ht="19.899999999999999" customHeight="1">
      <c r="A195" s="22"/>
      <c r="B195" s="22"/>
      <c r="C195" s="22"/>
      <c r="D195" s="23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s="29" customFormat="1" ht="18.75">
      <c r="A196" s="25"/>
      <c r="B196" s="25"/>
      <c r="C196" s="26" t="s">
        <v>315</v>
      </c>
      <c r="D196" s="27" t="s">
        <v>316</v>
      </c>
      <c r="E196" s="28">
        <f>E20+E25+E26+E59+E87+E88+E110+E115+E126+E135+E136+E156+E157+E168+E169+E178</f>
        <v>168971300</v>
      </c>
      <c r="F196" s="28">
        <f t="shared" ref="F196:O196" si="109">F20+F25+F26+F59+F87+F88+F110+F115+F126+F135+F136+F156+F157+F168+F169+F178</f>
        <v>168971300</v>
      </c>
      <c r="G196" s="28">
        <f t="shared" si="109"/>
        <v>152190900</v>
      </c>
      <c r="H196" s="28">
        <f t="shared" si="109"/>
        <v>6656600</v>
      </c>
      <c r="I196" s="28">
        <f t="shared" si="109"/>
        <v>0</v>
      </c>
      <c r="J196" s="28">
        <f t="shared" si="109"/>
        <v>742600</v>
      </c>
      <c r="K196" s="28">
        <f t="shared" si="109"/>
        <v>625000</v>
      </c>
      <c r="L196" s="28">
        <f t="shared" si="109"/>
        <v>117600</v>
      </c>
      <c r="M196" s="28">
        <f t="shared" si="109"/>
        <v>0</v>
      </c>
      <c r="N196" s="28">
        <f t="shared" si="109"/>
        <v>0</v>
      </c>
      <c r="O196" s="28">
        <f t="shared" si="109"/>
        <v>625000</v>
      </c>
      <c r="P196" s="28">
        <f>E196+J196</f>
        <v>169713900</v>
      </c>
    </row>
    <row r="197" spans="1:16" s="29" customFormat="1" ht="18.75">
      <c r="A197" s="25"/>
      <c r="B197" s="25"/>
      <c r="C197" s="26" t="s">
        <v>317</v>
      </c>
      <c r="D197" s="27" t="s">
        <v>318</v>
      </c>
      <c r="E197" s="28">
        <f>E60+E61+E62+E63+E67+E68+E69+E70+E71+E72+E73+E74+E75+E76+E77+E78+E79+E116+E158</f>
        <v>417397094</v>
      </c>
      <c r="F197" s="28">
        <f t="shared" ref="F197:O197" si="110">F60+F61+F62+F63+F67+F68+F69+F70+F71+F72+F73+F74+F75+F76+F77+F78+F79+F116+F158</f>
        <v>417397094</v>
      </c>
      <c r="G197" s="28">
        <f t="shared" si="110"/>
        <v>310653284</v>
      </c>
      <c r="H197" s="28">
        <f t="shared" si="110"/>
        <v>35491400</v>
      </c>
      <c r="I197" s="28">
        <f t="shared" si="110"/>
        <v>0</v>
      </c>
      <c r="J197" s="28">
        <f t="shared" si="110"/>
        <v>113084116</v>
      </c>
      <c r="K197" s="28">
        <f t="shared" si="110"/>
        <v>94992616</v>
      </c>
      <c r="L197" s="28">
        <f t="shared" si="110"/>
        <v>17891500</v>
      </c>
      <c r="M197" s="28">
        <f t="shared" si="110"/>
        <v>495100</v>
      </c>
      <c r="N197" s="28">
        <f t="shared" si="110"/>
        <v>0</v>
      </c>
      <c r="O197" s="28">
        <f t="shared" si="110"/>
        <v>95192616</v>
      </c>
      <c r="P197" s="28">
        <f t="shared" ref="P197:P204" si="111">E197+J197</f>
        <v>530481210</v>
      </c>
    </row>
    <row r="198" spans="1:16" s="29" customFormat="1" ht="18.75">
      <c r="A198" s="25"/>
      <c r="B198" s="25"/>
      <c r="C198" s="26" t="s">
        <v>319</v>
      </c>
      <c r="D198" s="27" t="s">
        <v>320</v>
      </c>
      <c r="E198" s="28">
        <f t="shared" ref="E198:O198" si="112">E27+E28+E29+E30+E159</f>
        <v>64281230</v>
      </c>
      <c r="F198" s="28">
        <f t="shared" si="112"/>
        <v>64281230</v>
      </c>
      <c r="G198" s="28">
        <f t="shared" si="112"/>
        <v>0</v>
      </c>
      <c r="H198" s="28">
        <f t="shared" si="112"/>
        <v>0</v>
      </c>
      <c r="I198" s="28">
        <f t="shared" si="112"/>
        <v>0</v>
      </c>
      <c r="J198" s="28">
        <f t="shared" si="112"/>
        <v>4239070</v>
      </c>
      <c r="K198" s="28">
        <f t="shared" si="112"/>
        <v>4239070</v>
      </c>
      <c r="L198" s="28">
        <f t="shared" si="112"/>
        <v>0</v>
      </c>
      <c r="M198" s="28">
        <f t="shared" si="112"/>
        <v>0</v>
      </c>
      <c r="N198" s="28">
        <f t="shared" si="112"/>
        <v>0</v>
      </c>
      <c r="O198" s="28">
        <f t="shared" si="112"/>
        <v>4239070</v>
      </c>
      <c r="P198" s="28">
        <f t="shared" si="111"/>
        <v>68520300</v>
      </c>
    </row>
    <row r="199" spans="1:16" s="29" customFormat="1" ht="32.25">
      <c r="A199" s="25"/>
      <c r="B199" s="25"/>
      <c r="C199" s="26" t="s">
        <v>321</v>
      </c>
      <c r="D199" s="27" t="s">
        <v>322</v>
      </c>
      <c r="E199" s="28">
        <f>E34+E80+E81+E89+E90+E91+E92+E93+E94+E95+E96+E97+E98+E99+E100+E101+E102+E103+E111+E117+E127+E137</f>
        <v>112545447.87</v>
      </c>
      <c r="F199" s="28">
        <f t="shared" ref="F199:O199" si="113">F34+F80+F81+F89+F90+F91+F92+F93+F94+F95+F96+F97+F98+F99+F100+F101+F102+F103+F111+F117+F127+F137</f>
        <v>112545447.87</v>
      </c>
      <c r="G199" s="28">
        <f t="shared" si="113"/>
        <v>26179192.870000001</v>
      </c>
      <c r="H199" s="28">
        <f t="shared" si="113"/>
        <v>728000</v>
      </c>
      <c r="I199" s="28">
        <f t="shared" si="113"/>
        <v>0</v>
      </c>
      <c r="J199" s="28">
        <f t="shared" si="113"/>
        <v>1173625</v>
      </c>
      <c r="K199" s="28">
        <f t="shared" si="113"/>
        <v>991625</v>
      </c>
      <c r="L199" s="28">
        <f t="shared" si="113"/>
        <v>57000</v>
      </c>
      <c r="M199" s="28">
        <f t="shared" si="113"/>
        <v>0</v>
      </c>
      <c r="N199" s="28">
        <f t="shared" si="113"/>
        <v>0</v>
      </c>
      <c r="O199" s="28">
        <f t="shared" si="113"/>
        <v>1116625</v>
      </c>
      <c r="P199" s="28">
        <f t="shared" si="111"/>
        <v>113719072.87</v>
      </c>
    </row>
    <row r="200" spans="1:16" s="29" customFormat="1" ht="18.75">
      <c r="A200" s="25"/>
      <c r="B200" s="25"/>
      <c r="C200" s="26" t="s">
        <v>323</v>
      </c>
      <c r="D200" s="27" t="s">
        <v>324</v>
      </c>
      <c r="E200" s="28">
        <f>E118+E119+E120+E121+E122</f>
        <v>30321700</v>
      </c>
      <c r="F200" s="28">
        <f t="shared" ref="F200:O200" si="114">F118+F119+F120+F121+F122</f>
        <v>30321700</v>
      </c>
      <c r="G200" s="28">
        <f t="shared" si="114"/>
        <v>23189700</v>
      </c>
      <c r="H200" s="28">
        <f t="shared" si="114"/>
        <v>3008700</v>
      </c>
      <c r="I200" s="28">
        <f t="shared" si="114"/>
        <v>0</v>
      </c>
      <c r="J200" s="28">
        <f t="shared" si="114"/>
        <v>510000</v>
      </c>
      <c r="K200" s="28">
        <f t="shared" si="114"/>
        <v>230000</v>
      </c>
      <c r="L200" s="28">
        <f t="shared" si="114"/>
        <v>250000</v>
      </c>
      <c r="M200" s="28">
        <f t="shared" si="114"/>
        <v>12000</v>
      </c>
      <c r="N200" s="28">
        <f t="shared" si="114"/>
        <v>0</v>
      </c>
      <c r="O200" s="28">
        <f t="shared" si="114"/>
        <v>260000</v>
      </c>
      <c r="P200" s="28">
        <f t="shared" si="111"/>
        <v>30831700</v>
      </c>
    </row>
    <row r="201" spans="1:16" s="29" customFormat="1" ht="18.75">
      <c r="A201" s="25"/>
      <c r="B201" s="25"/>
      <c r="C201" s="26" t="s">
        <v>325</v>
      </c>
      <c r="D201" s="27" t="s">
        <v>326</v>
      </c>
      <c r="E201" s="28">
        <f>E82+E128+E129+E130+E131</f>
        <v>18804800</v>
      </c>
      <c r="F201" s="28">
        <f t="shared" ref="F201:O201" si="115">F82+F128+F129+F130+F131</f>
        <v>18804800</v>
      </c>
      <c r="G201" s="28">
        <f t="shared" si="115"/>
        <v>10625700</v>
      </c>
      <c r="H201" s="28">
        <f t="shared" si="115"/>
        <v>821100</v>
      </c>
      <c r="I201" s="28">
        <f t="shared" si="115"/>
        <v>0</v>
      </c>
      <c r="J201" s="28">
        <f t="shared" si="115"/>
        <v>0</v>
      </c>
      <c r="K201" s="28">
        <f t="shared" si="115"/>
        <v>0</v>
      </c>
      <c r="L201" s="28">
        <f t="shared" si="115"/>
        <v>0</v>
      </c>
      <c r="M201" s="28">
        <f t="shared" si="115"/>
        <v>0</v>
      </c>
      <c r="N201" s="28">
        <f t="shared" si="115"/>
        <v>0</v>
      </c>
      <c r="O201" s="28">
        <f t="shared" si="115"/>
        <v>0</v>
      </c>
      <c r="P201" s="28">
        <f t="shared" si="111"/>
        <v>18804800</v>
      </c>
    </row>
    <row r="202" spans="1:16" s="29" customFormat="1" ht="18.75">
      <c r="A202" s="25"/>
      <c r="B202" s="25"/>
      <c r="C202" s="26" t="s">
        <v>327</v>
      </c>
      <c r="D202" s="27" t="s">
        <v>328</v>
      </c>
      <c r="E202" s="28">
        <f>E35+E138+E139+E140+E141+E142+E143+E160+E161+E170+E171</f>
        <v>98409859</v>
      </c>
      <c r="F202" s="28">
        <f t="shared" ref="F202:O202" si="116">F35+F138+F139+F140+F141+F142+F143+F160+F161+F170+F171</f>
        <v>33262900</v>
      </c>
      <c r="G202" s="28">
        <f t="shared" si="116"/>
        <v>0</v>
      </c>
      <c r="H202" s="28">
        <f t="shared" si="116"/>
        <v>0</v>
      </c>
      <c r="I202" s="28">
        <f t="shared" si="116"/>
        <v>65146959</v>
      </c>
      <c r="J202" s="28">
        <f t="shared" si="116"/>
        <v>50311536.009999998</v>
      </c>
      <c r="K202" s="28">
        <f t="shared" si="116"/>
        <v>50311536.009999998</v>
      </c>
      <c r="L202" s="28">
        <f t="shared" si="116"/>
        <v>0</v>
      </c>
      <c r="M202" s="28">
        <f t="shared" si="116"/>
        <v>0</v>
      </c>
      <c r="N202" s="28">
        <f t="shared" si="116"/>
        <v>0</v>
      </c>
      <c r="O202" s="28">
        <f t="shared" si="116"/>
        <v>50311536.009999998</v>
      </c>
      <c r="P202" s="28">
        <f t="shared" si="111"/>
        <v>148721395.00999999</v>
      </c>
    </row>
    <row r="203" spans="1:16" s="29" customFormat="1" ht="18.75">
      <c r="A203" s="25"/>
      <c r="B203" s="25"/>
      <c r="C203" s="26" t="s">
        <v>329</v>
      </c>
      <c r="D203" s="27" t="s">
        <v>330</v>
      </c>
      <c r="E203" s="28">
        <f>E39+E40+E41+E49+E50+E83+E104+E112+E123+E132+E144+E145+E146+E147+E148+E149+E162+E163+E164+E172+E173+E174+E179</f>
        <v>102572840</v>
      </c>
      <c r="F203" s="28">
        <f t="shared" ref="F203:O203" si="117">F39+F40+F41+F49+F50+F83+F104+F112+F123+F132+F144+F145+F146+F147+F148+F149+F162+F163+F164+F172+F173+F174+F179</f>
        <v>34505540</v>
      </c>
      <c r="G203" s="28">
        <f t="shared" si="117"/>
        <v>0</v>
      </c>
      <c r="H203" s="28">
        <f t="shared" si="117"/>
        <v>0</v>
      </c>
      <c r="I203" s="28">
        <f t="shared" si="117"/>
        <v>68067300</v>
      </c>
      <c r="J203" s="28">
        <f t="shared" si="117"/>
        <v>47772799.799999997</v>
      </c>
      <c r="K203" s="28">
        <f t="shared" si="117"/>
        <v>47388425.619999997</v>
      </c>
      <c r="L203" s="28">
        <f t="shared" si="117"/>
        <v>0</v>
      </c>
      <c r="M203" s="28">
        <f t="shared" si="117"/>
        <v>0</v>
      </c>
      <c r="N203" s="28">
        <f t="shared" si="117"/>
        <v>0</v>
      </c>
      <c r="O203" s="28">
        <f t="shared" si="117"/>
        <v>47772799.799999997</v>
      </c>
      <c r="P203" s="28">
        <f>E203+J203</f>
        <v>150345639.80000001</v>
      </c>
    </row>
    <row r="204" spans="1:16" s="30" customFormat="1" ht="18.75">
      <c r="A204" s="25"/>
      <c r="B204" s="25"/>
      <c r="C204" s="26" t="s">
        <v>331</v>
      </c>
      <c r="D204" s="27" t="s">
        <v>332</v>
      </c>
      <c r="E204" s="28">
        <f>E51+E52+E53+E54+E55+E56+E84+E150+E151+E152+E153+E165+E175+E180</f>
        <v>44887610</v>
      </c>
      <c r="F204" s="28">
        <f t="shared" ref="F204:O204" si="118">F51+F52+F53+F54+F55+F56+F84+F150+F151+F152+F153+F165+F175+F180</f>
        <v>35511269</v>
      </c>
      <c r="G204" s="28">
        <f t="shared" si="118"/>
        <v>23630250</v>
      </c>
      <c r="H204" s="28">
        <f t="shared" si="118"/>
        <v>62500</v>
      </c>
      <c r="I204" s="28">
        <f t="shared" si="118"/>
        <v>400000</v>
      </c>
      <c r="J204" s="28">
        <f t="shared" si="118"/>
        <v>15780681</v>
      </c>
      <c r="K204" s="28">
        <f t="shared" si="118"/>
        <v>14880681</v>
      </c>
      <c r="L204" s="28">
        <f t="shared" si="118"/>
        <v>900000</v>
      </c>
      <c r="M204" s="28">
        <f t="shared" si="118"/>
        <v>0</v>
      </c>
      <c r="N204" s="28">
        <f t="shared" si="118"/>
        <v>0</v>
      </c>
      <c r="O204" s="28">
        <f t="shared" si="118"/>
        <v>14880681</v>
      </c>
      <c r="P204" s="28">
        <f t="shared" si="111"/>
        <v>60668291</v>
      </c>
    </row>
    <row r="205" spans="1:16" s="21" customFormat="1" ht="18.75">
      <c r="A205" s="25"/>
      <c r="B205" s="25"/>
      <c r="C205" s="26" t="s">
        <v>333</v>
      </c>
      <c r="D205" s="27" t="s">
        <v>334</v>
      </c>
      <c r="E205" s="28">
        <f>E181+E182+E188</f>
        <v>160085118</v>
      </c>
      <c r="F205" s="28">
        <f t="shared" ref="F205:O205" si="119">F181+F182+F188</f>
        <v>160085118</v>
      </c>
      <c r="G205" s="28">
        <f t="shared" si="119"/>
        <v>0</v>
      </c>
      <c r="H205" s="28">
        <f t="shared" si="119"/>
        <v>0</v>
      </c>
      <c r="I205" s="28">
        <f t="shared" si="119"/>
        <v>0</v>
      </c>
      <c r="J205" s="28">
        <f t="shared" si="119"/>
        <v>16150382</v>
      </c>
      <c r="K205" s="28">
        <f t="shared" si="119"/>
        <v>16150382</v>
      </c>
      <c r="L205" s="28">
        <f t="shared" si="119"/>
        <v>0</v>
      </c>
      <c r="M205" s="28">
        <f t="shared" si="119"/>
        <v>0</v>
      </c>
      <c r="N205" s="28">
        <f t="shared" si="119"/>
        <v>0</v>
      </c>
      <c r="O205" s="28">
        <f t="shared" si="119"/>
        <v>16150382</v>
      </c>
      <c r="P205" s="28">
        <f>E205+J205</f>
        <v>176235500</v>
      </c>
    </row>
    <row r="206" spans="1:16" s="21" customFormat="1">
      <c r="A206" s="31"/>
      <c r="B206" s="31"/>
      <c r="C206" s="31"/>
      <c r="D206" s="31" t="s">
        <v>17</v>
      </c>
      <c r="E206" s="32">
        <f>SUM(E196:E205)</f>
        <v>1218276998.8699999</v>
      </c>
      <c r="F206" s="32">
        <f>SUM(F196:F205)</f>
        <v>1075686398.8699999</v>
      </c>
      <c r="G206" s="32">
        <f>SUM(G196:G205)</f>
        <v>546469026.87</v>
      </c>
      <c r="H206" s="32">
        <f t="shared" ref="H206:O206" si="120">SUM(H196:H205)</f>
        <v>46768300</v>
      </c>
      <c r="I206" s="32">
        <f t="shared" si="120"/>
        <v>133614259</v>
      </c>
      <c r="J206" s="32">
        <f t="shared" si="120"/>
        <v>249764809.81</v>
      </c>
      <c r="K206" s="32">
        <f>SUM(K196:K205)</f>
        <v>229809335.63</v>
      </c>
      <c r="L206" s="32">
        <f t="shared" si="120"/>
        <v>19216100</v>
      </c>
      <c r="M206" s="32">
        <f t="shared" si="120"/>
        <v>507100</v>
      </c>
      <c r="N206" s="32">
        <f t="shared" si="120"/>
        <v>0</v>
      </c>
      <c r="O206" s="32">
        <f t="shared" si="120"/>
        <v>230548709.81</v>
      </c>
      <c r="P206" s="32">
        <f>E206+J206</f>
        <v>1468041808.6799998</v>
      </c>
    </row>
    <row r="207" spans="1:16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D208" s="2" t="s">
        <v>280</v>
      </c>
      <c r="J208" s="2" t="s">
        <v>281</v>
      </c>
    </row>
    <row r="209" spans="4:16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4:16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4:16">
      <c r="D211" s="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4:16">
      <c r="D212" s="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4:16">
      <c r="E213" s="5"/>
      <c r="G213" s="5"/>
      <c r="H213" s="5"/>
      <c r="J213" s="5"/>
      <c r="K213" s="6"/>
      <c r="P213" s="5"/>
    </row>
    <row r="214" spans="4:16">
      <c r="E214" s="6"/>
      <c r="G214" s="5"/>
      <c r="H214" s="5"/>
      <c r="J214" s="6"/>
      <c r="P214" s="6"/>
    </row>
    <row r="215" spans="4:16">
      <c r="D215" s="4"/>
      <c r="E215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2025-02-26T08:06:32Z</cp:lastPrinted>
  <dcterms:created xsi:type="dcterms:W3CDTF">2023-12-16T13:37:11Z</dcterms:created>
  <dcterms:modified xsi:type="dcterms:W3CDTF">2025-03-27T15:15:41Z</dcterms:modified>
</cp:coreProperties>
</file>