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ВИКОНАННЯ\1 квартал\"/>
    </mc:Choice>
  </mc:AlternateContent>
  <bookViews>
    <workbookView xWindow="-120" yWindow="-120" windowWidth="20730" windowHeight="11760"/>
  </bookViews>
  <sheets>
    <sheet name="2025" sheetId="10" r:id="rId1"/>
  </sheets>
  <definedNames>
    <definedName name="_xlnm.Print_Titles" localSheetId="0">'2025'!$2:$7</definedName>
    <definedName name="_xlnm.Print_Area" localSheetId="0">'2025'!$A$1:$T$146</definedName>
  </definedNames>
  <calcPr calcId="152511"/>
</workbook>
</file>

<file path=xl/calcChain.xml><?xml version="1.0" encoding="utf-8"?>
<calcChain xmlns="http://schemas.openxmlformats.org/spreadsheetml/2006/main">
  <c r="O83" i="10" l="1"/>
  <c r="K56" i="10"/>
  <c r="L56" i="10"/>
  <c r="J56" i="10"/>
  <c r="G56" i="10"/>
  <c r="H56" i="10"/>
  <c r="F56" i="10"/>
  <c r="N59" i="10"/>
  <c r="O32" i="10"/>
  <c r="N19" i="10"/>
  <c r="O17" i="10"/>
  <c r="O12" i="10"/>
  <c r="N12" i="10"/>
  <c r="N11" i="10"/>
  <c r="L137" i="10" l="1"/>
  <c r="K137" i="10"/>
  <c r="J137" i="10"/>
  <c r="G137" i="10"/>
  <c r="H137" i="10"/>
  <c r="F137" i="10"/>
  <c r="E140" i="10"/>
  <c r="I140" i="10"/>
  <c r="Q140" i="10" s="1"/>
  <c r="N140" i="10"/>
  <c r="O140" i="10"/>
  <c r="P140" i="10"/>
  <c r="R140" i="10"/>
  <c r="S140" i="10"/>
  <c r="T140" i="10"/>
  <c r="L127" i="10"/>
  <c r="K127" i="10"/>
  <c r="G127" i="10"/>
  <c r="H127" i="10"/>
  <c r="F127" i="10"/>
  <c r="J133" i="10"/>
  <c r="J127" i="10" s="1"/>
  <c r="E132" i="10"/>
  <c r="I132" i="10"/>
  <c r="N132" i="10"/>
  <c r="O132" i="10"/>
  <c r="P132" i="10"/>
  <c r="R132" i="10"/>
  <c r="S132" i="10"/>
  <c r="T132" i="10"/>
  <c r="E130" i="10"/>
  <c r="I130" i="10"/>
  <c r="N130" i="10"/>
  <c r="O130" i="10"/>
  <c r="P130" i="10"/>
  <c r="R130" i="10"/>
  <c r="S130" i="10"/>
  <c r="T130" i="10"/>
  <c r="L115" i="10"/>
  <c r="K115" i="10"/>
  <c r="J115" i="10"/>
  <c r="G115" i="10"/>
  <c r="H115" i="10"/>
  <c r="F115" i="10"/>
  <c r="E123" i="10"/>
  <c r="I123" i="10"/>
  <c r="N123" i="10"/>
  <c r="O123" i="10"/>
  <c r="P123" i="10"/>
  <c r="R123" i="10"/>
  <c r="S123" i="10"/>
  <c r="T123" i="10"/>
  <c r="K98" i="10"/>
  <c r="L98" i="10"/>
  <c r="G98" i="10"/>
  <c r="H98" i="10"/>
  <c r="F98" i="10"/>
  <c r="J111" i="10"/>
  <c r="J110" i="10"/>
  <c r="J106" i="10"/>
  <c r="J96" i="10"/>
  <c r="I96" i="10" s="1"/>
  <c r="K89" i="10"/>
  <c r="L89" i="10"/>
  <c r="G89" i="10"/>
  <c r="H89" i="10"/>
  <c r="F89" i="10"/>
  <c r="O96" i="10"/>
  <c r="P96" i="10"/>
  <c r="S96" i="10"/>
  <c r="T96" i="10"/>
  <c r="E96" i="10"/>
  <c r="J94" i="10"/>
  <c r="J92" i="10"/>
  <c r="L78" i="10"/>
  <c r="J78" i="10"/>
  <c r="G78" i="10"/>
  <c r="H78" i="10"/>
  <c r="F78" i="10"/>
  <c r="K84" i="10"/>
  <c r="K83" i="10"/>
  <c r="K82" i="10"/>
  <c r="K81" i="10"/>
  <c r="K73" i="10"/>
  <c r="L73" i="10"/>
  <c r="J73" i="10"/>
  <c r="G73" i="10"/>
  <c r="H73" i="10"/>
  <c r="F73" i="10"/>
  <c r="O76" i="10"/>
  <c r="P76" i="10"/>
  <c r="R76" i="10"/>
  <c r="S76" i="10"/>
  <c r="T76" i="10"/>
  <c r="I76" i="10"/>
  <c r="E76" i="10"/>
  <c r="J71" i="10"/>
  <c r="J70" i="10"/>
  <c r="G34" i="10"/>
  <c r="G33" i="10" s="1"/>
  <c r="H34" i="10"/>
  <c r="H33" i="10" s="1"/>
  <c r="F34" i="10"/>
  <c r="K39" i="10"/>
  <c r="K38" i="10"/>
  <c r="K37" i="10"/>
  <c r="O37" i="10" s="1"/>
  <c r="L54" i="10"/>
  <c r="L34" i="10" s="1"/>
  <c r="K54" i="10"/>
  <c r="K42" i="10"/>
  <c r="O42" i="10" s="1"/>
  <c r="N50" i="10"/>
  <c r="O50" i="10"/>
  <c r="P50" i="10"/>
  <c r="R50" i="10"/>
  <c r="S50" i="10"/>
  <c r="T50" i="10"/>
  <c r="I50" i="10"/>
  <c r="E50" i="10"/>
  <c r="J40" i="10"/>
  <c r="J34" i="10" s="1"/>
  <c r="L10" i="10"/>
  <c r="K11" i="10"/>
  <c r="K10" i="10" s="1"/>
  <c r="J26" i="10"/>
  <c r="J20" i="10"/>
  <c r="P34" i="10" l="1"/>
  <c r="M140" i="10"/>
  <c r="M123" i="10"/>
  <c r="M132" i="10"/>
  <c r="Q132" i="10"/>
  <c r="M130" i="10"/>
  <c r="Q130" i="10"/>
  <c r="J98" i="10"/>
  <c r="Q123" i="10"/>
  <c r="K78" i="10"/>
  <c r="N96" i="10"/>
  <c r="R96" i="10"/>
  <c r="J89" i="10"/>
  <c r="Q96" i="10"/>
  <c r="M96" i="10"/>
  <c r="Q76" i="10"/>
  <c r="K34" i="10"/>
  <c r="O34" i="10" s="1"/>
  <c r="M50" i="10"/>
  <c r="Q50" i="10"/>
  <c r="H32" i="10"/>
  <c r="P32" i="10" s="1"/>
  <c r="O143" i="10" l="1"/>
  <c r="N74" i="10"/>
  <c r="N120" i="10" l="1"/>
  <c r="N118" i="10"/>
  <c r="N102" i="10"/>
  <c r="P14" i="10" l="1"/>
  <c r="O15" i="10"/>
  <c r="P15" i="10"/>
  <c r="P13" i="10"/>
  <c r="O13" i="10"/>
  <c r="E13" i="10"/>
  <c r="O120" i="10"/>
  <c r="E113" i="10" l="1"/>
  <c r="I113" i="10"/>
  <c r="N113" i="10"/>
  <c r="O113" i="10"/>
  <c r="P113" i="10"/>
  <c r="R113" i="10"/>
  <c r="S113" i="10"/>
  <c r="T113" i="10"/>
  <c r="M113" i="10" l="1"/>
  <c r="Q113" i="10"/>
  <c r="E87" i="10" l="1"/>
  <c r="I87" i="10"/>
  <c r="N87" i="10"/>
  <c r="O87" i="10"/>
  <c r="P87" i="10"/>
  <c r="R87" i="10"/>
  <c r="S87" i="10"/>
  <c r="T87" i="10"/>
  <c r="M87" i="10" l="1"/>
  <c r="Q87" i="10"/>
  <c r="E71" i="10"/>
  <c r="R71" i="10"/>
  <c r="O71" i="10"/>
  <c r="P71" i="10"/>
  <c r="S71" i="10"/>
  <c r="T71" i="10"/>
  <c r="E69" i="10"/>
  <c r="I69" i="10"/>
  <c r="N69" i="10"/>
  <c r="O69" i="10"/>
  <c r="P69" i="10"/>
  <c r="R69" i="10"/>
  <c r="S69" i="10"/>
  <c r="T69" i="10"/>
  <c r="M69" i="10" l="1"/>
  <c r="Q69" i="10"/>
  <c r="N71" i="10"/>
  <c r="I71" i="10"/>
  <c r="E53" i="10"/>
  <c r="I53" i="10"/>
  <c r="N53" i="10"/>
  <c r="O53" i="10"/>
  <c r="P53" i="10"/>
  <c r="R53" i="10"/>
  <c r="S53" i="10"/>
  <c r="T53" i="10"/>
  <c r="E49" i="10"/>
  <c r="I49" i="10"/>
  <c r="N49" i="10"/>
  <c r="O49" i="10"/>
  <c r="P49" i="10"/>
  <c r="R49" i="10"/>
  <c r="S49" i="10"/>
  <c r="T49" i="10"/>
  <c r="I26" i="10"/>
  <c r="E26" i="10"/>
  <c r="O26" i="10"/>
  <c r="P26" i="10"/>
  <c r="S26" i="10"/>
  <c r="T26" i="10"/>
  <c r="M49" i="10" l="1"/>
  <c r="Q49" i="10"/>
  <c r="M53" i="10"/>
  <c r="M71" i="10"/>
  <c r="Q71" i="10"/>
  <c r="Q53" i="10"/>
  <c r="R26" i="10"/>
  <c r="N26" i="10"/>
  <c r="Q26" i="10"/>
  <c r="P143" i="10"/>
  <c r="E138" i="10"/>
  <c r="E139" i="10"/>
  <c r="P121" i="10"/>
  <c r="E121" i="10"/>
  <c r="I121" i="10"/>
  <c r="N121" i="10"/>
  <c r="O121" i="10"/>
  <c r="R121" i="10"/>
  <c r="S121" i="10"/>
  <c r="P120" i="10"/>
  <c r="P118" i="10" l="1"/>
  <c r="O118" i="10"/>
  <c r="T121" i="10"/>
  <c r="M121" i="10"/>
  <c r="Q121" i="10"/>
  <c r="P108" i="10" l="1"/>
  <c r="I108" i="10"/>
  <c r="N108" i="10"/>
  <c r="R108" i="10"/>
  <c r="E105" i="10"/>
  <c r="I105" i="10"/>
  <c r="R105" i="10"/>
  <c r="S105" i="10"/>
  <c r="P73" i="10" l="1"/>
  <c r="N73" i="10"/>
  <c r="P102" i="10"/>
  <c r="O102" i="10"/>
  <c r="O108" i="10"/>
  <c r="T108" i="10"/>
  <c r="E108" i="10"/>
  <c r="M108" i="10" s="1"/>
  <c r="S108" i="10"/>
  <c r="Q105" i="10"/>
  <c r="T105" i="10"/>
  <c r="Q108" i="10" l="1"/>
  <c r="E70" i="10"/>
  <c r="I70" i="10"/>
  <c r="N70" i="10"/>
  <c r="O70" i="10"/>
  <c r="P70" i="10"/>
  <c r="R70" i="10"/>
  <c r="S70" i="10"/>
  <c r="T70" i="10"/>
  <c r="K72" i="10"/>
  <c r="L72" i="10"/>
  <c r="F72" i="10"/>
  <c r="O73" i="10"/>
  <c r="H72" i="10"/>
  <c r="I73" i="10"/>
  <c r="E74" i="10"/>
  <c r="I74" i="10"/>
  <c r="O74" i="10"/>
  <c r="P74" i="10"/>
  <c r="R74" i="10"/>
  <c r="S74" i="10"/>
  <c r="T74" i="10"/>
  <c r="E75" i="10"/>
  <c r="I75" i="10"/>
  <c r="O75" i="10"/>
  <c r="P75" i="10"/>
  <c r="R75" i="10"/>
  <c r="S75" i="10"/>
  <c r="T75" i="10"/>
  <c r="F77" i="10"/>
  <c r="G77" i="10"/>
  <c r="H77" i="10"/>
  <c r="N78" i="10"/>
  <c r="O78" i="10"/>
  <c r="P78" i="10"/>
  <c r="E79" i="10"/>
  <c r="I79" i="10"/>
  <c r="N79" i="10"/>
  <c r="O79" i="10"/>
  <c r="P79" i="10"/>
  <c r="R79" i="10"/>
  <c r="S79" i="10"/>
  <c r="T79" i="10"/>
  <c r="E80" i="10"/>
  <c r="I80" i="10"/>
  <c r="N80" i="10"/>
  <c r="O80" i="10"/>
  <c r="P80" i="10"/>
  <c r="R80" i="10"/>
  <c r="S80" i="10"/>
  <c r="T80" i="10"/>
  <c r="E81" i="10"/>
  <c r="S81" i="10"/>
  <c r="N81" i="10"/>
  <c r="O81" i="10"/>
  <c r="P81" i="10"/>
  <c r="R81" i="10"/>
  <c r="T81" i="10"/>
  <c r="E82" i="10"/>
  <c r="I82" i="10"/>
  <c r="N82" i="10"/>
  <c r="O82" i="10"/>
  <c r="P82" i="10"/>
  <c r="R82" i="10"/>
  <c r="S82" i="10"/>
  <c r="T82" i="10"/>
  <c r="E83" i="10"/>
  <c r="I83" i="10"/>
  <c r="N83" i="10"/>
  <c r="P83" i="10"/>
  <c r="R83" i="10"/>
  <c r="S83" i="10"/>
  <c r="T83" i="10"/>
  <c r="E84" i="10"/>
  <c r="I84" i="10"/>
  <c r="N84" i="10"/>
  <c r="P84" i="10"/>
  <c r="R84" i="10"/>
  <c r="S84" i="10"/>
  <c r="T84" i="10"/>
  <c r="E85" i="10"/>
  <c r="I85" i="10"/>
  <c r="N85" i="10"/>
  <c r="O85" i="10"/>
  <c r="P85" i="10"/>
  <c r="R85" i="10"/>
  <c r="S85" i="10"/>
  <c r="T85" i="10"/>
  <c r="E86" i="10"/>
  <c r="I86" i="10"/>
  <c r="N86" i="10"/>
  <c r="O86" i="10"/>
  <c r="P86" i="10"/>
  <c r="R86" i="10"/>
  <c r="S86" i="10"/>
  <c r="T86" i="10"/>
  <c r="F88" i="10"/>
  <c r="H88" i="10"/>
  <c r="K88" i="10"/>
  <c r="L88" i="10"/>
  <c r="P72" i="10" l="1"/>
  <c r="M74" i="10"/>
  <c r="Q79" i="10"/>
  <c r="Q80" i="10"/>
  <c r="M70" i="10"/>
  <c r="Q85" i="10"/>
  <c r="M82" i="10"/>
  <c r="I89" i="10"/>
  <c r="I88" i="10" s="1"/>
  <c r="S89" i="10"/>
  <c r="Q84" i="10"/>
  <c r="M79" i="10"/>
  <c r="M83" i="10"/>
  <c r="P89" i="10"/>
  <c r="O89" i="10"/>
  <c r="J88" i="10"/>
  <c r="N88" i="10" s="1"/>
  <c r="M86" i="10"/>
  <c r="M80" i="10"/>
  <c r="Q86" i="10"/>
  <c r="M84" i="10"/>
  <c r="Q82" i="10"/>
  <c r="Q75" i="10"/>
  <c r="Q74" i="10"/>
  <c r="Q70" i="10"/>
  <c r="P88" i="10"/>
  <c r="T89" i="10"/>
  <c r="M85" i="10"/>
  <c r="J72" i="10"/>
  <c r="N72" i="10" s="1"/>
  <c r="T78" i="10"/>
  <c r="L77" i="10"/>
  <c r="T73" i="10"/>
  <c r="S78" i="10"/>
  <c r="E73" i="10"/>
  <c r="E72" i="10" s="1"/>
  <c r="R89" i="10"/>
  <c r="I78" i="10"/>
  <c r="T88" i="10"/>
  <c r="K77" i="10"/>
  <c r="S73" i="10"/>
  <c r="R78" i="10"/>
  <c r="R73" i="10"/>
  <c r="T72" i="10"/>
  <c r="E89" i="10"/>
  <c r="E88" i="10" s="1"/>
  <c r="G72" i="10"/>
  <c r="O72" i="10" s="1"/>
  <c r="I81" i="10"/>
  <c r="J77" i="10"/>
  <c r="E78" i="10"/>
  <c r="E77" i="10" s="1"/>
  <c r="G88" i="10"/>
  <c r="O88" i="10" s="1"/>
  <c r="Q83" i="10"/>
  <c r="N89" i="10"/>
  <c r="M73" i="10" l="1"/>
  <c r="R88" i="10"/>
  <c r="M89" i="10"/>
  <c r="Q89" i="10"/>
  <c r="S72" i="10"/>
  <c r="T77" i="10"/>
  <c r="P77" i="10"/>
  <c r="M88" i="10"/>
  <c r="Q88" i="10"/>
  <c r="S88" i="10"/>
  <c r="R72" i="10"/>
  <c r="I72" i="10"/>
  <c r="S77" i="10"/>
  <c r="O77" i="10"/>
  <c r="R77" i="10"/>
  <c r="N77" i="10"/>
  <c r="M78" i="10"/>
  <c r="I77" i="10"/>
  <c r="Q78" i="10"/>
  <c r="M81" i="10"/>
  <c r="Q81" i="10"/>
  <c r="Q73" i="10"/>
  <c r="Q72" i="10" l="1"/>
  <c r="M72" i="10"/>
  <c r="Q77" i="10"/>
  <c r="M77" i="10"/>
  <c r="E12" i="10" l="1"/>
  <c r="E11" i="10"/>
  <c r="O14" i="10" l="1"/>
  <c r="E14" i="10"/>
  <c r="E27" i="10" l="1"/>
  <c r="I27" i="10"/>
  <c r="N27" i="10"/>
  <c r="O27" i="10"/>
  <c r="P27" i="10"/>
  <c r="R27" i="10"/>
  <c r="S27" i="10"/>
  <c r="T27" i="10"/>
  <c r="Q27" i="10" l="1"/>
  <c r="F22" i="10" l="1"/>
  <c r="G22" i="10"/>
  <c r="H22" i="10"/>
  <c r="J22" i="10"/>
  <c r="K22" i="10"/>
  <c r="K9" i="10" s="1"/>
  <c r="L22" i="10"/>
  <c r="L9" i="10" s="1"/>
  <c r="P11" i="10" l="1"/>
  <c r="R11" i="10"/>
  <c r="T11" i="10"/>
  <c r="R12" i="10"/>
  <c r="S12" i="10"/>
  <c r="T12" i="10"/>
  <c r="N13" i="10"/>
  <c r="R13" i="10"/>
  <c r="S13" i="10"/>
  <c r="T13" i="10"/>
  <c r="N14" i="10"/>
  <c r="R14" i="10"/>
  <c r="S14" i="10"/>
  <c r="T14" i="10"/>
  <c r="N15" i="10"/>
  <c r="R15" i="10"/>
  <c r="S15" i="10"/>
  <c r="T15" i="10"/>
  <c r="N16" i="10"/>
  <c r="O16" i="10"/>
  <c r="P16" i="10"/>
  <c r="R16" i="10"/>
  <c r="S16" i="10"/>
  <c r="T16" i="10"/>
  <c r="N17" i="10"/>
  <c r="R17" i="10"/>
  <c r="S17" i="10"/>
  <c r="T17" i="10"/>
  <c r="N18" i="10"/>
  <c r="R18" i="10"/>
  <c r="S18" i="10"/>
  <c r="R19" i="10"/>
  <c r="S19" i="10"/>
  <c r="O20" i="10"/>
  <c r="P20" i="10"/>
  <c r="S20" i="10"/>
  <c r="T20" i="10"/>
  <c r="N21" i="10"/>
  <c r="O21" i="10"/>
  <c r="P21" i="10"/>
  <c r="R21" i="10"/>
  <c r="S21" i="10"/>
  <c r="T21" i="10"/>
  <c r="O23" i="10"/>
  <c r="P23" i="10"/>
  <c r="R23" i="10"/>
  <c r="S23" i="10"/>
  <c r="T23" i="10"/>
  <c r="N24" i="10"/>
  <c r="O24" i="10"/>
  <c r="P24" i="10"/>
  <c r="R24" i="10"/>
  <c r="S24" i="10"/>
  <c r="T24" i="10"/>
  <c r="N25" i="10"/>
  <c r="O25" i="10"/>
  <c r="P25" i="10"/>
  <c r="R25" i="10"/>
  <c r="S25" i="10"/>
  <c r="T25" i="10"/>
  <c r="N28" i="10"/>
  <c r="O28" i="10"/>
  <c r="P28" i="10"/>
  <c r="R28" i="10"/>
  <c r="S28" i="10"/>
  <c r="T28" i="10"/>
  <c r="N29" i="10"/>
  <c r="O29" i="10"/>
  <c r="R29" i="10"/>
  <c r="S29" i="10"/>
  <c r="N30" i="10"/>
  <c r="O30" i="10"/>
  <c r="P30" i="10"/>
  <c r="R30" i="10"/>
  <c r="S30" i="10"/>
  <c r="T30" i="10"/>
  <c r="N31" i="10"/>
  <c r="O31" i="10"/>
  <c r="P31" i="10"/>
  <c r="R31" i="10"/>
  <c r="S31" i="10"/>
  <c r="T31" i="10"/>
  <c r="R32" i="10"/>
  <c r="S32" i="10"/>
  <c r="T32" i="10"/>
  <c r="N35" i="10"/>
  <c r="O35" i="10"/>
  <c r="P35" i="10"/>
  <c r="R35" i="10"/>
  <c r="S35" i="10"/>
  <c r="T35" i="10"/>
  <c r="N36" i="10"/>
  <c r="O36" i="10"/>
  <c r="P36" i="10"/>
  <c r="R36" i="10"/>
  <c r="S36" i="10"/>
  <c r="T36" i="10"/>
  <c r="N37" i="10"/>
  <c r="R37" i="10"/>
  <c r="T37" i="10"/>
  <c r="N38" i="10"/>
  <c r="P38" i="10"/>
  <c r="R38" i="10"/>
  <c r="T38" i="10"/>
  <c r="N39" i="10"/>
  <c r="P39" i="10"/>
  <c r="R39" i="10"/>
  <c r="T39" i="10"/>
  <c r="O40" i="10"/>
  <c r="P40" i="10"/>
  <c r="S40" i="10"/>
  <c r="T40" i="10"/>
  <c r="N41" i="10"/>
  <c r="O41" i="10"/>
  <c r="P41" i="10"/>
  <c r="R41" i="10"/>
  <c r="S41" i="10"/>
  <c r="T41" i="10"/>
  <c r="N42" i="10"/>
  <c r="P42" i="10"/>
  <c r="R42" i="10"/>
  <c r="T42" i="10"/>
  <c r="O43" i="10"/>
  <c r="P43" i="10"/>
  <c r="R43" i="10"/>
  <c r="S43" i="10"/>
  <c r="T43" i="10"/>
  <c r="N44" i="10"/>
  <c r="P44" i="10"/>
  <c r="R44" i="10"/>
  <c r="T44" i="10"/>
  <c r="N45" i="10"/>
  <c r="O45" i="10"/>
  <c r="P45" i="10"/>
  <c r="R45" i="10"/>
  <c r="S45" i="10"/>
  <c r="T45" i="10"/>
  <c r="N46" i="10"/>
  <c r="O46" i="10"/>
  <c r="P46" i="10"/>
  <c r="R46" i="10"/>
  <c r="S46" i="10"/>
  <c r="T46" i="10"/>
  <c r="N47" i="10"/>
  <c r="O47" i="10"/>
  <c r="P47" i="10"/>
  <c r="R47" i="10"/>
  <c r="S47" i="10"/>
  <c r="T47" i="10"/>
  <c r="N48" i="10"/>
  <c r="O48" i="10"/>
  <c r="P48" i="10"/>
  <c r="R48" i="10"/>
  <c r="S48" i="10"/>
  <c r="T48" i="10"/>
  <c r="N51" i="10"/>
  <c r="O51" i="10"/>
  <c r="P51" i="10"/>
  <c r="R51" i="10"/>
  <c r="S51" i="10"/>
  <c r="T51" i="10"/>
  <c r="N52" i="10"/>
  <c r="O52" i="10"/>
  <c r="P52" i="10"/>
  <c r="R52" i="10"/>
  <c r="S52" i="10"/>
  <c r="T52" i="10"/>
  <c r="N54" i="10"/>
  <c r="O54" i="10"/>
  <c r="P54" i="10"/>
  <c r="R54" i="10"/>
  <c r="S54" i="10"/>
  <c r="T54" i="10"/>
  <c r="N57" i="10"/>
  <c r="O57" i="10"/>
  <c r="R57" i="10"/>
  <c r="S57" i="10"/>
  <c r="N58" i="10"/>
  <c r="O58" i="10"/>
  <c r="P58" i="10"/>
  <c r="R58" i="10"/>
  <c r="S58" i="10"/>
  <c r="T58" i="10"/>
  <c r="O59" i="10"/>
  <c r="P59" i="10"/>
  <c r="R59" i="10"/>
  <c r="S59" i="10"/>
  <c r="T59" i="10"/>
  <c r="N60" i="10"/>
  <c r="O60" i="10"/>
  <c r="P60" i="10"/>
  <c r="R60" i="10"/>
  <c r="S60" i="10"/>
  <c r="T60" i="10"/>
  <c r="N61" i="10"/>
  <c r="O61" i="10"/>
  <c r="P61" i="10"/>
  <c r="R61" i="10"/>
  <c r="S61" i="10"/>
  <c r="T61" i="10"/>
  <c r="N62" i="10"/>
  <c r="O62" i="10"/>
  <c r="P62" i="10"/>
  <c r="R62" i="10"/>
  <c r="S62" i="10"/>
  <c r="T62" i="10"/>
  <c r="N63" i="10"/>
  <c r="O63" i="10"/>
  <c r="P63" i="10"/>
  <c r="R63" i="10"/>
  <c r="S63" i="10"/>
  <c r="T63" i="10"/>
  <c r="N64" i="10"/>
  <c r="R64" i="10"/>
  <c r="T64" i="10"/>
  <c r="N65" i="10"/>
  <c r="O65" i="10"/>
  <c r="P65" i="10"/>
  <c r="R65" i="10"/>
  <c r="S65" i="10"/>
  <c r="T65" i="10"/>
  <c r="N66" i="10"/>
  <c r="O66" i="10"/>
  <c r="P66" i="10"/>
  <c r="R66" i="10"/>
  <c r="S66" i="10"/>
  <c r="T66" i="10"/>
  <c r="N67" i="10"/>
  <c r="O67" i="10"/>
  <c r="P67" i="10"/>
  <c r="R67" i="10"/>
  <c r="S67" i="10"/>
  <c r="T67" i="10"/>
  <c r="N68" i="10"/>
  <c r="O68" i="10"/>
  <c r="P68" i="10"/>
  <c r="R68" i="10"/>
  <c r="S68" i="10"/>
  <c r="T68" i="10"/>
  <c r="N90" i="10"/>
  <c r="O90" i="10"/>
  <c r="P90" i="10"/>
  <c r="R90" i="10"/>
  <c r="S90" i="10"/>
  <c r="T90" i="10"/>
  <c r="N91" i="10"/>
  <c r="O91" i="10"/>
  <c r="P91" i="10"/>
  <c r="R91" i="10"/>
  <c r="S91" i="10"/>
  <c r="T91" i="10"/>
  <c r="O92" i="10"/>
  <c r="P92" i="10"/>
  <c r="S92" i="10"/>
  <c r="T92" i="10"/>
  <c r="N93" i="10"/>
  <c r="O93" i="10"/>
  <c r="P93" i="10"/>
  <c r="R93" i="10"/>
  <c r="S93" i="10"/>
  <c r="T93" i="10"/>
  <c r="N94" i="10"/>
  <c r="O94" i="10"/>
  <c r="P94" i="10"/>
  <c r="R94" i="10"/>
  <c r="S94" i="10"/>
  <c r="T94" i="10"/>
  <c r="N95" i="10"/>
  <c r="O95" i="10"/>
  <c r="P95" i="10"/>
  <c r="R95" i="10"/>
  <c r="S95" i="10"/>
  <c r="T95" i="10"/>
  <c r="N99" i="10"/>
  <c r="O99" i="10"/>
  <c r="P99" i="10"/>
  <c r="R99" i="10"/>
  <c r="S99" i="10"/>
  <c r="T99" i="10"/>
  <c r="N100" i="10"/>
  <c r="O100" i="10"/>
  <c r="P100" i="10"/>
  <c r="R100" i="10"/>
  <c r="S100" i="10"/>
  <c r="T100" i="10"/>
  <c r="N101" i="10"/>
  <c r="O101" i="10"/>
  <c r="P101" i="10"/>
  <c r="R101" i="10"/>
  <c r="S101" i="10"/>
  <c r="T101" i="10"/>
  <c r="R102" i="10"/>
  <c r="S102" i="10"/>
  <c r="T102" i="10"/>
  <c r="N103" i="10"/>
  <c r="O103" i="10"/>
  <c r="P103" i="10"/>
  <c r="R103" i="10"/>
  <c r="S103" i="10"/>
  <c r="T103" i="10"/>
  <c r="N104" i="10"/>
  <c r="O104" i="10"/>
  <c r="P104" i="10"/>
  <c r="R104" i="10"/>
  <c r="S104" i="10"/>
  <c r="T104" i="10"/>
  <c r="O106" i="10"/>
  <c r="P106" i="10"/>
  <c r="S106" i="10"/>
  <c r="T106" i="10"/>
  <c r="N107" i="10"/>
  <c r="O107" i="10"/>
  <c r="P107" i="10"/>
  <c r="R107" i="10"/>
  <c r="S107" i="10"/>
  <c r="T107" i="10"/>
  <c r="N109" i="10"/>
  <c r="O109" i="10"/>
  <c r="P109" i="10"/>
  <c r="R109" i="10"/>
  <c r="S109" i="10"/>
  <c r="T109" i="10"/>
  <c r="O110" i="10"/>
  <c r="P110" i="10"/>
  <c r="S110" i="10"/>
  <c r="T110" i="10"/>
  <c r="O111" i="10"/>
  <c r="P111" i="10"/>
  <c r="S111" i="10"/>
  <c r="T111" i="10"/>
  <c r="N112" i="10"/>
  <c r="O112" i="10"/>
  <c r="P112" i="10"/>
  <c r="R112" i="10"/>
  <c r="S112" i="10"/>
  <c r="T112" i="10"/>
  <c r="N116" i="10"/>
  <c r="O116" i="10"/>
  <c r="P116" i="10"/>
  <c r="R116" i="10"/>
  <c r="S116" i="10"/>
  <c r="T116" i="10"/>
  <c r="N117" i="10"/>
  <c r="O117" i="10"/>
  <c r="P117" i="10"/>
  <c r="R117" i="10"/>
  <c r="S117" i="10"/>
  <c r="T117" i="10"/>
  <c r="R118" i="10"/>
  <c r="S118" i="10"/>
  <c r="T118" i="10"/>
  <c r="N119" i="10"/>
  <c r="O119" i="10"/>
  <c r="P119" i="10"/>
  <c r="R119" i="10"/>
  <c r="S119" i="10"/>
  <c r="T119" i="10"/>
  <c r="R120" i="10"/>
  <c r="S120" i="10"/>
  <c r="T120" i="10"/>
  <c r="N122" i="10"/>
  <c r="R122" i="10"/>
  <c r="S122" i="10"/>
  <c r="T122" i="10"/>
  <c r="N124" i="10"/>
  <c r="O124" i="10"/>
  <c r="P124" i="10"/>
  <c r="R124" i="10"/>
  <c r="S124" i="10"/>
  <c r="T124" i="10"/>
  <c r="N125" i="10"/>
  <c r="R125" i="10"/>
  <c r="N128" i="10"/>
  <c r="O128" i="10"/>
  <c r="P128" i="10"/>
  <c r="R128" i="10"/>
  <c r="S128" i="10"/>
  <c r="T128" i="10"/>
  <c r="N129" i="10"/>
  <c r="O129" i="10"/>
  <c r="P129" i="10"/>
  <c r="R129" i="10"/>
  <c r="S129" i="10"/>
  <c r="T129" i="10"/>
  <c r="N131" i="10"/>
  <c r="O131" i="10"/>
  <c r="P131" i="10"/>
  <c r="R131" i="10"/>
  <c r="S131" i="10"/>
  <c r="T131" i="10"/>
  <c r="O133" i="10"/>
  <c r="P133" i="10"/>
  <c r="S133" i="10"/>
  <c r="T133" i="10"/>
  <c r="N134" i="10"/>
  <c r="O134" i="10"/>
  <c r="P134" i="10"/>
  <c r="R134" i="10"/>
  <c r="S134" i="10"/>
  <c r="T134" i="10"/>
  <c r="N135" i="10"/>
  <c r="O135" i="10"/>
  <c r="P135" i="10"/>
  <c r="R135" i="10"/>
  <c r="S135" i="10"/>
  <c r="T135" i="10"/>
  <c r="N138" i="10"/>
  <c r="O138" i="10"/>
  <c r="P138" i="10"/>
  <c r="R138" i="10"/>
  <c r="S138" i="10"/>
  <c r="T138" i="10"/>
  <c r="N139" i="10"/>
  <c r="O139" i="10"/>
  <c r="P139" i="10"/>
  <c r="R139" i="10"/>
  <c r="S139" i="10"/>
  <c r="T139" i="10"/>
  <c r="N141" i="10"/>
  <c r="O141" i="10"/>
  <c r="P141" i="10"/>
  <c r="R141" i="10"/>
  <c r="S141" i="10"/>
  <c r="T141" i="10"/>
  <c r="N142" i="10"/>
  <c r="O142" i="10"/>
  <c r="P142" i="10"/>
  <c r="R142" i="10"/>
  <c r="S142" i="10"/>
  <c r="T142" i="10"/>
  <c r="R143" i="10"/>
  <c r="S143" i="10"/>
  <c r="T143" i="10"/>
  <c r="O125" i="10" l="1"/>
  <c r="S125" i="10"/>
  <c r="P125" i="10"/>
  <c r="T125" i="10"/>
  <c r="S44" i="10"/>
  <c r="S11" i="10"/>
  <c r="S42" i="10" l="1"/>
  <c r="S37" i="10"/>
  <c r="S64" i="10"/>
  <c r="S38" i="10"/>
  <c r="O38" i="10"/>
  <c r="S39" i="10"/>
  <c r="I120" i="10"/>
  <c r="H10" i="10"/>
  <c r="H9" i="10" s="1"/>
  <c r="P9" i="10" s="1"/>
  <c r="G10" i="10"/>
  <c r="G9" i="10" s="1"/>
  <c r="O9" i="10" s="1"/>
  <c r="S10" i="10" l="1"/>
  <c r="R111" i="10"/>
  <c r="N111" i="10"/>
  <c r="P10" i="10"/>
  <c r="T10" i="10"/>
  <c r="R40" i="10"/>
  <c r="N40" i="10"/>
  <c r="R133" i="10"/>
  <c r="N133" i="10"/>
  <c r="N92" i="10"/>
  <c r="R92" i="10"/>
  <c r="N106" i="10"/>
  <c r="R106" i="10"/>
  <c r="R20" i="10"/>
  <c r="N110" i="10"/>
  <c r="R110" i="10"/>
  <c r="R127" i="10" l="1"/>
  <c r="N127" i="10"/>
  <c r="I134" i="10"/>
  <c r="E134" i="10"/>
  <c r="E100" i="10"/>
  <c r="I100" i="10"/>
  <c r="N115" i="10" l="1"/>
  <c r="R115" i="10"/>
  <c r="N98" i="10"/>
  <c r="R98" i="10"/>
  <c r="P127" i="10"/>
  <c r="T127" i="10"/>
  <c r="O127" i="10"/>
  <c r="S127" i="10"/>
  <c r="Q134" i="10"/>
  <c r="M134" i="10"/>
  <c r="M100" i="10"/>
  <c r="Q100" i="10"/>
  <c r="O56" i="10"/>
  <c r="S56" i="10"/>
  <c r="L97" i="10"/>
  <c r="T98" i="10"/>
  <c r="P57" i="10"/>
  <c r="T57" i="10"/>
  <c r="K97" i="10"/>
  <c r="S98" i="10"/>
  <c r="N56" i="10"/>
  <c r="R56" i="10"/>
  <c r="P56" i="10" l="1"/>
  <c r="T56" i="10"/>
  <c r="T18" i="10"/>
  <c r="P29" i="10" l="1"/>
  <c r="T29" i="10"/>
  <c r="T19" i="10"/>
  <c r="F10" i="10"/>
  <c r="F9" i="10" s="1"/>
  <c r="E10" i="10" l="1"/>
  <c r="T115" i="10" l="1"/>
  <c r="P115" i="10"/>
  <c r="S115" i="10"/>
  <c r="O115" i="10"/>
  <c r="I32" i="10"/>
  <c r="M32" i="10" s="1"/>
  <c r="E32" i="10"/>
  <c r="Q32" i="10" l="1"/>
  <c r="T34" i="10" l="1"/>
  <c r="S34" i="10"/>
  <c r="R34" i="10" l="1"/>
  <c r="N34" i="10"/>
  <c r="I135" i="10"/>
  <c r="E135" i="10"/>
  <c r="I122" i="10"/>
  <c r="E122" i="10"/>
  <c r="Q122" i="10" l="1"/>
  <c r="M135" i="10"/>
  <c r="Q135" i="10"/>
  <c r="I54" i="10"/>
  <c r="E54" i="10"/>
  <c r="Q54" i="10" l="1"/>
  <c r="M54" i="10"/>
  <c r="E24" i="10" l="1"/>
  <c r="E25" i="10"/>
  <c r="E28" i="10"/>
  <c r="E23" i="10"/>
  <c r="I61" i="10" l="1"/>
  <c r="I29" i="10" l="1"/>
  <c r="J10" i="10"/>
  <c r="J9" i="10" l="1"/>
  <c r="N10" i="10"/>
  <c r="R10" i="10"/>
  <c r="E117" i="10" l="1"/>
  <c r="E118" i="10"/>
  <c r="E116" i="10"/>
  <c r="E112" i="10" l="1"/>
  <c r="Q112" i="10" l="1"/>
  <c r="H8" i="10"/>
  <c r="G8" i="10"/>
  <c r="E47" i="10" l="1"/>
  <c r="E120" i="10" l="1"/>
  <c r="I119" i="10"/>
  <c r="E119" i="10"/>
  <c r="I118" i="10"/>
  <c r="I109" i="10"/>
  <c r="E109" i="10"/>
  <c r="I103" i="10"/>
  <c r="E103" i="10"/>
  <c r="Q118" i="10" l="1"/>
  <c r="M118" i="10"/>
  <c r="Q120" i="10"/>
  <c r="M120" i="10"/>
  <c r="Q103" i="10"/>
  <c r="M103" i="10"/>
  <c r="Q109" i="10"/>
  <c r="M109" i="10"/>
  <c r="M119" i="10"/>
  <c r="Q119" i="10"/>
  <c r="I43" i="10"/>
  <c r="E43" i="10"/>
  <c r="I30" i="10"/>
  <c r="E30" i="10"/>
  <c r="I15" i="10"/>
  <c r="Q30" i="10" l="1"/>
  <c r="Q43" i="10"/>
  <c r="E16" i="10" l="1"/>
  <c r="I14" i="10" l="1"/>
  <c r="I124" i="10"/>
  <c r="E124" i="10"/>
  <c r="I131" i="10"/>
  <c r="E131" i="10"/>
  <c r="I117" i="10"/>
  <c r="M117" i="10" l="1"/>
  <c r="Q117" i="10"/>
  <c r="M131" i="10"/>
  <c r="Q131" i="10"/>
  <c r="M124" i="10"/>
  <c r="Q124" i="10"/>
  <c r="I28" i="10"/>
  <c r="I13" i="10"/>
  <c r="I12" i="10"/>
  <c r="M12" i="10" s="1"/>
  <c r="I11" i="10"/>
  <c r="M11" i="10" s="1"/>
  <c r="I16" i="10"/>
  <c r="N9" i="10" l="1"/>
  <c r="R22" i="10"/>
  <c r="Q28" i="10"/>
  <c r="Q16" i="10"/>
  <c r="M16" i="10"/>
  <c r="I10" i="10"/>
  <c r="M10" i="10" s="1"/>
  <c r="J97" i="10"/>
  <c r="I102" i="10"/>
  <c r="E102" i="10"/>
  <c r="I91" i="10"/>
  <c r="E91" i="10"/>
  <c r="M102" i="10" l="1"/>
  <c r="M91" i="10"/>
  <c r="Q91" i="10"/>
  <c r="Q102" i="10"/>
  <c r="Q10" i="10"/>
  <c r="R9" i="10" l="1"/>
  <c r="G126" i="10"/>
  <c r="H126" i="10"/>
  <c r="I35" i="10" l="1"/>
  <c r="I95" i="10" l="1"/>
  <c r="I93" i="10"/>
  <c r="I94" i="10"/>
  <c r="I90" i="10"/>
  <c r="I47" i="10"/>
  <c r="P137" i="10" l="1"/>
  <c r="O137" i="10"/>
  <c r="T137" i="10"/>
  <c r="R137" i="10"/>
  <c r="S137" i="10"/>
  <c r="Q47" i="10"/>
  <c r="M47" i="10"/>
  <c r="I92" i="10"/>
  <c r="I34" i="10"/>
  <c r="K33" i="10"/>
  <c r="O33" i="10" s="1"/>
  <c r="S33" i="10" l="1"/>
  <c r="I33" i="10"/>
  <c r="J33" i="10"/>
  <c r="O22" i="10" l="1"/>
  <c r="S22" i="10"/>
  <c r="T22" i="10"/>
  <c r="P22" i="10"/>
  <c r="I9" i="10"/>
  <c r="I22" i="10"/>
  <c r="T9" i="10" l="1"/>
  <c r="S9" i="10"/>
  <c r="I129" i="10"/>
  <c r="E129" i="10"/>
  <c r="E125" i="10"/>
  <c r="Q129" i="10" l="1"/>
  <c r="M129" i="10"/>
  <c r="I125" i="10"/>
  <c r="E111" i="10"/>
  <c r="E110" i="10"/>
  <c r="I19" i="10"/>
  <c r="E19" i="10"/>
  <c r="E20" i="10"/>
  <c r="M19" i="10" l="1"/>
  <c r="Q19" i="10"/>
  <c r="M125" i="10"/>
  <c r="Q125" i="10"/>
  <c r="I111" i="10"/>
  <c r="I110" i="10"/>
  <c r="I20" i="10"/>
  <c r="I127" i="10"/>
  <c r="M110" i="10" l="1"/>
  <c r="Q110" i="10"/>
  <c r="Q111" i="10"/>
  <c r="M111" i="10"/>
  <c r="Q20" i="10"/>
  <c r="I56" i="10"/>
  <c r="E48" i="10" l="1"/>
  <c r="H114" i="10" l="1"/>
  <c r="G114" i="10" l="1"/>
  <c r="I31" i="10" l="1"/>
  <c r="E31" i="10"/>
  <c r="Q31" i="10" l="1"/>
  <c r="I101" i="10"/>
  <c r="E101" i="10"/>
  <c r="Q101" i="10" l="1"/>
  <c r="M101" i="10"/>
  <c r="E128" i="10"/>
  <c r="E133" i="10" l="1"/>
  <c r="E104" i="10" l="1"/>
  <c r="I36" i="10" l="1"/>
  <c r="E36" i="10"/>
  <c r="M36" i="10" l="1"/>
  <c r="Q36" i="10"/>
  <c r="I142" i="10"/>
  <c r="E142" i="10"/>
  <c r="Q142" i="10" l="1"/>
  <c r="M142" i="10"/>
  <c r="E39" i="10"/>
  <c r="I48" i="10" l="1"/>
  <c r="M48" i="10" l="1"/>
  <c r="Q48" i="10"/>
  <c r="E18" i="10"/>
  <c r="E17" i="10"/>
  <c r="E15" i="10"/>
  <c r="I18" i="10"/>
  <c r="I17" i="10"/>
  <c r="Q17" i="10" l="1"/>
  <c r="M17" i="10"/>
  <c r="M18" i="10"/>
  <c r="Q18" i="10"/>
  <c r="M15" i="10"/>
  <c r="Q15" i="10"/>
  <c r="I46" i="10"/>
  <c r="I45" i="10"/>
  <c r="I41" i="10"/>
  <c r="I40" i="10"/>
  <c r="E143" i="10"/>
  <c r="E41" i="10"/>
  <c r="E40" i="10"/>
  <c r="E46" i="10"/>
  <c r="E45" i="10"/>
  <c r="I39" i="10"/>
  <c r="I38" i="10"/>
  <c r="I143" i="10"/>
  <c r="Q40" i="10" l="1"/>
  <c r="M40" i="10"/>
  <c r="M46" i="10"/>
  <c r="Q46" i="10"/>
  <c r="M41" i="10"/>
  <c r="Q41" i="10"/>
  <c r="M143" i="10"/>
  <c r="Q143" i="10"/>
  <c r="Q38" i="10"/>
  <c r="M39" i="10"/>
  <c r="Q39" i="10"/>
  <c r="Q45" i="10"/>
  <c r="M45" i="10"/>
  <c r="I137" i="10"/>
  <c r="I98" i="10"/>
  <c r="I115" i="10"/>
  <c r="E38" i="10"/>
  <c r="M38" i="10" s="1"/>
  <c r="E29" i="10" l="1"/>
  <c r="M29" i="10" s="1"/>
  <c r="E141" i="10"/>
  <c r="H136" i="10"/>
  <c r="G136" i="10"/>
  <c r="F136" i="10"/>
  <c r="E107" i="10"/>
  <c r="E99" i="10"/>
  <c r="E95" i="10"/>
  <c r="E94" i="10"/>
  <c r="E93" i="10"/>
  <c r="E92" i="10"/>
  <c r="E90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H55" i="10"/>
  <c r="G55" i="10"/>
  <c r="E52" i="10"/>
  <c r="E51" i="10"/>
  <c r="E44" i="10"/>
  <c r="E42" i="10"/>
  <c r="E35" i="10"/>
  <c r="F33" i="10"/>
  <c r="E21" i="10"/>
  <c r="Q29" i="10" l="1"/>
  <c r="Q92" i="10"/>
  <c r="M92" i="10"/>
  <c r="M90" i="10"/>
  <c r="Q90" i="10"/>
  <c r="M14" i="10"/>
  <c r="Q14" i="10"/>
  <c r="M35" i="10"/>
  <c r="Q35" i="10"/>
  <c r="Q13" i="10"/>
  <c r="M13" i="10"/>
  <c r="M95" i="10"/>
  <c r="Q95" i="10"/>
  <c r="Q12" i="10"/>
  <c r="Q93" i="10"/>
  <c r="M93" i="10"/>
  <c r="M94" i="10"/>
  <c r="Q94" i="10"/>
  <c r="N33" i="10"/>
  <c r="R33" i="10"/>
  <c r="M61" i="10"/>
  <c r="Q61" i="10"/>
  <c r="H97" i="10"/>
  <c r="G97" i="10"/>
  <c r="F97" i="10"/>
  <c r="E56" i="10"/>
  <c r="E37" i="10"/>
  <c r="E106" i="10"/>
  <c r="E22" i="10"/>
  <c r="F114" i="10"/>
  <c r="F126" i="10"/>
  <c r="E137" i="10"/>
  <c r="Q11" i="10" l="1"/>
  <c r="Q22" i="10"/>
  <c r="M56" i="10"/>
  <c r="Q56" i="10"/>
  <c r="N97" i="10"/>
  <c r="R97" i="10"/>
  <c r="S97" i="10"/>
  <c r="O97" i="10"/>
  <c r="Q137" i="10"/>
  <c r="M137" i="10"/>
  <c r="T97" i="10"/>
  <c r="P97" i="10"/>
  <c r="H144" i="10"/>
  <c r="G144" i="10"/>
  <c r="E55" i="10"/>
  <c r="E136" i="10"/>
  <c r="E115" i="10"/>
  <c r="E34" i="10"/>
  <c r="F55" i="10"/>
  <c r="E98" i="10"/>
  <c r="E127" i="10"/>
  <c r="E9" i="10"/>
  <c r="F8" i="10"/>
  <c r="M115" i="10" l="1"/>
  <c r="Q115" i="10"/>
  <c r="Q34" i="10"/>
  <c r="M34" i="10"/>
  <c r="Q127" i="10"/>
  <c r="M127" i="10"/>
  <c r="Q98" i="10"/>
  <c r="M98" i="10"/>
  <c r="E8" i="10"/>
  <c r="M9" i="10"/>
  <c r="F144" i="10"/>
  <c r="E144" i="10" s="1"/>
  <c r="E126" i="10"/>
  <c r="E33" i="10"/>
  <c r="E114" i="10"/>
  <c r="E97" i="10"/>
  <c r="M33" i="10" l="1"/>
  <c r="Q33" i="10"/>
  <c r="I21" i="10"/>
  <c r="I23" i="10"/>
  <c r="I24" i="10"/>
  <c r="I25" i="10"/>
  <c r="I37" i="10"/>
  <c r="I42" i="10"/>
  <c r="I44" i="10"/>
  <c r="I51" i="10"/>
  <c r="I52" i="10"/>
  <c r="I57" i="10"/>
  <c r="I58" i="10"/>
  <c r="I59" i="10"/>
  <c r="M59" i="10" s="1"/>
  <c r="I60" i="10"/>
  <c r="I62" i="10"/>
  <c r="I63" i="10"/>
  <c r="I64" i="10"/>
  <c r="I65" i="10"/>
  <c r="I66" i="10"/>
  <c r="I67" i="10"/>
  <c r="I68" i="10"/>
  <c r="I99" i="10"/>
  <c r="I104" i="10"/>
  <c r="I106" i="10"/>
  <c r="I107" i="10"/>
  <c r="I116" i="10"/>
  <c r="I128" i="10"/>
  <c r="I133" i="10"/>
  <c r="I138" i="10"/>
  <c r="I139" i="10"/>
  <c r="I141" i="10"/>
  <c r="U55" i="10" l="1"/>
  <c r="Q128" i="10"/>
  <c r="M128" i="10"/>
  <c r="M107" i="10"/>
  <c r="Q107" i="10"/>
  <c r="M52" i="10"/>
  <c r="Q52" i="10"/>
  <c r="M67" i="10"/>
  <c r="Q67" i="10"/>
  <c r="Q65" i="10"/>
  <c r="M65" i="10"/>
  <c r="Q57" i="10"/>
  <c r="M57" i="10"/>
  <c r="Q68" i="10"/>
  <c r="M68" i="10"/>
  <c r="M44" i="10"/>
  <c r="Q44" i="10"/>
  <c r="Q37" i="10"/>
  <c r="M37" i="10"/>
  <c r="Q23" i="10"/>
  <c r="Q133" i="10"/>
  <c r="M133" i="10"/>
  <c r="M51" i="10"/>
  <c r="Q51" i="10"/>
  <c r="M66" i="10"/>
  <c r="Q66" i="10"/>
  <c r="M64" i="10"/>
  <c r="Q64" i="10"/>
  <c r="Q24" i="10"/>
  <c r="M24" i="10"/>
  <c r="M106" i="10"/>
  <c r="Q106" i="10"/>
  <c r="M104" i="10"/>
  <c r="Q104" i="10"/>
  <c r="M25" i="10"/>
  <c r="Q25" i="10"/>
  <c r="M62" i="10"/>
  <c r="Q62" i="10"/>
  <c r="M141" i="10"/>
  <c r="Q141" i="10"/>
  <c r="Q139" i="10"/>
  <c r="M139" i="10"/>
  <c r="M116" i="10"/>
  <c r="Q116" i="10"/>
  <c r="M42" i="10"/>
  <c r="Q42" i="10"/>
  <c r="M99" i="10"/>
  <c r="Q99" i="10"/>
  <c r="Q63" i="10"/>
  <c r="M63" i="10"/>
  <c r="Q60" i="10"/>
  <c r="M60" i="10"/>
  <c r="Q21" i="10"/>
  <c r="M21" i="10"/>
  <c r="Q59" i="10"/>
  <c r="Q138" i="10"/>
  <c r="M138" i="10"/>
  <c r="M58" i="10"/>
  <c r="Q58" i="10"/>
  <c r="K8" i="10"/>
  <c r="O8" i="10" s="1"/>
  <c r="J114" i="10"/>
  <c r="J136" i="10"/>
  <c r="K136" i="10"/>
  <c r="L136" i="10"/>
  <c r="K126" i="10"/>
  <c r="L126" i="10"/>
  <c r="L114" i="10"/>
  <c r="L55" i="10"/>
  <c r="L33" i="10"/>
  <c r="K55" i="10"/>
  <c r="J126" i="10"/>
  <c r="K114" i="10"/>
  <c r="J55" i="10"/>
  <c r="T33" i="10" l="1"/>
  <c r="P33" i="10"/>
  <c r="T136" i="10"/>
  <c r="P136" i="10"/>
  <c r="S136" i="10"/>
  <c r="O136" i="10"/>
  <c r="O126" i="10"/>
  <c r="S126" i="10"/>
  <c r="R55" i="10"/>
  <c r="N55" i="10"/>
  <c r="N126" i="10"/>
  <c r="R126" i="10"/>
  <c r="N114" i="10"/>
  <c r="R114" i="10"/>
  <c r="P126" i="10"/>
  <c r="T126" i="10"/>
  <c r="S55" i="10"/>
  <c r="O55" i="10"/>
  <c r="S114" i="10"/>
  <c r="O114" i="10"/>
  <c r="R136" i="10"/>
  <c r="T55" i="10"/>
  <c r="P55" i="10"/>
  <c r="T114" i="10"/>
  <c r="P114" i="10"/>
  <c r="Q9" i="10"/>
  <c r="K144" i="10"/>
  <c r="I136" i="10"/>
  <c r="I126" i="10"/>
  <c r="I114" i="10"/>
  <c r="I97" i="10"/>
  <c r="L8" i="10"/>
  <c r="P8" i="10" s="1"/>
  <c r="I55" i="10"/>
  <c r="J8" i="10"/>
  <c r="M55" i="10" l="1"/>
  <c r="Q55" i="10"/>
  <c r="O144" i="10"/>
  <c r="S144" i="10"/>
  <c r="M97" i="10"/>
  <c r="Q97" i="10"/>
  <c r="M114" i="10"/>
  <c r="Q114" i="10"/>
  <c r="M126" i="10"/>
  <c r="Q126" i="10"/>
  <c r="Q136" i="10"/>
  <c r="M136" i="10"/>
  <c r="J144" i="10"/>
  <c r="N8" i="10"/>
  <c r="L144" i="10"/>
  <c r="I8" i="10"/>
  <c r="T8" i="10"/>
  <c r="S8" i="10"/>
  <c r="R8" i="10"/>
  <c r="P144" i="10" l="1"/>
  <c r="T144" i="10"/>
  <c r="N144" i="10"/>
  <c r="R144" i="10"/>
  <c r="Q8" i="10"/>
  <c r="M8" i="10"/>
  <c r="I144" i="10"/>
  <c r="M144" i="10" l="1"/>
  <c r="Q144" i="10"/>
</calcChain>
</file>

<file path=xl/sharedStrings.xml><?xml version="1.0" encoding="utf-8"?>
<sst xmlns="http://schemas.openxmlformats.org/spreadsheetml/2006/main" count="511" uniqueCount="329">
  <si>
    <t>бюджет розвитку</t>
  </si>
  <si>
    <t>РАЗОМ</t>
  </si>
  <si>
    <t>Реверсна дотація</t>
  </si>
  <si>
    <t>0111</t>
  </si>
  <si>
    <t>1090</t>
  </si>
  <si>
    <t>0320</t>
  </si>
  <si>
    <t>0133</t>
  </si>
  <si>
    <t>0620</t>
  </si>
  <si>
    <t>0180</t>
  </si>
  <si>
    <t>1010</t>
  </si>
  <si>
    <t>0910</t>
  </si>
  <si>
    <t>1020</t>
  </si>
  <si>
    <t>0921</t>
  </si>
  <si>
    <t>1030</t>
  </si>
  <si>
    <t>0922</t>
  </si>
  <si>
    <t>0960</t>
  </si>
  <si>
    <t>0990</t>
  </si>
  <si>
    <t>1040</t>
  </si>
  <si>
    <t>0810</t>
  </si>
  <si>
    <t>Утримання та навчально-тренувальна робота комунальних дитячо-юнацьких спортивних шкіл</t>
  </si>
  <si>
    <t>0490</t>
  </si>
  <si>
    <t>1100000</t>
  </si>
  <si>
    <t>1110000</t>
  </si>
  <si>
    <t>5011</t>
  </si>
  <si>
    <t>1115011</t>
  </si>
  <si>
    <t>1500000</t>
  </si>
  <si>
    <t>1510000</t>
  </si>
  <si>
    <t>1060</t>
  </si>
  <si>
    <t>2010</t>
  </si>
  <si>
    <t>0731</t>
  </si>
  <si>
    <t>0722</t>
  </si>
  <si>
    <t>3031</t>
  </si>
  <si>
    <t>1070</t>
  </si>
  <si>
    <t>Надання пільг окремим категоріям громадян з оплати послуг зв'язку</t>
  </si>
  <si>
    <t>3112</t>
  </si>
  <si>
    <t>4060</t>
  </si>
  <si>
    <t>0824</t>
  </si>
  <si>
    <t>0828</t>
  </si>
  <si>
    <t>0829</t>
  </si>
  <si>
    <t>0610</t>
  </si>
  <si>
    <t>6030</t>
  </si>
  <si>
    <t>0456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</si>
  <si>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</si>
  <si>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</si>
  <si>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1115012</t>
  </si>
  <si>
    <t>5012</t>
  </si>
  <si>
    <t>Проведення навчально-тренувальних зборів і змагань з неолімпійських видів спорту</t>
  </si>
  <si>
    <t>5031</t>
  </si>
  <si>
    <t>Інші заходи та заклади молодіжної політики</t>
  </si>
  <si>
    <t>1115061</t>
  </si>
  <si>
    <t>5061</t>
  </si>
  <si>
    <t>Забезпечення діяльності місцевих центрів фізичного здоров я населення "Спорт для всіх" та проведення фізкультурно-масових заходів серед населення регіону</t>
  </si>
  <si>
    <t>0150</t>
  </si>
  <si>
    <t xml:space="preserve">Організаційне, інформатично-аналітичне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</si>
  <si>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2100</t>
  </si>
  <si>
    <t>Організація благоустрою  населених пунктів</t>
  </si>
  <si>
    <t>0600000</t>
  </si>
  <si>
    <t>0610000</t>
  </si>
  <si>
    <t>0160</t>
  </si>
  <si>
    <t>0610160</t>
  </si>
  <si>
    <t>0611010</t>
  </si>
  <si>
    <t>Надання дошкільної освіти</t>
  </si>
  <si>
    <t>0611070</t>
  </si>
  <si>
    <t>0200000</t>
  </si>
  <si>
    <t>0210000</t>
  </si>
  <si>
    <t>0210150</t>
  </si>
  <si>
    <t>0212010</t>
  </si>
  <si>
    <t>0212100</t>
  </si>
  <si>
    <t>0216030</t>
  </si>
  <si>
    <t>0615031</t>
  </si>
  <si>
    <t>0800000</t>
  </si>
  <si>
    <t>0810000</t>
  </si>
  <si>
    <t>0810160</t>
  </si>
  <si>
    <t>3121</t>
  </si>
  <si>
    <t>0813121</t>
  </si>
  <si>
    <t>Утримання та забезпечення діяльності центрів соціальних служб для сім'ї, дітей та молоді</t>
  </si>
  <si>
    <t>1000000</t>
  </si>
  <si>
    <t>1010000</t>
  </si>
  <si>
    <t>1010160</t>
  </si>
  <si>
    <t>4030</t>
  </si>
  <si>
    <t>1014030</t>
  </si>
  <si>
    <t>Забезпечення діяльності бібліотек</t>
  </si>
  <si>
    <t>4040</t>
  </si>
  <si>
    <t>1014040</t>
  </si>
  <si>
    <t>Забезпечення діяльності музеїв і виставок</t>
  </si>
  <si>
    <t>1014060</t>
  </si>
  <si>
    <t>Забезпечення діяльності палаців і будинків культури, клубів, центрів дозвілля та інших клубних закладів</t>
  </si>
  <si>
    <t>1110160</t>
  </si>
  <si>
    <t>3133</t>
  </si>
  <si>
    <t>1113133</t>
  </si>
  <si>
    <t>1200000</t>
  </si>
  <si>
    <t>1210000</t>
  </si>
  <si>
    <t>1210160</t>
  </si>
  <si>
    <t>1216030</t>
  </si>
  <si>
    <t>1510160</t>
  </si>
  <si>
    <t>3100000</t>
  </si>
  <si>
    <t>3110000</t>
  </si>
  <si>
    <t>3110160</t>
  </si>
  <si>
    <t>3700000</t>
  </si>
  <si>
    <t>3710000</t>
  </si>
  <si>
    <t>3710160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</si>
  <si>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</si>
  <si>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</si>
  <si>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Експлуатація та технічне обслуговування житлового фонду</t>
  </si>
  <si>
    <t>6013</t>
  </si>
  <si>
    <t>Забезпечення діяльності водопровідно-каналізаційного господарства</t>
  </si>
  <si>
    <t>Інша діяльність у сфері державного управління</t>
  </si>
  <si>
    <t>3710180</t>
  </si>
  <si>
    <t>9110</t>
  </si>
  <si>
    <t>3719110</t>
  </si>
  <si>
    <t>Надання інших пільг окремим категоріям громадян відповідно до законодавства</t>
  </si>
  <si>
    <t>0813031</t>
  </si>
  <si>
    <t>0813032</t>
  </si>
  <si>
    <t>3032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</si>
  <si>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</si>
  <si>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</si>
  <si>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</si>
  <si>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</si>
  <si>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</si>
  <si>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 xml:space="preserve">Інша діяльність у сфері державного управління </t>
  </si>
  <si>
    <t>3104</t>
  </si>
  <si>
    <t>0813104</t>
  </si>
  <si>
    <t>1217461</t>
  </si>
  <si>
    <t>0763</t>
  </si>
  <si>
    <t>1014082</t>
  </si>
  <si>
    <t>4082</t>
  </si>
  <si>
    <t>4081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</si>
  <si>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</si>
  <si>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</si>
  <si>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7693</t>
  </si>
  <si>
    <t>Інші заходи, пов'язані з економічною діяльністю</t>
  </si>
  <si>
    <t>Заходи із запобігання та ліквідації надзвичайних ситуацій та наслідків стихійного лиха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</si>
  <si>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</si>
  <si>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0813160</t>
  </si>
  <si>
    <t>3160</t>
  </si>
  <si>
    <t>Надання соціальних гарантій  фізичним особам, які надають соціальні послуги громадянам похилого віку,  особам з інвалідністю,  дітям з інвалідністю,  хворим, які не здатні до самообслуговування і потребують сторонньої допомоги</t>
  </si>
  <si>
    <t>0813180</t>
  </si>
  <si>
    <t>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</si>
  <si>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 </t>
  </si>
  <si>
    <t>0813192</t>
  </si>
  <si>
    <t>3192</t>
  </si>
  <si>
    <t>Надання фінансової підтримки громадським організаціям ветеранів і осіб з інвалідністю,   діяльність яких має соціальну спрямованість</t>
  </si>
  <si>
    <t>3242</t>
  </si>
  <si>
    <t>Інші заходи у сфері соціального захисту і соціального забезпечення</t>
  </si>
  <si>
    <t>0213242</t>
  </si>
  <si>
    <t>0613242</t>
  </si>
  <si>
    <t>0813242</t>
  </si>
  <si>
    <t>1014081</t>
  </si>
  <si>
    <t>Забезпечення діяльності інших закладів у сфері освіти</t>
  </si>
  <si>
    <t>1216017</t>
  </si>
  <si>
    <t>6017</t>
  </si>
  <si>
    <t>Інша діяльність, пов'язана з експлуатацією об'єктів житлово - комунального господарства</t>
  </si>
  <si>
    <t>9800</t>
  </si>
  <si>
    <t>Субвенція з місцевого бюджету державному бюджету на виконання програм соціально - економічного розвитку регіонів</t>
  </si>
  <si>
    <t>3719800</t>
  </si>
  <si>
    <t>Багатопрофільна стаціонарна медична допомога населенню</t>
  </si>
  <si>
    <t>9770</t>
  </si>
  <si>
    <t>Інші субвенції з місцевого бюджету</t>
  </si>
  <si>
    <t>3719770</t>
  </si>
  <si>
    <t>0810180</t>
  </si>
  <si>
    <t>Код Програмної класифікації видатків та кредитування місцевих бюджетів</t>
  </si>
  <si>
    <t>Код 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</si>
  <si>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</si>
  <si>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  головного розпорядника коштів місцевого бюджету/ відповідального виконавця, найменування бюджетної програми/ підпрограми згідно з Типовою програмною класифікацією видатків та кредитування місцевих бюджетів</t>
  </si>
  <si>
    <t>3050</t>
  </si>
  <si>
    <t>Пільгове медичне обслуговування осіб, які постраждали внаслідок Чорнобильської катастрофи</t>
  </si>
  <si>
    <t>0813050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</si>
  <si>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</si>
  <si>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</si>
  <si>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</si>
  <si>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</si>
  <si>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</si>
  <si>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</si>
  <si>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3117693</t>
  </si>
  <si>
    <t>спеціальний фонд</t>
  </si>
  <si>
    <t>загальний  фонд</t>
  </si>
  <si>
    <t xml:space="preserve">з них </t>
  </si>
  <si>
    <t>в тому числ:</t>
  </si>
  <si>
    <t>Темп росту, %</t>
  </si>
  <si>
    <t>Начальник фінансового управління</t>
  </si>
  <si>
    <t>0218210</t>
  </si>
  <si>
    <t>8210</t>
  </si>
  <si>
    <t>Муніципальні формування з охорони громадського порядку</t>
  </si>
  <si>
    <t>2152</t>
  </si>
  <si>
    <t>0611021</t>
  </si>
  <si>
    <t>0611022</t>
  </si>
  <si>
    <t>1021</t>
  </si>
  <si>
    <t>1022</t>
  </si>
  <si>
    <t>Надання спеціальної освіти мистецькими школами</t>
  </si>
  <si>
    <t>1011080</t>
  </si>
  <si>
    <t>1080</t>
  </si>
  <si>
    <t>0611031</t>
  </si>
  <si>
    <t>1031</t>
  </si>
  <si>
    <t>0611032</t>
  </si>
  <si>
    <t>1032</t>
  </si>
  <si>
    <t>0611141</t>
  </si>
  <si>
    <t>1141</t>
  </si>
  <si>
    <t>0611151</t>
  </si>
  <si>
    <t>1151</t>
  </si>
  <si>
    <t xml:space="preserve">Забезпечення діяльності інклюзивно - ресурсних центрів  за  рахунок  коштів  місцевого бюджету </t>
  </si>
  <si>
    <t>0611152</t>
  </si>
  <si>
    <t>1152</t>
  </si>
  <si>
    <t>Забезпечення діяльності інклюзивно - ресурсних центрів  за  рахунок  освітньої  субвенції</t>
  </si>
  <si>
    <t>Виконавчий комітет Чорноморської міської ради Одеського району  Одеської області</t>
  </si>
  <si>
    <t>Виконавчий комітет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</si>
  <si>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</si>
  <si>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Відділ  культури Чорноморської міської ради Одеського району Одеської області</t>
  </si>
  <si>
    <t>Управління капітального будівництва Чорноморської міської ради Одеського району Одеської області</t>
  </si>
  <si>
    <t>Управління комунальної  власності  та земельних відносин Чорноморської 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</si>
  <si>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</si>
  <si>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Фінансове управління Чорноморської міської ради Одеського району 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</si>
  <si>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</si>
  <si>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</si>
  <si>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</si>
  <si>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Ольга ЯКОВЕНКО</t>
  </si>
  <si>
    <t>Відділ комунального господарства та благоустрою Чорноморської  міської ради Одеського району Одеської області</t>
  </si>
  <si>
    <t>0380</t>
  </si>
  <si>
    <t>Стоматологічна допомога населенню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</si>
  <si>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</si>
  <si>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</si>
  <si>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</si>
  <si>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позашкільної освіти закладами позашкільної  освіти, заходи із позашкільної роботи з дітьми</t>
  </si>
  <si>
    <t>0610180</t>
  </si>
  <si>
    <t>1210180</t>
  </si>
  <si>
    <t>0218230</t>
  </si>
  <si>
    <t>8230</t>
  </si>
  <si>
    <t>Інші заходи громадського порядку та безпеки</t>
  </si>
  <si>
    <t>Керівництво і управління у відповідній сфері у містах (місті Києві), селищах, селах, територіальних громадах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</si>
  <si>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</si>
  <si>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</si>
  <si>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</si>
  <si>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</si>
  <si>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Інші програми та заходи у сфері охорони здоров`я</t>
  </si>
  <si>
    <t>Інші заходи, пов`язані з економічною діяльністю</t>
  </si>
  <si>
    <t>Заходи та роботи з територіальної оборони</t>
  </si>
  <si>
    <t>1518110</t>
  </si>
  <si>
    <t>3116017</t>
  </si>
  <si>
    <t>Інша діяльність, пов`язана з експлуатацією об`єктів житлово-комунального господарства</t>
  </si>
  <si>
    <t>8240</t>
  </si>
  <si>
    <t>Відхилення, грн</t>
  </si>
  <si>
    <t>Забезпечення діяльності центрів професійного розвитку педагогічних працівників</t>
  </si>
  <si>
    <t>Надання  загальної  середньої  освіти  закладами  загальної  середньої  освіти за  рахунок коштів  місцевого  бюджету</t>
  </si>
  <si>
    <t>Надання  загальної  середньої  освіти  спеціальними  закладами  загальної  середньої  освіти  для  дітей,  які  потребують  корекції  фізичного  та/або  розумового  розвитку, за  рахунок  місцевого бюджету</t>
  </si>
  <si>
    <t>Надання  загальної  середньої  освіти  закладами  загальної  середньої  освіти за  рахунок  освітньої  субвенції</t>
  </si>
  <si>
    <t>Надання  загальної  середньої  освіти  спеціальними  закладами  загальної  середньої  освіти  для  дітей,  які  потребують  корекції  фізичного  та/або  розумового  розвитку за рахунок  освітньої  субвенції</t>
  </si>
  <si>
    <t>Управління освіти Чорноморської  міської ради Одеського району Одеської області</t>
  </si>
  <si>
    <t>Управління освіти Чорноморської  міської ради  Одеського району Одеської області</t>
  </si>
  <si>
    <t>Відділ молоді та спорту Чорноморської  міської ради  Одеського району Одеської області</t>
  </si>
  <si>
    <t>Відділ молоді та спорту Чорноморської  міської ради Одеського району Одеської області</t>
  </si>
  <si>
    <t>1010180</t>
  </si>
  <si>
    <t>1110180</t>
  </si>
  <si>
    <t>0217680</t>
  </si>
  <si>
    <t>7680</t>
  </si>
  <si>
    <t>Членські внески до асоціацій органів місцевого самоврядування</t>
  </si>
  <si>
    <t>1510180</t>
  </si>
  <si>
    <t>0443</t>
  </si>
  <si>
    <t>Розроблення схем планування та забудови територій (містобудівної документації)</t>
  </si>
  <si>
    <t>1517640</t>
  </si>
  <si>
    <t>7640</t>
  </si>
  <si>
    <t>0470</t>
  </si>
  <si>
    <t>Заходи з енергозбереження</t>
  </si>
  <si>
    <t>0218220</t>
  </si>
  <si>
    <t>Заходи та роботи з мобілізаційної підготовки місцевого значення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</si>
  <si>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</si>
  <si>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</si>
  <si>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</si>
  <si>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</si>
  <si>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0900000</t>
  </si>
  <si>
    <t/>
  </si>
  <si>
    <t>Служба у справах дітей Чорноморської мiської ради Одеського району Одеської областi</t>
  </si>
  <si>
    <t>0910000</t>
  </si>
  <si>
    <t>0910160</t>
  </si>
  <si>
    <t>0913112</t>
  </si>
  <si>
    <t>1216015</t>
  </si>
  <si>
    <t>6015</t>
  </si>
  <si>
    <t>Забезпечення надійної та безперебійної експлуатації ліфтів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</si>
  <si>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</si>
  <si>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1516013</t>
  </si>
  <si>
    <t>1516015</t>
  </si>
  <si>
    <t>0611160</t>
  </si>
  <si>
    <t>Разом</t>
  </si>
  <si>
    <t>усього</t>
  </si>
  <si>
    <t>0618110</t>
  </si>
  <si>
    <t>Реалізація інших заходів щодо соціально-економічного розвитку територій</t>
  </si>
  <si>
    <t>3118240</t>
  </si>
  <si>
    <t>1210170</t>
  </si>
  <si>
    <t>0218240</t>
  </si>
  <si>
    <t>у 5 разів</t>
  </si>
  <si>
    <t>у 3 рази</t>
  </si>
  <si>
    <t>у 4 рази</t>
  </si>
  <si>
    <t>0217640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</si>
  <si>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</si>
  <si>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</si>
  <si>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1517368</t>
  </si>
  <si>
    <t>7368</t>
  </si>
  <si>
    <t>Виконання інвестиційних проектів за рахунок субвенцій з інших бюджетів</t>
  </si>
  <si>
    <t>0217520</t>
  </si>
  <si>
    <t>0460</t>
  </si>
  <si>
    <t>Реалізація Національної програми інформатизації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</si>
  <si>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</si>
  <si>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</si>
  <si>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</si>
  <si>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0617520</t>
  </si>
  <si>
    <t>0813193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</si>
  <si>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</si>
  <si>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</si>
  <si>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0817520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</si>
  <si>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</si>
  <si>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</si>
  <si>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0640</t>
  </si>
  <si>
    <t>Виконано за  1  квартал  2024 року, грн</t>
  </si>
  <si>
    <t>Виконано за  1  квартал 2025 року, грн</t>
  </si>
  <si>
    <t>Показники  бюджету Чорноморської міської територіальної громади за видатками  за  1  квартал 2025 року  порівняно з аналогічними показниками за   відповідний  період  попереднього  бюджетного  періоду   із зазначенням динаміки їх зміни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</si>
  <si>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</si>
  <si>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</si>
  <si>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</si>
  <si>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0917520</t>
  </si>
  <si>
    <t>7520</t>
  </si>
  <si>
    <t>1117520</t>
  </si>
  <si>
    <t>1517520</t>
  </si>
  <si>
    <t>3116090</t>
  </si>
  <si>
    <t>Інша діяльність у сфері житлово-комунального господарства</t>
  </si>
  <si>
    <t>3117520</t>
  </si>
  <si>
    <t>3717520</t>
  </si>
  <si>
    <t>у 804 рази</t>
  </si>
  <si>
    <t>у 7 разів</t>
  </si>
  <si>
    <t>у 14 разів</t>
  </si>
  <si>
    <t>у 15 разів</t>
  </si>
  <si>
    <t>у 23 рази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</si>
</sst>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0.0%"/>
  </numFmts>
  <fonts count="34">
    <font>
      <sz val="11"/>
      <color theme="1"/>
      <name val="Calibri"/>
      <family val="2"/>
      <charset val="204"/>
      <scheme val="minor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0" fillId="0" borderId="0"/>
    <xf numFmtId="0" fontId="19" fillId="0" borderId="0"/>
    <xf numFmtId="0" fontId="19" fillId="0" borderId="0"/>
    <xf numFmtId="0" fontId="27" fillId="0" borderId="0"/>
    <xf numFmtId="0" fontId="26" fillId="0" borderId="0"/>
    <xf numFmtId="0" fontId="18" fillId="0" borderId="0"/>
    <xf numFmtId="0" fontId="17" fillId="0" borderId="0"/>
    <xf numFmtId="0" fontId="19" fillId="0" borderId="0"/>
    <xf numFmtId="0" fontId="29" fillId="3" borderId="0" applyNumberFormat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3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58">
    <xf numFmtId="0" fontId="0" fillId="0" borderId="0" xfId="0"/>
    <xf numFmtId="0" fontId="21" fillId="2" borderId="0" xfId="0" applyFont="1" applyFill="1"/>
    <xf numFmtId="49" fontId="21" fillId="2" borderId="0" xfId="0" applyNumberFormat="1" applyFont="1" applyFill="1"/>
    <xf numFmtId="164" fontId="21" fillId="2" borderId="0" xfId="2" applyNumberFormat="1" applyFont="1" applyFill="1"/>
    <xf numFmtId="0" fontId="21" fillId="2" borderId="0" xfId="2" applyFont="1" applyFill="1"/>
    <xf numFmtId="4" fontId="21" fillId="2" borderId="0" xfId="0" applyNumberFormat="1" applyFont="1" applyFill="1"/>
    <xf numFmtId="2" fontId="21" fillId="2" borderId="0" xfId="0" applyNumberFormat="1" applyFont="1" applyFill="1"/>
    <xf numFmtId="3" fontId="21" fillId="2" borderId="0" xfId="2" applyNumberFormat="1" applyFont="1" applyFill="1"/>
    <xf numFmtId="0" fontId="21" fillId="2" borderId="1" xfId="2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22" fillId="2" borderId="1" xfId="2" applyFont="1" applyFill="1" applyBorder="1" applyAlignment="1">
      <alignment horizontal="left" vertical="center" wrapText="1"/>
    </xf>
    <xf numFmtId="0" fontId="23" fillId="2" borderId="1" xfId="2" applyFont="1" applyFill="1" applyBorder="1" applyAlignment="1">
      <alignment horizontal="left" vertical="center" wrapText="1"/>
    </xf>
    <xf numFmtId="49" fontId="24" fillId="2" borderId="0" xfId="0" applyNumberFormat="1" applyFont="1" applyFill="1" applyAlignment="1">
      <alignment horizontal="left" vertical="center" wrapText="1"/>
    </xf>
    <xf numFmtId="0" fontId="21" fillId="2" borderId="1" xfId="3" applyFont="1" applyFill="1" applyBorder="1" applyAlignment="1">
      <alignment horizontal="left" vertical="center" wrapText="1"/>
    </xf>
    <xf numFmtId="49" fontId="21" fillId="2" borderId="1" xfId="2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/>
    </xf>
    <xf numFmtId="0" fontId="22" fillId="2" borderId="1" xfId="2" applyFont="1" applyFill="1" applyBorder="1" applyAlignment="1">
      <alignment horizontal="left" vertical="center"/>
    </xf>
    <xf numFmtId="0" fontId="28" fillId="2" borderId="1" xfId="4" quotePrefix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24" fillId="2" borderId="5" xfId="4" quotePrefix="1" applyFont="1" applyFill="1" applyBorder="1" applyAlignment="1">
      <alignment horizontal="left" vertical="center" wrapText="1"/>
    </xf>
    <xf numFmtId="0" fontId="24" fillId="2" borderId="1" xfId="4" applyFont="1" applyFill="1" applyBorder="1" applyAlignment="1">
      <alignment horizontal="center" vertical="center" wrapText="1"/>
    </xf>
    <xf numFmtId="49" fontId="24" fillId="2" borderId="1" xfId="4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49" fontId="28" fillId="2" borderId="1" xfId="4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vertical="center"/>
    </xf>
    <xf numFmtId="2" fontId="21" fillId="2" borderId="0" xfId="0" applyNumberFormat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65" fontId="21" fillId="2" borderId="0" xfId="0" applyNumberFormat="1" applyFont="1" applyFill="1"/>
    <xf numFmtId="3" fontId="21" fillId="2" borderId="0" xfId="0" applyNumberFormat="1" applyFont="1" applyFill="1"/>
    <xf numFmtId="0" fontId="22" fillId="2" borderId="1" xfId="0" applyFont="1" applyFill="1" applyBorder="1" applyAlignment="1">
      <alignment horizontal="center" vertical="center" wrapText="1"/>
    </xf>
    <xf numFmtId="0" fontId="28" fillId="2" borderId="1" xfId="4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/>
    </xf>
    <xf numFmtId="0" fontId="24" fillId="2" borderId="1" xfId="13" quotePrefix="1" applyFont="1" applyFill="1" applyBorder="1" applyAlignment="1">
      <alignment vertical="center" wrapText="1"/>
    </xf>
    <xf numFmtId="0" fontId="24" fillId="2" borderId="1" xfId="12" quotePrefix="1" applyFont="1" applyFill="1" applyBorder="1" applyAlignment="1">
      <alignment horizontal="left" vertical="center" wrapText="1"/>
    </xf>
    <xf numFmtId="0" fontId="24" fillId="0" borderId="1" xfId="0" quotePrefix="1" applyFont="1" applyFill="1" applyBorder="1" applyAlignment="1">
      <alignment horizontal="left" vertical="center" wrapText="1"/>
    </xf>
    <xf numFmtId="0" fontId="24" fillId="0" borderId="5" xfId="0" quotePrefix="1" applyFont="1" applyFill="1" applyBorder="1" applyAlignment="1">
      <alignment horizontal="left" vertical="center" wrapText="1"/>
    </xf>
    <xf numFmtId="49" fontId="24" fillId="2" borderId="1" xfId="12" applyNumberFormat="1" applyFont="1" applyFill="1" applyBorder="1" applyAlignment="1">
      <alignment horizontal="center" vertical="center" wrapText="1"/>
    </xf>
    <xf numFmtId="0" fontId="24" fillId="2" borderId="1" xfId="12" applyFont="1" applyFill="1" applyBorder="1" applyAlignment="1">
      <alignment horizontal="center" vertical="center" wrapText="1"/>
    </xf>
    <xf numFmtId="0" fontId="24" fillId="2" borderId="1" xfId="13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2" borderId="1" xfId="4" quotePrefix="1" applyFont="1" applyFill="1" applyBorder="1" applyAlignment="1">
      <alignment horizontal="left" vertical="center" wrapText="1"/>
    </xf>
    <xf numFmtId="49" fontId="22" fillId="2" borderId="0" xfId="0" applyNumberFormat="1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horizontal="left" vertical="center"/>
    </xf>
    <xf numFmtId="3" fontId="22" fillId="2" borderId="0" xfId="2" applyNumberFormat="1" applyFont="1" applyFill="1" applyBorder="1" applyAlignment="1">
      <alignment horizontal="left" vertical="center"/>
    </xf>
    <xf numFmtId="166" fontId="22" fillId="2" borderId="0" xfId="2" applyNumberFormat="1" applyFont="1" applyFill="1" applyBorder="1" applyAlignment="1">
      <alignment horizontal="left" vertical="center"/>
    </xf>
    <xf numFmtId="3" fontId="22" fillId="2" borderId="0" xfId="0" applyNumberFormat="1" applyFont="1" applyFill="1" applyBorder="1" applyAlignment="1">
      <alignment horizontal="left" vertical="center"/>
    </xf>
    <xf numFmtId="0" fontId="24" fillId="2" borderId="1" xfId="4" quotePrefix="1" applyFont="1" applyFill="1" applyBorder="1" applyAlignment="1">
      <alignment vertical="center" wrapText="1"/>
    </xf>
    <xf numFmtId="0" fontId="32" fillId="2" borderId="1" xfId="18" applyFont="1" applyFill="1" applyBorder="1" applyAlignment="1">
      <alignment vertical="center" wrapText="1"/>
    </xf>
    <xf numFmtId="0" fontId="31" fillId="2" borderId="1" xfId="18" quotePrefix="1" applyFont="1" applyFill="1" applyBorder="1" applyAlignment="1">
      <alignment vertical="center" wrapText="1"/>
    </xf>
    <xf numFmtId="0" fontId="31" fillId="2" borderId="1" xfId="20" quotePrefix="1" applyFont="1" applyFill="1" applyBorder="1" applyAlignment="1">
      <alignment vertical="center" wrapText="1"/>
    </xf>
    <xf numFmtId="0" fontId="31" fillId="2" borderId="1" xfId="22" quotePrefix="1" applyFont="1" applyFill="1" applyBorder="1" applyAlignment="1">
      <alignment vertical="center" wrapText="1"/>
    </xf>
    <xf numFmtId="3" fontId="22" fillId="2" borderId="1" xfId="2" applyNumberFormat="1" applyFont="1" applyFill="1" applyBorder="1" applyAlignment="1">
      <alignment horizontal="center" vertical="center" wrapText="1"/>
    </xf>
    <xf numFmtId="166" fontId="22" fillId="2" borderId="1" xfId="2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3" fontId="22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166" fontId="21" fillId="2" borderId="1" xfId="2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23" fillId="2" borderId="1" xfId="2" applyNumberFormat="1" applyFont="1" applyFill="1" applyBorder="1" applyAlignment="1">
      <alignment horizontal="center" vertical="center"/>
    </xf>
    <xf numFmtId="166" fontId="23" fillId="2" borderId="1" xfId="2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49" fontId="24" fillId="2" borderId="1" xfId="18" applyNumberFormat="1" applyFont="1" applyFill="1" applyBorder="1" applyAlignment="1">
      <alignment horizontal="center" vertical="center" wrapText="1"/>
    </xf>
    <xf numFmtId="0" fontId="24" fillId="2" borderId="1" xfId="18" applyFont="1" applyFill="1" applyBorder="1" applyAlignment="1">
      <alignment horizontal="center" vertical="center" wrapText="1"/>
    </xf>
    <xf numFmtId="49" fontId="24" fillId="2" borderId="1" xfId="22" applyNumberFormat="1" applyFont="1" applyFill="1" applyBorder="1" applyAlignment="1">
      <alignment horizontal="center" vertical="center" wrapText="1"/>
    </xf>
    <xf numFmtId="0" fontId="24" fillId="2" borderId="1" xfId="22" applyFont="1" applyFill="1" applyBorder="1" applyAlignment="1">
      <alignment horizontal="center" vertical="center" wrapText="1"/>
    </xf>
    <xf numFmtId="49" fontId="21" fillId="2" borderId="1" xfId="18" applyNumberFormat="1" applyFont="1" applyFill="1" applyBorder="1" applyAlignment="1">
      <alignment horizontal="center" vertical="center"/>
    </xf>
    <xf numFmtId="49" fontId="24" fillId="2" borderId="1" xfId="19" applyNumberFormat="1" applyFont="1" applyFill="1" applyBorder="1" applyAlignment="1">
      <alignment horizontal="center" vertical="center" wrapText="1"/>
    </xf>
    <xf numFmtId="0" fontId="24" fillId="2" borderId="1" xfId="20" applyFont="1" applyFill="1" applyBorder="1" applyAlignment="1">
      <alignment horizontal="center" vertical="center" wrapText="1"/>
    </xf>
    <xf numFmtId="49" fontId="24" fillId="2" borderId="1" xfId="20" applyNumberFormat="1" applyFont="1" applyFill="1" applyBorder="1" applyAlignment="1">
      <alignment horizontal="center" vertical="center" wrapText="1"/>
    </xf>
    <xf numFmtId="0" fontId="24" fillId="2" borderId="1" xfId="19" quotePrefix="1" applyFont="1" applyFill="1" applyBorder="1" applyAlignment="1">
      <alignment vertical="center" wrapText="1"/>
    </xf>
    <xf numFmtId="3" fontId="22" fillId="2" borderId="0" xfId="0" applyNumberFormat="1" applyFont="1" applyFill="1" applyAlignment="1">
      <alignment vertical="center"/>
    </xf>
    <xf numFmtId="49" fontId="33" fillId="2" borderId="0" xfId="0" applyNumberFormat="1" applyFont="1" applyFill="1" applyAlignment="1">
      <alignment wrapText="1"/>
    </xf>
    <xf numFmtId="3" fontId="23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3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0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0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0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0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0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0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0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3" fontId="21" fillId="2" borderId="1" xfId="2" applyNumberFormat="1" applyFont="1" applyFill="1" applyBorder="1" applyAlignment="1">
      <alignment horizontal="left" vertical="center"/>
    </xf>
    <xf numFmtId="0" fontId="24" fillId="2" borderId="1" xfId="18" quotePrefix="1" applyFont="1" applyFill="1" applyBorder="1" applyAlignment="1">
      <alignment vertical="center" wrapText="1"/>
    </xf>
    <xf numFmtId="0" fontId="31" fillId="2" borderId="1" xfId="28" quotePrefix="1" applyFont="1" applyFill="1" applyBorder="1" applyAlignment="1">
      <alignment vertical="center" wrapText="1"/>
    </xf>
    <xf numFmtId="49" fontId="31" fillId="2" borderId="1" xfId="28" applyNumberFormat="1" applyFont="1" applyFill="1" applyBorder="1" applyAlignment="1">
      <alignment horizontal="center" vertical="center" wrapText="1"/>
    </xf>
    <xf numFmtId="0" fontId="31" fillId="2" borderId="1" xfId="28" quotePrefix="1" applyFont="1" applyFill="1" applyBorder="1" applyAlignment="1">
      <alignment vertical="center" wrapText="1"/>
    </xf>
    <xf numFmtId="49" fontId="31" fillId="2" borderId="1" xfId="28" applyNumberFormat="1" applyFont="1" applyFill="1" applyBorder="1" applyAlignment="1">
      <alignment horizontal="center" vertical="center" wrapText="1"/>
    </xf>
    <xf numFmtId="0" fontId="31" fillId="2" borderId="1" xfId="28" quotePrefix="1" applyFont="1" applyFill="1" applyBorder="1" applyAlignment="1">
      <alignment vertical="center" wrapText="1"/>
    </xf>
    <xf numFmtId="49" fontId="31" fillId="2" borderId="1" xfId="28" applyNumberFormat="1" applyFont="1" applyFill="1" applyBorder="1" applyAlignment="1">
      <alignment horizontal="center" vertical="center" wrapText="1"/>
    </xf>
    <xf numFmtId="0" fontId="31" fillId="2" borderId="1" xfId="28" quotePrefix="1" applyFont="1" applyFill="1" applyBorder="1" applyAlignment="1">
      <alignment vertical="center" wrapText="1"/>
    </xf>
    <xf numFmtId="49" fontId="31" fillId="2" borderId="1" xfId="28" applyNumberFormat="1" applyFont="1" applyFill="1" applyBorder="1" applyAlignment="1">
      <alignment horizontal="center" vertical="center" wrapText="1"/>
    </xf>
    <xf numFmtId="0" fontId="31" fillId="2" borderId="1" xfId="28" applyFont="1" applyFill="1" applyBorder="1" applyAlignment="1">
      <alignment horizontal="center" vertical="center" wrapText="1"/>
    </xf>
    <xf numFmtId="0" fontId="31" fillId="2" borderId="1" xfId="28" quotePrefix="1" applyFont="1" applyFill="1" applyBorder="1" applyAlignment="1">
      <alignment vertical="center" wrapText="1"/>
    </xf>
    <xf numFmtId="49" fontId="31" fillId="2" borderId="1" xfId="28" applyNumberFormat="1" applyFont="1" applyFill="1" applyBorder="1" applyAlignment="1">
      <alignment horizontal="center" vertical="center" wrapText="1"/>
    </xf>
    <xf numFmtId="0" fontId="31" fillId="2" borderId="1" xfId="28" quotePrefix="1" applyFont="1" applyFill="1" applyBorder="1" applyAlignment="1">
      <alignment vertical="center" wrapText="1"/>
    </xf>
    <xf numFmtId="49" fontId="31" fillId="2" borderId="1" xfId="28" applyNumberFormat="1" applyFont="1" applyFill="1" applyBorder="1" applyAlignment="1">
      <alignment horizontal="center" vertical="center" wrapText="1"/>
    </xf>
    <xf numFmtId="0" fontId="31" fillId="2" borderId="1" xfId="28" quotePrefix="1" applyFont="1" applyFill="1" applyBorder="1" applyAlignment="1">
      <alignment vertical="center" wrapText="1"/>
    </xf>
    <xf numFmtId="49" fontId="31" fillId="2" borderId="1" xfId="28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49" fontId="21" fillId="2" borderId="2" xfId="1" applyNumberFormat="1" applyFont="1" applyFill="1" applyBorder="1" applyAlignment="1" applyProtection="1">
      <alignment horizontal="center" vertical="center" wrapText="1"/>
    </xf>
    <xf numFmtId="49" fontId="21" fillId="2" borderId="3" xfId="1" applyNumberFormat="1" applyFont="1" applyFill="1" applyBorder="1" applyAlignment="1" applyProtection="1">
      <alignment horizontal="center" vertical="center" wrapText="1"/>
    </xf>
    <xf numFmtId="49" fontId="21" fillId="2" borderId="4" xfId="1" applyNumberFormat="1" applyFont="1" applyFill="1" applyBorder="1" applyAlignment="1" applyProtection="1">
      <alignment horizontal="center" vertical="center" wrapText="1"/>
    </xf>
    <xf numFmtId="49" fontId="21" fillId="2" borderId="1" xfId="1" applyNumberFormat="1" applyFont="1" applyFill="1" applyBorder="1" applyAlignment="1" applyProtection="1">
      <alignment horizontal="center" vertical="center" wrapText="1"/>
    </xf>
    <xf numFmtId="0" fontId="21" fillId="2" borderId="1" xfId="1" applyNumberFormat="1" applyFont="1" applyFill="1" applyBorder="1" applyAlignment="1" applyProtection="1">
      <alignment horizontal="center" vertical="center" wrapText="1"/>
    </xf>
  </cellXfs>
  <cellStyles count="29">
    <cellStyle name="Гарний 2" xfId="9"/>
    <cellStyle name="Звичайний" xfId="0" builtinId="0"/>
    <cellStyle name="Звичайний 10" xfId="16"/>
    <cellStyle name="Звичайний 11" xfId="17"/>
    <cellStyle name="Звичайний 12" xfId="18"/>
    <cellStyle name="Звичайний 13" xfId="19"/>
    <cellStyle name="Звичайний 14" xfId="20"/>
    <cellStyle name="Звичайний 15" xfId="21"/>
    <cellStyle name="Звичайний 16" xfId="22"/>
    <cellStyle name="Звичайний 17" xfId="23"/>
    <cellStyle name="Звичайний 18" xfId="28"/>
    <cellStyle name="Звичайний 2" xfId="4"/>
    <cellStyle name="Звичайний 3" xfId="6"/>
    <cellStyle name="Звичайний 3 2" xfId="24"/>
    <cellStyle name="Звичайний 3 3" xfId="26"/>
    <cellStyle name="Звичайний 4" xfId="7"/>
    <cellStyle name="Звичайний 4 2" xfId="25"/>
    <cellStyle name="Звичайний 4 3" xfId="27"/>
    <cellStyle name="Звичайний 5" xfId="10"/>
    <cellStyle name="Звичайний 6" xfId="11"/>
    <cellStyle name="Звичайний 7" xfId="12"/>
    <cellStyle name="Звичайний 8" xfId="13"/>
    <cellStyle name="Звичайний 9" xfId="14"/>
    <cellStyle name="Обычный 2" xfId="5"/>
    <cellStyle name="Обычный 2 2" xfId="8"/>
    <cellStyle name="Обычный 3" xfId="1"/>
    <cellStyle name="Обычный 9" xfId="15"/>
    <cellStyle name="Обычный_дод 2" xfId="3"/>
    <cellStyle name="Обычный_до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3"/>
  <sheetViews>
    <sheetView showZeros="0" tabSelected="1" view="pageBreakPreview" zoomScale="55" zoomScaleNormal="75" zoomScaleSheetLayoutView="55" workbookViewId="0">
      <pane xSplit="4" ySplit="7" topLeftCell="E50" activePane="bottomRight" state="frozen"/>
      <selection pane="topRight" activeCell="E1" sqref="E1"/>
      <selection pane="bottomLeft" activeCell="A9" sqref="A9"/>
      <selection pane="bottomRight" activeCell="O10" sqref="O10"/>
    </sheetView>
  </sheetViews>
  <sheetFormatPr defaultColWidth="8.85546875" defaultRowHeight="18.75"/>
  <cols>
    <col min="1" max="1" width="15.28515625" style="28" customWidth="1"/>
    <col min="2" max="2" width="11.42578125" style="2" customWidth="1"/>
    <col min="3" max="3" width="14.28515625" style="2" customWidth="1"/>
    <col min="4" max="4" width="53.28515625" style="1" customWidth="1"/>
    <col min="5" max="5" width="17.5703125" style="1" customWidth="1"/>
    <col min="6" max="6" width="16.28515625" style="1" customWidth="1"/>
    <col min="7" max="7" width="17.7109375" style="1" customWidth="1"/>
    <col min="8" max="8" width="19.7109375" style="1" customWidth="1"/>
    <col min="9" max="9" width="22.42578125" style="1" customWidth="1"/>
    <col min="10" max="10" width="19.7109375" style="1" customWidth="1"/>
    <col min="11" max="11" width="19.140625" style="1" customWidth="1"/>
    <col min="12" max="12" width="21.5703125" style="1" customWidth="1"/>
    <col min="13" max="13" width="14.140625" style="1" customWidth="1"/>
    <col min="14" max="14" width="14.5703125" style="1" customWidth="1"/>
    <col min="15" max="15" width="18.85546875" style="1" customWidth="1"/>
    <col min="16" max="16" width="19.7109375" style="1" customWidth="1"/>
    <col min="17" max="17" width="21.140625" style="1" customWidth="1"/>
    <col min="18" max="18" width="20.140625" style="1" customWidth="1"/>
    <col min="19" max="19" width="19.140625" style="1" customWidth="1"/>
    <col min="20" max="20" width="20" style="1" customWidth="1"/>
    <col min="21" max="21" width="14.28515625" style="1" bestFit="1" customWidth="1"/>
    <col min="22" max="16384" width="8.85546875" style="1"/>
  </cols>
  <sheetData>
    <row r="1" spans="1:21" ht="59.25" customHeight="1">
      <c r="A1" s="152" t="s">
        <v>312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1" ht="20.45" customHeight="1">
      <c r="A2" s="153" t="s">
        <v>160</v>
      </c>
      <c r="B2" s="153" t="s">
        <v>161</v>
      </c>
      <c r="C2" s="156" t="s">
        <v>162</v>
      </c>
      <c r="D2" s="157" t="s">
        <v>163</v>
      </c>
      <c r="E2" s="149" t="s">
        <v>310</v>
      </c>
      <c r="F2" s="150"/>
      <c r="G2" s="150"/>
      <c r="H2" s="151"/>
      <c r="I2" s="149" t="s">
        <v>311</v>
      </c>
      <c r="J2" s="150"/>
      <c r="K2" s="150"/>
      <c r="L2" s="151"/>
      <c r="M2" s="149" t="s">
        <v>178</v>
      </c>
      <c r="N2" s="150"/>
      <c r="O2" s="150"/>
      <c r="P2" s="151"/>
      <c r="Q2" s="149" t="s">
        <v>239</v>
      </c>
      <c r="R2" s="150"/>
      <c r="S2" s="150"/>
      <c r="T2" s="151"/>
    </row>
    <row r="3" spans="1:21" ht="25.5" customHeight="1">
      <c r="A3" s="154"/>
      <c r="B3" s="154"/>
      <c r="C3" s="156"/>
      <c r="D3" s="157"/>
      <c r="E3" s="147" t="s">
        <v>280</v>
      </c>
      <c r="F3" s="147" t="s">
        <v>177</v>
      </c>
      <c r="G3" s="147"/>
      <c r="H3" s="147"/>
      <c r="I3" s="147" t="s">
        <v>280</v>
      </c>
      <c r="J3" s="147" t="s">
        <v>177</v>
      </c>
      <c r="K3" s="147"/>
      <c r="L3" s="147"/>
      <c r="M3" s="147" t="s">
        <v>280</v>
      </c>
      <c r="N3" s="147" t="s">
        <v>177</v>
      </c>
      <c r="O3" s="147"/>
      <c r="P3" s="147"/>
      <c r="Q3" s="147" t="s">
        <v>280</v>
      </c>
      <c r="R3" s="147" t="s">
        <v>177</v>
      </c>
      <c r="S3" s="147"/>
      <c r="T3" s="147"/>
    </row>
    <row r="4" spans="1:21" ht="15" customHeight="1">
      <c r="A4" s="154"/>
      <c r="B4" s="154"/>
      <c r="C4" s="156"/>
      <c r="D4" s="157"/>
      <c r="E4" s="147"/>
      <c r="F4" s="147" t="s">
        <v>175</v>
      </c>
      <c r="G4" s="147" t="s">
        <v>174</v>
      </c>
      <c r="H4" s="147"/>
      <c r="I4" s="147"/>
      <c r="J4" s="147" t="s">
        <v>175</v>
      </c>
      <c r="K4" s="147" t="s">
        <v>174</v>
      </c>
      <c r="L4" s="147"/>
      <c r="M4" s="147"/>
      <c r="N4" s="147" t="s">
        <v>175</v>
      </c>
      <c r="O4" s="147" t="s">
        <v>174</v>
      </c>
      <c r="P4" s="147"/>
      <c r="Q4" s="147"/>
      <c r="R4" s="147" t="s">
        <v>175</v>
      </c>
      <c r="S4" s="147" t="s">
        <v>174</v>
      </c>
      <c r="T4" s="147"/>
    </row>
    <row r="5" spans="1:21" ht="24" customHeight="1">
      <c r="A5" s="154"/>
      <c r="B5" s="154"/>
      <c r="C5" s="156"/>
      <c r="D5" s="157"/>
      <c r="E5" s="147"/>
      <c r="F5" s="148"/>
      <c r="G5" s="147" t="s">
        <v>281</v>
      </c>
      <c r="H5" s="35" t="s">
        <v>176</v>
      </c>
      <c r="I5" s="147"/>
      <c r="J5" s="148"/>
      <c r="K5" s="147" t="s">
        <v>281</v>
      </c>
      <c r="L5" s="35" t="s">
        <v>176</v>
      </c>
      <c r="M5" s="147"/>
      <c r="N5" s="148"/>
      <c r="O5" s="147" t="s">
        <v>281</v>
      </c>
      <c r="P5" s="35" t="s">
        <v>176</v>
      </c>
      <c r="Q5" s="147"/>
      <c r="R5" s="148"/>
      <c r="S5" s="147" t="s">
        <v>281</v>
      </c>
      <c r="T5" s="35" t="s">
        <v>176</v>
      </c>
    </row>
    <row r="6" spans="1:21" ht="168.75" customHeight="1">
      <c r="A6" s="155"/>
      <c r="B6" s="155"/>
      <c r="C6" s="156"/>
      <c r="D6" s="157"/>
      <c r="E6" s="147"/>
      <c r="F6" s="148"/>
      <c r="G6" s="147"/>
      <c r="H6" s="35" t="s">
        <v>0</v>
      </c>
      <c r="I6" s="147"/>
      <c r="J6" s="148"/>
      <c r="K6" s="147"/>
      <c r="L6" s="35" t="s">
        <v>0</v>
      </c>
      <c r="M6" s="147"/>
      <c r="N6" s="148"/>
      <c r="O6" s="147"/>
      <c r="P6" s="35" t="s">
        <v>0</v>
      </c>
      <c r="Q6" s="147"/>
      <c r="R6" s="148"/>
      <c r="S6" s="147"/>
      <c r="T6" s="35" t="s">
        <v>0</v>
      </c>
    </row>
    <row r="7" spans="1:21">
      <c r="A7" s="23">
        <v>1</v>
      </c>
      <c r="B7" s="23">
        <v>2</v>
      </c>
      <c r="C7" s="23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9">
        <v>17</v>
      </c>
      <c r="R7" s="9">
        <v>18</v>
      </c>
      <c r="S7" s="9">
        <v>19</v>
      </c>
      <c r="T7" s="9">
        <v>20</v>
      </c>
    </row>
    <row r="8" spans="1:21" s="30" customFormat="1" ht="56.25">
      <c r="A8" s="25" t="s">
        <v>63</v>
      </c>
      <c r="B8" s="25"/>
      <c r="C8" s="25"/>
      <c r="D8" s="10" t="s">
        <v>203</v>
      </c>
      <c r="E8" s="60">
        <f t="shared" ref="E8:L8" si="0">E9</f>
        <v>34999677.210000001</v>
      </c>
      <c r="F8" s="60">
        <f t="shared" si="0"/>
        <v>31982679.400000002</v>
      </c>
      <c r="G8" s="60">
        <f t="shared" si="0"/>
        <v>3016997.81</v>
      </c>
      <c r="H8" s="60">
        <f t="shared" si="0"/>
        <v>3011137.25</v>
      </c>
      <c r="I8" s="60">
        <f t="shared" si="0"/>
        <v>47954724.039999992</v>
      </c>
      <c r="J8" s="60">
        <f t="shared" si="0"/>
        <v>42533905.919999994</v>
      </c>
      <c r="K8" s="60">
        <f t="shared" si="0"/>
        <v>5420818.1199999992</v>
      </c>
      <c r="L8" s="60">
        <f t="shared" si="0"/>
        <v>707269.44</v>
      </c>
      <c r="M8" s="61">
        <f>IFERROR((I8/E8),"")</f>
        <v>1.3701476088556186</v>
      </c>
      <c r="N8" s="61">
        <f t="shared" ref="N8:P8" si="1">IFERROR((J8/F8),"")</f>
        <v>1.3299043956898744</v>
      </c>
      <c r="O8" s="61">
        <f t="shared" si="1"/>
        <v>1.7967590503487967</v>
      </c>
      <c r="P8" s="61">
        <f t="shared" si="1"/>
        <v>0.23488449090123673</v>
      </c>
      <c r="Q8" s="62">
        <f>I8-E8</f>
        <v>12955046.829999991</v>
      </c>
      <c r="R8" s="62">
        <f>J8-F8</f>
        <v>10551226.519999992</v>
      </c>
      <c r="S8" s="62">
        <f t="shared" ref="S8:T8" si="2">K8-G8</f>
        <v>2403820.3099999991</v>
      </c>
      <c r="T8" s="62">
        <f t="shared" si="2"/>
        <v>-2303867.81</v>
      </c>
    </row>
    <row r="9" spans="1:21" s="30" customFormat="1" ht="56.25">
      <c r="A9" s="25" t="s">
        <v>64</v>
      </c>
      <c r="B9" s="25"/>
      <c r="C9" s="25"/>
      <c r="D9" s="10" t="s">
        <v>204</v>
      </c>
      <c r="E9" s="63">
        <f>F9+G9</f>
        <v>34999677.210000001</v>
      </c>
      <c r="F9" s="63">
        <f>F10+F15+F16+F17+F18+F19+F20+F21+F22+F31+F29+F28+F30+F32+F27+F26</f>
        <v>31982679.400000002</v>
      </c>
      <c r="G9" s="63">
        <f t="shared" ref="G9:H9" si="3">G10+G15+G16+G17+G18+G19+G20+G21+G22+G31+G29+G28+G30+G32+G27+G26</f>
        <v>3016997.81</v>
      </c>
      <c r="H9" s="63">
        <f t="shared" si="3"/>
        <v>3011137.25</v>
      </c>
      <c r="I9" s="63">
        <f>J9+K9</f>
        <v>47954724.039999992</v>
      </c>
      <c r="J9" s="63">
        <f>J10+J15+J16+J17+J18+J19+J20+J21+J22+J31+J29+J28+J30+J32+J27+J26</f>
        <v>42533905.919999994</v>
      </c>
      <c r="K9" s="63">
        <f t="shared" ref="K9:L9" si="4">K10+K15+K16+K17+K18+K19+K20+K21+K22+K31+K29+K28+K30+K32+K27+K26</f>
        <v>5420818.1199999992</v>
      </c>
      <c r="L9" s="63">
        <f t="shared" si="4"/>
        <v>707269.44</v>
      </c>
      <c r="M9" s="61">
        <f t="shared" ref="M9:M10" si="5">IFERROR((I9/E9),"")</f>
        <v>1.3701476088556186</v>
      </c>
      <c r="N9" s="61">
        <f t="shared" ref="N9:P10" si="6">IFERROR((J9/F9),"")</f>
        <v>1.3299043956898744</v>
      </c>
      <c r="O9" s="61">
        <f t="shared" si="6"/>
        <v>1.7967590503487967</v>
      </c>
      <c r="P9" s="61">
        <f t="shared" si="6"/>
        <v>0.23488449090123673</v>
      </c>
      <c r="Q9" s="62">
        <f t="shared" ref="Q9" si="7">I9-E9</f>
        <v>12955046.829999991</v>
      </c>
      <c r="R9" s="62">
        <f t="shared" ref="R9" si="8">J9-F9</f>
        <v>10551226.519999992</v>
      </c>
      <c r="S9" s="62">
        <f t="shared" ref="S9" si="9">K9-G9</f>
        <v>2403820.3099999991</v>
      </c>
      <c r="T9" s="62">
        <f t="shared" ref="T9" si="10">L9-H9</f>
        <v>-2303867.81</v>
      </c>
    </row>
    <row r="10" spans="1:21" s="39" customFormat="1" ht="93.75">
      <c r="A10" s="23" t="s">
        <v>65</v>
      </c>
      <c r="B10" s="23" t="s">
        <v>52</v>
      </c>
      <c r="C10" s="23" t="s">
        <v>3</v>
      </c>
      <c r="D10" s="24" t="s">
        <v>53</v>
      </c>
      <c r="E10" s="64">
        <f>F10+G10</f>
        <v>16493693.650000002</v>
      </c>
      <c r="F10" s="64">
        <f>F11+F12+F13+F14</f>
        <v>16487833.090000002</v>
      </c>
      <c r="G10" s="64">
        <f>G11+G12+G13+G14</f>
        <v>5860.5599999999995</v>
      </c>
      <c r="H10" s="64">
        <f>H11+H12+H13+H14</f>
        <v>0</v>
      </c>
      <c r="I10" s="64">
        <f>J10+K10</f>
        <v>26232652.460000001</v>
      </c>
      <c r="J10" s="64">
        <f>J11+J12+J13+J14</f>
        <v>21519103.780000001</v>
      </c>
      <c r="K10" s="64">
        <f>K11+K12+K13+K14</f>
        <v>4713548.68</v>
      </c>
      <c r="L10" s="64">
        <f>L11+L12+L13+L14</f>
        <v>0</v>
      </c>
      <c r="M10" s="68">
        <f t="shared" si="5"/>
        <v>1.5904656056225464</v>
      </c>
      <c r="N10" s="68">
        <f t="shared" si="6"/>
        <v>1.3051505108364727</v>
      </c>
      <c r="O10" s="65" t="s">
        <v>324</v>
      </c>
      <c r="P10" s="65" t="str">
        <f t="shared" ref="P10:P67" si="11">IFERROR((L10/H10),"")</f>
        <v/>
      </c>
      <c r="Q10" s="66">
        <f t="shared" ref="Q10:Q67" si="12">I10-E10</f>
        <v>9738958.8099999987</v>
      </c>
      <c r="R10" s="66">
        <f t="shared" ref="R10:R67" si="13">J10-F10</f>
        <v>5031270.6899999995</v>
      </c>
      <c r="S10" s="66">
        <f t="shared" ref="S10:S67" si="14">K10-G10</f>
        <v>4707688.12</v>
      </c>
      <c r="T10" s="66">
        <f t="shared" ref="T10:T67" si="15">L10-H10</f>
        <v>0</v>
      </c>
      <c r="U10" s="31"/>
    </row>
    <row r="11" spans="1:21" s="32" customFormat="1" ht="56.25">
      <c r="A11" s="26"/>
      <c r="B11" s="26"/>
      <c r="C11" s="26"/>
      <c r="D11" s="11" t="s">
        <v>204</v>
      </c>
      <c r="E11" s="67">
        <f>F11+G11</f>
        <v>14900700.18</v>
      </c>
      <c r="F11" s="81">
        <v>14895352.140000001</v>
      </c>
      <c r="G11" s="81">
        <v>5348.04</v>
      </c>
      <c r="H11" s="81"/>
      <c r="I11" s="67">
        <f>J11+K11</f>
        <v>23617772.41</v>
      </c>
      <c r="J11" s="67">
        <v>18904415.07</v>
      </c>
      <c r="K11" s="67">
        <f>2977.43+4710379.91</f>
        <v>4713357.34</v>
      </c>
      <c r="L11" s="67"/>
      <c r="M11" s="68">
        <f t="shared" ref="M11" si="16">IFERROR((I11/E11),"")</f>
        <v>1.5850109138965307</v>
      </c>
      <c r="N11" s="68">
        <f t="shared" ref="N11" si="17">IFERROR((J11/F11),"")</f>
        <v>1.2691485835527216</v>
      </c>
      <c r="O11" s="65" t="s">
        <v>324</v>
      </c>
      <c r="P11" s="68" t="str">
        <f t="shared" si="11"/>
        <v/>
      </c>
      <c r="Q11" s="69">
        <f t="shared" si="12"/>
        <v>8717072.2300000004</v>
      </c>
      <c r="R11" s="69">
        <f t="shared" si="13"/>
        <v>4009062.9299999997</v>
      </c>
      <c r="S11" s="69">
        <f t="shared" si="14"/>
        <v>4708009.3</v>
      </c>
      <c r="T11" s="69">
        <f t="shared" si="15"/>
        <v>0</v>
      </c>
    </row>
    <row r="12" spans="1:21" s="32" customFormat="1" ht="56.25">
      <c r="A12" s="26"/>
      <c r="B12" s="26"/>
      <c r="C12" s="26"/>
      <c r="D12" s="11" t="s">
        <v>211</v>
      </c>
      <c r="E12" s="67">
        <f t="shared" ref="E12:E14" si="18">F12+G12</f>
        <v>653223.9</v>
      </c>
      <c r="F12" s="81">
        <v>652711.38</v>
      </c>
      <c r="G12" s="81">
        <v>512.52</v>
      </c>
      <c r="H12" s="81"/>
      <c r="I12" s="67">
        <f t="shared" ref="I12:I13" si="19">J12+K12</f>
        <v>1165702.73</v>
      </c>
      <c r="J12" s="67">
        <v>1165511.3899999999</v>
      </c>
      <c r="K12" s="67">
        <v>191.34</v>
      </c>
      <c r="L12" s="67"/>
      <c r="M12" s="68">
        <f t="shared" ref="M12" si="20">IFERROR((I12/E12),"")</f>
        <v>1.7845377825275528</v>
      </c>
      <c r="N12" s="68">
        <f t="shared" ref="N12:O12" si="21">IFERROR((J12/F12),"")</f>
        <v>1.7856458853222383</v>
      </c>
      <c r="O12" s="68">
        <f t="shared" si="21"/>
        <v>0.37333177241863735</v>
      </c>
      <c r="P12" s="68"/>
      <c r="Q12" s="69">
        <f t="shared" si="12"/>
        <v>512478.82999999996</v>
      </c>
      <c r="R12" s="69">
        <f t="shared" si="13"/>
        <v>512800.00999999989</v>
      </c>
      <c r="S12" s="69">
        <f t="shared" si="14"/>
        <v>-321.17999999999995</v>
      </c>
      <c r="T12" s="69">
        <f t="shared" si="15"/>
        <v>0</v>
      </c>
    </row>
    <row r="13" spans="1:21" s="32" customFormat="1" ht="56.25">
      <c r="A13" s="26"/>
      <c r="B13" s="26"/>
      <c r="C13" s="26"/>
      <c r="D13" s="11" t="s">
        <v>212</v>
      </c>
      <c r="E13" s="67">
        <f t="shared" si="18"/>
        <v>459052.05</v>
      </c>
      <c r="F13" s="81">
        <v>459052.05</v>
      </c>
      <c r="G13" s="81"/>
      <c r="H13" s="81"/>
      <c r="I13" s="67">
        <f t="shared" si="19"/>
        <v>622160.9</v>
      </c>
      <c r="J13" s="67">
        <v>622160.9</v>
      </c>
      <c r="K13" s="67"/>
      <c r="L13" s="67"/>
      <c r="M13" s="68">
        <f t="shared" ref="M13:P67" si="22">IFERROR((I13/E13),"")</f>
        <v>1.3553166792306015</v>
      </c>
      <c r="N13" s="68">
        <f t="shared" ref="M13:P67" si="23">IFERROR((J13/F13),"")</f>
        <v>1.3553166792306015</v>
      </c>
      <c r="O13" s="68" t="str">
        <f t="shared" ref="O13" si="24">IFERROR((K13/G13),"")</f>
        <v/>
      </c>
      <c r="P13" s="68" t="str">
        <f t="shared" ref="P13" si="25">IFERROR((L13/H13),"")</f>
        <v/>
      </c>
      <c r="Q13" s="69">
        <f t="shared" si="12"/>
        <v>163108.85000000003</v>
      </c>
      <c r="R13" s="69">
        <f t="shared" si="13"/>
        <v>163108.85000000003</v>
      </c>
      <c r="S13" s="69">
        <f t="shared" si="14"/>
        <v>0</v>
      </c>
      <c r="T13" s="69">
        <f t="shared" si="15"/>
        <v>0</v>
      </c>
    </row>
    <row r="14" spans="1:21" s="32" customFormat="1" ht="56.25">
      <c r="A14" s="26"/>
      <c r="B14" s="26"/>
      <c r="C14" s="26"/>
      <c r="D14" s="11" t="s">
        <v>213</v>
      </c>
      <c r="E14" s="67">
        <f t="shared" si="18"/>
        <v>480717.52</v>
      </c>
      <c r="F14" s="81">
        <v>480717.52</v>
      </c>
      <c r="G14" s="81"/>
      <c r="H14" s="81"/>
      <c r="I14" s="67">
        <f t="shared" ref="I14:I60" si="26">J14+K14</f>
        <v>827016.42</v>
      </c>
      <c r="J14" s="67">
        <v>827016.42</v>
      </c>
      <c r="K14" s="67"/>
      <c r="L14" s="67"/>
      <c r="M14" s="68">
        <f t="shared" si="22"/>
        <v>1.7203791948335896</v>
      </c>
      <c r="N14" s="68">
        <f t="shared" si="23"/>
        <v>1.7203791948335896</v>
      </c>
      <c r="O14" s="68" t="str">
        <f t="shared" ref="O14:O15" si="27">IFERROR((K14/G14),"")</f>
        <v/>
      </c>
      <c r="P14" s="68" t="str">
        <f t="shared" ref="P14:P15" si="28">IFERROR((L14/H14),"")</f>
        <v/>
      </c>
      <c r="Q14" s="69">
        <f t="shared" si="12"/>
        <v>346298.9</v>
      </c>
      <c r="R14" s="69">
        <f t="shared" si="13"/>
        <v>346298.9</v>
      </c>
      <c r="S14" s="69">
        <f t="shared" si="14"/>
        <v>0</v>
      </c>
      <c r="T14" s="69">
        <f t="shared" si="15"/>
        <v>0</v>
      </c>
    </row>
    <row r="15" spans="1:21" s="39" customFormat="1" ht="56.25">
      <c r="A15" s="23" t="s">
        <v>114</v>
      </c>
      <c r="B15" s="23" t="s">
        <v>115</v>
      </c>
      <c r="C15" s="23" t="s">
        <v>116</v>
      </c>
      <c r="D15" s="24" t="s">
        <v>117</v>
      </c>
      <c r="E15" s="64">
        <f>F15</f>
        <v>4400</v>
      </c>
      <c r="F15" s="82">
        <v>4400</v>
      </c>
      <c r="G15" s="64"/>
      <c r="H15" s="64"/>
      <c r="I15" s="64">
        <f t="shared" si="26"/>
        <v>4800</v>
      </c>
      <c r="J15" s="64">
        <v>4800</v>
      </c>
      <c r="K15" s="64"/>
      <c r="L15" s="64"/>
      <c r="M15" s="65">
        <f t="shared" si="22"/>
        <v>1.0909090909090908</v>
      </c>
      <c r="N15" s="65">
        <f t="shared" si="23"/>
        <v>1.0909090909090908</v>
      </c>
      <c r="O15" s="65" t="str">
        <f t="shared" si="27"/>
        <v/>
      </c>
      <c r="P15" s="65" t="str">
        <f t="shared" si="28"/>
        <v/>
      </c>
      <c r="Q15" s="66">
        <f t="shared" si="12"/>
        <v>400</v>
      </c>
      <c r="R15" s="66">
        <f t="shared" si="13"/>
        <v>400</v>
      </c>
      <c r="S15" s="66">
        <f t="shared" si="14"/>
        <v>0</v>
      </c>
      <c r="T15" s="66">
        <f t="shared" si="15"/>
        <v>0</v>
      </c>
    </row>
    <row r="16" spans="1:21" s="39" customFormat="1" ht="37.5">
      <c r="A16" s="23" t="s">
        <v>118</v>
      </c>
      <c r="B16" s="23" t="s">
        <v>8</v>
      </c>
      <c r="C16" s="23" t="s">
        <v>6</v>
      </c>
      <c r="D16" s="24" t="s">
        <v>119</v>
      </c>
      <c r="E16" s="64">
        <f t="shared" ref="E16:E28" si="29">F16+G16</f>
        <v>351177.79</v>
      </c>
      <c r="F16" s="82">
        <v>351177.79</v>
      </c>
      <c r="G16" s="64"/>
      <c r="H16" s="64"/>
      <c r="I16" s="64">
        <f t="shared" si="26"/>
        <v>331727.96000000002</v>
      </c>
      <c r="J16" s="64">
        <v>331727.96000000002</v>
      </c>
      <c r="K16" s="64"/>
      <c r="L16" s="64"/>
      <c r="M16" s="65">
        <f t="shared" si="22"/>
        <v>0.94461543254201819</v>
      </c>
      <c r="N16" s="65">
        <f t="shared" si="23"/>
        <v>0.94461543254201819</v>
      </c>
      <c r="O16" s="65" t="str">
        <f t="shared" ref="O16:O67" si="30">IFERROR((K16/G16),"")</f>
        <v/>
      </c>
      <c r="P16" s="65" t="str">
        <f t="shared" si="11"/>
        <v/>
      </c>
      <c r="Q16" s="66">
        <f t="shared" si="12"/>
        <v>-19449.829999999958</v>
      </c>
      <c r="R16" s="66">
        <f t="shared" si="13"/>
        <v>-19449.829999999958</v>
      </c>
      <c r="S16" s="66">
        <f t="shared" si="14"/>
        <v>0</v>
      </c>
      <c r="T16" s="66">
        <f t="shared" si="15"/>
        <v>0</v>
      </c>
    </row>
    <row r="17" spans="1:21" s="39" customFormat="1" ht="37.5">
      <c r="A17" s="23" t="s">
        <v>66</v>
      </c>
      <c r="B17" s="23" t="s">
        <v>28</v>
      </c>
      <c r="C17" s="23" t="s">
        <v>29</v>
      </c>
      <c r="D17" s="38" t="s">
        <v>155</v>
      </c>
      <c r="E17" s="64">
        <f t="shared" si="29"/>
        <v>7344258.8200000003</v>
      </c>
      <c r="F17" s="83">
        <v>5609621.5700000003</v>
      </c>
      <c r="G17" s="83">
        <v>1734637.25</v>
      </c>
      <c r="H17" s="83">
        <v>1734637.25</v>
      </c>
      <c r="I17" s="64">
        <f t="shared" si="26"/>
        <v>6932672.6399999997</v>
      </c>
      <c r="J17" s="64">
        <v>6932672.6399999997</v>
      </c>
      <c r="K17" s="64"/>
      <c r="L17" s="64"/>
      <c r="M17" s="65">
        <f t="shared" si="22"/>
        <v>0.94395810522374801</v>
      </c>
      <c r="N17" s="65">
        <f t="shared" si="23"/>
        <v>1.2358538902295328</v>
      </c>
      <c r="O17" s="65">
        <f t="shared" si="23"/>
        <v>0</v>
      </c>
      <c r="P17" s="65"/>
      <c r="Q17" s="66">
        <f t="shared" si="12"/>
        <v>-411586.18000000063</v>
      </c>
      <c r="R17" s="66">
        <f t="shared" si="13"/>
        <v>1323051.0699999994</v>
      </c>
      <c r="S17" s="66">
        <f t="shared" si="14"/>
        <v>-1734637.25</v>
      </c>
      <c r="T17" s="66">
        <f t="shared" si="15"/>
        <v>-1734637.25</v>
      </c>
      <c r="U17" s="31"/>
    </row>
    <row r="18" spans="1:21" s="39" customFormat="1" ht="30" customHeight="1">
      <c r="A18" s="23" t="s">
        <v>67</v>
      </c>
      <c r="B18" s="23" t="s">
        <v>54</v>
      </c>
      <c r="C18" s="23" t="s">
        <v>30</v>
      </c>
      <c r="D18" s="38" t="s">
        <v>217</v>
      </c>
      <c r="E18" s="64">
        <f t="shared" si="29"/>
        <v>1482199.9</v>
      </c>
      <c r="F18" s="83">
        <v>1482199.9</v>
      </c>
      <c r="G18" s="83"/>
      <c r="H18" s="83"/>
      <c r="I18" s="64">
        <f t="shared" si="26"/>
        <v>1822717.11</v>
      </c>
      <c r="J18" s="64">
        <v>1822717.11</v>
      </c>
      <c r="K18" s="64"/>
      <c r="L18" s="64"/>
      <c r="M18" s="65">
        <f t="shared" si="22"/>
        <v>1.2297377094682034</v>
      </c>
      <c r="N18" s="65">
        <f t="shared" si="23"/>
        <v>1.2297377094682034</v>
      </c>
      <c r="O18" s="65"/>
      <c r="P18" s="65"/>
      <c r="Q18" s="66">
        <f t="shared" si="12"/>
        <v>340517.2100000002</v>
      </c>
      <c r="R18" s="66">
        <f t="shared" si="13"/>
        <v>340517.2100000002</v>
      </c>
      <c r="S18" s="66">
        <f t="shared" si="14"/>
        <v>0</v>
      </c>
      <c r="T18" s="66">
        <f t="shared" si="15"/>
        <v>0</v>
      </c>
    </row>
    <row r="19" spans="1:21" s="39" customFormat="1" ht="56.25">
      <c r="A19" s="21" t="s">
        <v>228</v>
      </c>
      <c r="B19" s="21">
        <v>2111</v>
      </c>
      <c r="C19" s="21" t="s">
        <v>229</v>
      </c>
      <c r="D19" s="49" t="s">
        <v>230</v>
      </c>
      <c r="E19" s="64">
        <f t="shared" si="29"/>
        <v>2002929.82</v>
      </c>
      <c r="F19" s="83">
        <v>2002929.82</v>
      </c>
      <c r="G19" s="83"/>
      <c r="H19" s="83"/>
      <c r="I19" s="64">
        <f t="shared" si="26"/>
        <v>714840.73</v>
      </c>
      <c r="J19" s="64">
        <v>714840.73</v>
      </c>
      <c r="K19" s="64"/>
      <c r="L19" s="64"/>
      <c r="M19" s="65">
        <f t="shared" ref="M19" si="31">IFERROR((I19/E19),"")</f>
        <v>0.35689754222142439</v>
      </c>
      <c r="N19" s="65">
        <f t="shared" ref="N19" si="32">IFERROR((J19/F19),"")</f>
        <v>0.35689754222142439</v>
      </c>
      <c r="O19" s="65"/>
      <c r="P19" s="65"/>
      <c r="Q19" s="66">
        <f t="shared" si="12"/>
        <v>-1288089.0900000001</v>
      </c>
      <c r="R19" s="66">
        <f t="shared" si="13"/>
        <v>-1288089.0900000001</v>
      </c>
      <c r="S19" s="66">
        <f t="shared" si="14"/>
        <v>0</v>
      </c>
      <c r="T19" s="66">
        <f t="shared" si="15"/>
        <v>0</v>
      </c>
    </row>
    <row r="20" spans="1:21" s="39" customFormat="1" ht="37.5">
      <c r="A20" s="21" t="s">
        <v>231</v>
      </c>
      <c r="B20" s="21" t="s">
        <v>183</v>
      </c>
      <c r="C20" s="21" t="s">
        <v>123</v>
      </c>
      <c r="D20" s="49" t="s">
        <v>232</v>
      </c>
      <c r="E20" s="64">
        <f t="shared" si="29"/>
        <v>293638.48</v>
      </c>
      <c r="F20" s="83">
        <v>293638.48</v>
      </c>
      <c r="G20" s="83"/>
      <c r="H20" s="83"/>
      <c r="I20" s="64">
        <f t="shared" si="26"/>
        <v>2157695.7200000002</v>
      </c>
      <c r="J20" s="64">
        <f>51538.29+314933.59+1791223.84</f>
        <v>2157695.7200000002</v>
      </c>
      <c r="K20" s="64"/>
      <c r="L20" s="64"/>
      <c r="M20" s="65" t="s">
        <v>325</v>
      </c>
      <c r="N20" s="65" t="s">
        <v>325</v>
      </c>
      <c r="O20" s="65" t="str">
        <f t="shared" si="30"/>
        <v/>
      </c>
      <c r="P20" s="65" t="str">
        <f t="shared" si="11"/>
        <v/>
      </c>
      <c r="Q20" s="66">
        <f t="shared" si="12"/>
        <v>1864057.2400000002</v>
      </c>
      <c r="R20" s="66">
        <f t="shared" si="13"/>
        <v>1864057.2400000002</v>
      </c>
      <c r="S20" s="66">
        <f t="shared" si="14"/>
        <v>0</v>
      </c>
      <c r="T20" s="66">
        <f t="shared" si="15"/>
        <v>0</v>
      </c>
    </row>
    <row r="21" spans="1:21" s="39" customFormat="1" ht="37.5">
      <c r="A21" s="23" t="s">
        <v>144</v>
      </c>
      <c r="B21" s="23" t="s">
        <v>142</v>
      </c>
      <c r="C21" s="23" t="s">
        <v>4</v>
      </c>
      <c r="D21" s="24" t="s">
        <v>143</v>
      </c>
      <c r="E21" s="64">
        <f t="shared" si="29"/>
        <v>824500</v>
      </c>
      <c r="F21" s="64">
        <v>824500</v>
      </c>
      <c r="G21" s="64"/>
      <c r="H21" s="64"/>
      <c r="I21" s="64">
        <f t="shared" si="26"/>
        <v>1220500</v>
      </c>
      <c r="J21" s="64">
        <v>1220500</v>
      </c>
      <c r="K21" s="64"/>
      <c r="L21" s="64"/>
      <c r="M21" s="65">
        <f t="shared" si="22"/>
        <v>1.4802910855063676</v>
      </c>
      <c r="N21" s="65">
        <f t="shared" si="23"/>
        <v>1.4802910855063676</v>
      </c>
      <c r="O21" s="65" t="str">
        <f t="shared" si="30"/>
        <v/>
      </c>
      <c r="P21" s="65" t="str">
        <f t="shared" si="11"/>
        <v/>
      </c>
      <c r="Q21" s="66">
        <f t="shared" si="12"/>
        <v>396000</v>
      </c>
      <c r="R21" s="66">
        <f t="shared" si="13"/>
        <v>396000</v>
      </c>
      <c r="S21" s="66">
        <f t="shared" si="14"/>
        <v>0</v>
      </c>
      <c r="T21" s="66">
        <f t="shared" si="15"/>
        <v>0</v>
      </c>
    </row>
    <row r="22" spans="1:21" s="39" customFormat="1" ht="33.6" customHeight="1">
      <c r="A22" s="23" t="s">
        <v>68</v>
      </c>
      <c r="B22" s="23" t="s">
        <v>40</v>
      </c>
      <c r="C22" s="23" t="s">
        <v>7</v>
      </c>
      <c r="D22" s="24" t="s">
        <v>55</v>
      </c>
      <c r="E22" s="64">
        <f t="shared" si="29"/>
        <v>203865.07</v>
      </c>
      <c r="F22" s="64">
        <f>F23+F24+F25</f>
        <v>203865.07</v>
      </c>
      <c r="G22" s="64">
        <f t="shared" ref="G22:L22" si="33">G23+G24+G25</f>
        <v>0</v>
      </c>
      <c r="H22" s="64">
        <f t="shared" si="33"/>
        <v>0</v>
      </c>
      <c r="I22" s="64">
        <f t="shared" si="26"/>
        <v>1039541.24</v>
      </c>
      <c r="J22" s="64">
        <f>J23+J24+J25</f>
        <v>1039541.24</v>
      </c>
      <c r="K22" s="64">
        <f t="shared" si="33"/>
        <v>0</v>
      </c>
      <c r="L22" s="64">
        <f t="shared" si="33"/>
        <v>0</v>
      </c>
      <c r="M22" s="65" t="s">
        <v>287</v>
      </c>
      <c r="N22" s="65" t="s">
        <v>287</v>
      </c>
      <c r="O22" s="65" t="str">
        <f t="shared" si="30"/>
        <v/>
      </c>
      <c r="P22" s="65" t="str">
        <f t="shared" si="11"/>
        <v/>
      </c>
      <c r="Q22" s="66">
        <f t="shared" si="12"/>
        <v>835676.16999999993</v>
      </c>
      <c r="R22" s="66">
        <f t="shared" si="13"/>
        <v>835676.16999999993</v>
      </c>
      <c r="S22" s="66">
        <f t="shared" si="14"/>
        <v>0</v>
      </c>
      <c r="T22" s="66">
        <f t="shared" si="15"/>
        <v>0</v>
      </c>
    </row>
    <row r="23" spans="1:21" s="32" customFormat="1" ht="56.25">
      <c r="A23" s="26"/>
      <c r="B23" s="26"/>
      <c r="C23" s="26"/>
      <c r="D23" s="11" t="s">
        <v>211</v>
      </c>
      <c r="E23" s="67">
        <f t="shared" si="29"/>
        <v>119612.4</v>
      </c>
      <c r="F23" s="84">
        <v>119612.4</v>
      </c>
      <c r="G23" s="67"/>
      <c r="H23" s="67"/>
      <c r="I23" s="67">
        <f t="shared" si="26"/>
        <v>467268.14</v>
      </c>
      <c r="J23" s="67">
        <v>467268.14</v>
      </c>
      <c r="K23" s="67"/>
      <c r="L23" s="67"/>
      <c r="M23" s="68" t="s">
        <v>288</v>
      </c>
      <c r="N23" s="68" t="s">
        <v>288</v>
      </c>
      <c r="O23" s="68" t="str">
        <f t="shared" si="30"/>
        <v/>
      </c>
      <c r="P23" s="68" t="str">
        <f t="shared" si="11"/>
        <v/>
      </c>
      <c r="Q23" s="69">
        <f t="shared" si="12"/>
        <v>347655.74</v>
      </c>
      <c r="R23" s="69">
        <f t="shared" si="13"/>
        <v>347655.74</v>
      </c>
      <c r="S23" s="69">
        <f t="shared" si="14"/>
        <v>0</v>
      </c>
      <c r="T23" s="69">
        <f t="shared" si="15"/>
        <v>0</v>
      </c>
    </row>
    <row r="24" spans="1:21" s="32" customFormat="1" ht="56.25">
      <c r="A24" s="26"/>
      <c r="B24" s="26"/>
      <c r="C24" s="26"/>
      <c r="D24" s="11" t="s">
        <v>212</v>
      </c>
      <c r="E24" s="67">
        <f t="shared" si="29"/>
        <v>84252.67</v>
      </c>
      <c r="F24" s="84">
        <v>84252.67</v>
      </c>
      <c r="G24" s="67"/>
      <c r="H24" s="67"/>
      <c r="I24" s="67">
        <f t="shared" si="26"/>
        <v>123326.29</v>
      </c>
      <c r="J24" s="67">
        <v>123326.29</v>
      </c>
      <c r="K24" s="67"/>
      <c r="L24" s="67"/>
      <c r="M24" s="68">
        <f t="shared" si="22"/>
        <v>1.4637671423350738</v>
      </c>
      <c r="N24" s="68">
        <f t="shared" si="23"/>
        <v>1.4637671423350738</v>
      </c>
      <c r="O24" s="68" t="str">
        <f t="shared" si="30"/>
        <v/>
      </c>
      <c r="P24" s="68" t="str">
        <f t="shared" si="11"/>
        <v/>
      </c>
      <c r="Q24" s="69">
        <f t="shared" si="12"/>
        <v>39073.619999999995</v>
      </c>
      <c r="R24" s="69">
        <f t="shared" si="13"/>
        <v>39073.619999999995</v>
      </c>
      <c r="S24" s="69">
        <f t="shared" si="14"/>
        <v>0</v>
      </c>
      <c r="T24" s="69">
        <f t="shared" si="15"/>
        <v>0</v>
      </c>
    </row>
    <row r="25" spans="1:21" s="32" customFormat="1" ht="56.25">
      <c r="A25" s="26"/>
      <c r="B25" s="26"/>
      <c r="C25" s="26"/>
      <c r="D25" s="11" t="s">
        <v>213</v>
      </c>
      <c r="E25" s="67">
        <f t="shared" si="29"/>
        <v>0</v>
      </c>
      <c r="F25" s="84">
        <v>0</v>
      </c>
      <c r="G25" s="67"/>
      <c r="H25" s="67"/>
      <c r="I25" s="67">
        <f t="shared" si="26"/>
        <v>448946.81</v>
      </c>
      <c r="J25" s="67">
        <v>448946.81</v>
      </c>
      <c r="K25" s="67"/>
      <c r="L25" s="67"/>
      <c r="M25" s="68" t="str">
        <f t="shared" si="22"/>
        <v/>
      </c>
      <c r="N25" s="68" t="str">
        <f t="shared" si="23"/>
        <v/>
      </c>
      <c r="O25" s="68" t="str">
        <f t="shared" si="30"/>
        <v/>
      </c>
      <c r="P25" s="68" t="str">
        <f t="shared" si="11"/>
        <v/>
      </c>
      <c r="Q25" s="69">
        <f t="shared" si="12"/>
        <v>448946.81</v>
      </c>
      <c r="R25" s="69">
        <f t="shared" si="13"/>
        <v>448946.81</v>
      </c>
      <c r="S25" s="69">
        <f t="shared" si="14"/>
        <v>0</v>
      </c>
      <c r="T25" s="69">
        <f t="shared" si="15"/>
        <v>0</v>
      </c>
    </row>
    <row r="26" spans="1:21" s="32" customFormat="1" ht="37.5">
      <c r="A26" s="70" t="s">
        <v>296</v>
      </c>
      <c r="B26" s="71">
        <v>7520</v>
      </c>
      <c r="C26" s="70" t="s">
        <v>297</v>
      </c>
      <c r="D26" s="131" t="s">
        <v>298</v>
      </c>
      <c r="E26" s="67">
        <f t="shared" ref="E26" si="34">F26+G26</f>
        <v>0</v>
      </c>
      <c r="F26" s="67"/>
      <c r="G26" s="67"/>
      <c r="H26" s="67"/>
      <c r="I26" s="67">
        <f t="shared" ref="I26" si="35">J26+K26</f>
        <v>690873.76</v>
      </c>
      <c r="J26" s="67">
        <f>141775.76+225+225+2400+12248</f>
        <v>156873.76</v>
      </c>
      <c r="K26" s="67">
        <v>534000</v>
      </c>
      <c r="L26" s="67">
        <v>534000</v>
      </c>
      <c r="M26" s="65"/>
      <c r="N26" s="65" t="str">
        <f t="shared" ref="N26" si="36">IFERROR((J26/F26),"")</f>
        <v/>
      </c>
      <c r="O26" s="65" t="str">
        <f t="shared" ref="O26" si="37">IFERROR((K26/G26),"")</f>
        <v/>
      </c>
      <c r="P26" s="65" t="str">
        <f t="shared" ref="P26" si="38">IFERROR((L26/H26),"")</f>
        <v/>
      </c>
      <c r="Q26" s="66">
        <f t="shared" ref="Q26" si="39">I26-E26</f>
        <v>690873.76</v>
      </c>
      <c r="R26" s="66">
        <f t="shared" ref="R26" si="40">J26-F26</f>
        <v>156873.76</v>
      </c>
      <c r="S26" s="66">
        <f t="shared" ref="S26" si="41">K26-G26</f>
        <v>534000</v>
      </c>
      <c r="T26" s="66">
        <f t="shared" ref="T26" si="42">L26-H26</f>
        <v>534000</v>
      </c>
    </row>
    <row r="27" spans="1:21" s="32" customFormat="1">
      <c r="A27" s="22" t="s">
        <v>290</v>
      </c>
      <c r="B27" s="22" t="s">
        <v>258</v>
      </c>
      <c r="C27" s="22" t="s">
        <v>259</v>
      </c>
      <c r="D27" s="55" t="s">
        <v>260</v>
      </c>
      <c r="E27" s="67">
        <f t="shared" ref="E27" si="43">F27+G27</f>
        <v>0</v>
      </c>
      <c r="F27" s="67"/>
      <c r="G27" s="67"/>
      <c r="H27" s="67"/>
      <c r="I27" s="67">
        <f t="shared" ref="I27" si="44">J27+K27</f>
        <v>116613.84</v>
      </c>
      <c r="J27" s="67"/>
      <c r="K27" s="67">
        <v>116613.84</v>
      </c>
      <c r="L27" s="67">
        <v>116613.84</v>
      </c>
      <c r="M27" s="65"/>
      <c r="N27" s="65" t="str">
        <f t="shared" ref="N27" si="45">IFERROR((J27/F27),"")</f>
        <v/>
      </c>
      <c r="O27" s="65" t="str">
        <f t="shared" ref="O27" si="46">IFERROR((K27/G27),"")</f>
        <v/>
      </c>
      <c r="P27" s="65" t="str">
        <f t="shared" ref="P27" si="47">IFERROR((L27/H27),"")</f>
        <v/>
      </c>
      <c r="Q27" s="66">
        <f t="shared" ref="Q27" si="48">I27-E27</f>
        <v>116613.84</v>
      </c>
      <c r="R27" s="66">
        <f t="shared" ref="R27" si="49">J27-F27</f>
        <v>0</v>
      </c>
      <c r="S27" s="66">
        <f t="shared" ref="S27" si="50">K27-G27</f>
        <v>116613.84</v>
      </c>
      <c r="T27" s="66">
        <f t="shared" ref="T27" si="51">L27-H27</f>
        <v>116613.84</v>
      </c>
    </row>
    <row r="28" spans="1:21" s="32" customFormat="1" ht="37.5">
      <c r="A28" s="21" t="s">
        <v>251</v>
      </c>
      <c r="B28" s="21" t="s">
        <v>252</v>
      </c>
      <c r="C28" s="21" t="s">
        <v>20</v>
      </c>
      <c r="D28" s="49" t="s">
        <v>253</v>
      </c>
      <c r="E28" s="64">
        <f t="shared" si="29"/>
        <v>76895</v>
      </c>
      <c r="F28" s="64">
        <v>76895</v>
      </c>
      <c r="G28" s="64"/>
      <c r="H28" s="64"/>
      <c r="I28" s="64">
        <f t="shared" si="26"/>
        <v>0</v>
      </c>
      <c r="J28" s="64"/>
      <c r="K28" s="64"/>
      <c r="L28" s="64"/>
      <c r="M28" s="65"/>
      <c r="N28" s="65">
        <f t="shared" si="23"/>
        <v>0</v>
      </c>
      <c r="O28" s="65" t="str">
        <f t="shared" si="30"/>
        <v/>
      </c>
      <c r="P28" s="65" t="str">
        <f t="shared" si="11"/>
        <v/>
      </c>
      <c r="Q28" s="66">
        <f t="shared" si="12"/>
        <v>-76895</v>
      </c>
      <c r="R28" s="66">
        <f t="shared" si="13"/>
        <v>-76895</v>
      </c>
      <c r="S28" s="66">
        <f t="shared" si="14"/>
        <v>0</v>
      </c>
      <c r="T28" s="66">
        <f t="shared" si="15"/>
        <v>0</v>
      </c>
    </row>
    <row r="29" spans="1:21" s="39" customFormat="1" ht="37.5">
      <c r="A29" s="23" t="s">
        <v>180</v>
      </c>
      <c r="B29" s="23" t="s">
        <v>181</v>
      </c>
      <c r="C29" s="23" t="s">
        <v>5</v>
      </c>
      <c r="D29" s="38" t="s">
        <v>182</v>
      </c>
      <c r="E29" s="64">
        <f t="shared" ref="E29:E32" si="52">F29+G29</f>
        <v>4645618.68</v>
      </c>
      <c r="F29" s="85">
        <v>4645618.68</v>
      </c>
      <c r="G29" s="64"/>
      <c r="H29" s="64"/>
      <c r="I29" s="64">
        <f t="shared" ref="I29:I32" si="53">J29+K29</f>
        <v>6162374.5800000001</v>
      </c>
      <c r="J29" s="64">
        <v>6162374.5800000001</v>
      </c>
      <c r="K29" s="64"/>
      <c r="L29" s="64"/>
      <c r="M29" s="65">
        <f t="shared" si="23"/>
        <v>1.3264916913068725</v>
      </c>
      <c r="N29" s="65">
        <f t="shared" si="23"/>
        <v>1.3264916913068725</v>
      </c>
      <c r="O29" s="65" t="str">
        <f t="shared" si="30"/>
        <v/>
      </c>
      <c r="P29" s="65" t="str">
        <f t="shared" si="11"/>
        <v/>
      </c>
      <c r="Q29" s="66">
        <f t="shared" si="12"/>
        <v>1516755.9000000004</v>
      </c>
      <c r="R29" s="66">
        <f t="shared" si="13"/>
        <v>1516755.9000000004</v>
      </c>
      <c r="S29" s="66">
        <f t="shared" si="14"/>
        <v>0</v>
      </c>
      <c r="T29" s="66">
        <f t="shared" si="15"/>
        <v>0</v>
      </c>
    </row>
    <row r="30" spans="1:21" s="39" customFormat="1" ht="37.5">
      <c r="A30" s="22" t="s">
        <v>261</v>
      </c>
      <c r="B30" s="21">
        <v>8220</v>
      </c>
      <c r="C30" s="21" t="s">
        <v>216</v>
      </c>
      <c r="D30" s="49" t="s">
        <v>262</v>
      </c>
      <c r="E30" s="64">
        <f t="shared" si="52"/>
        <v>0</v>
      </c>
      <c r="F30" s="64"/>
      <c r="G30" s="64"/>
      <c r="H30" s="64"/>
      <c r="I30" s="64">
        <f t="shared" si="53"/>
        <v>51840</v>
      </c>
      <c r="J30" s="64">
        <v>51840</v>
      </c>
      <c r="K30" s="64"/>
      <c r="L30" s="64"/>
      <c r="M30" s="65"/>
      <c r="N30" s="65" t="str">
        <f t="shared" si="23"/>
        <v/>
      </c>
      <c r="O30" s="65" t="str">
        <f t="shared" si="30"/>
        <v/>
      </c>
      <c r="P30" s="65" t="str">
        <f t="shared" si="11"/>
        <v/>
      </c>
      <c r="Q30" s="66">
        <f t="shared" si="12"/>
        <v>51840</v>
      </c>
      <c r="R30" s="66">
        <f t="shared" si="13"/>
        <v>51840</v>
      </c>
      <c r="S30" s="66">
        <f t="shared" si="14"/>
        <v>0</v>
      </c>
      <c r="T30" s="66">
        <f t="shared" si="15"/>
        <v>0</v>
      </c>
    </row>
    <row r="31" spans="1:21" s="39" customFormat="1" ht="34.5" customHeight="1">
      <c r="A31" s="23" t="s">
        <v>224</v>
      </c>
      <c r="B31" s="23" t="s">
        <v>225</v>
      </c>
      <c r="C31" s="23" t="s">
        <v>216</v>
      </c>
      <c r="D31" s="24" t="s">
        <v>226</v>
      </c>
      <c r="E31" s="64">
        <f t="shared" si="52"/>
        <v>0</v>
      </c>
      <c r="F31" s="64"/>
      <c r="G31" s="64"/>
      <c r="H31" s="64"/>
      <c r="I31" s="64">
        <f t="shared" si="53"/>
        <v>396452</v>
      </c>
      <c r="J31" s="64">
        <v>396452</v>
      </c>
      <c r="K31" s="64"/>
      <c r="L31" s="64"/>
      <c r="M31" s="65"/>
      <c r="N31" s="65" t="str">
        <f t="shared" si="23"/>
        <v/>
      </c>
      <c r="O31" s="65" t="str">
        <f t="shared" si="30"/>
        <v/>
      </c>
      <c r="P31" s="65" t="str">
        <f t="shared" si="11"/>
        <v/>
      </c>
      <c r="Q31" s="66">
        <f t="shared" si="12"/>
        <v>396452</v>
      </c>
      <c r="R31" s="66">
        <f t="shared" si="13"/>
        <v>396452</v>
      </c>
      <c r="S31" s="66">
        <f t="shared" si="14"/>
        <v>0</v>
      </c>
      <c r="T31" s="66">
        <f t="shared" si="15"/>
        <v>0</v>
      </c>
    </row>
    <row r="32" spans="1:21" s="39" customFormat="1" ht="25.9" customHeight="1">
      <c r="A32" s="44" t="s">
        <v>286</v>
      </c>
      <c r="B32" s="45">
        <v>8240</v>
      </c>
      <c r="C32" s="44" t="s">
        <v>216</v>
      </c>
      <c r="D32" s="41" t="s">
        <v>234</v>
      </c>
      <c r="E32" s="64">
        <f t="shared" si="52"/>
        <v>1276500</v>
      </c>
      <c r="F32" s="64"/>
      <c r="G32" s="64">
        <v>1276500</v>
      </c>
      <c r="H32" s="64">
        <f>G32</f>
        <v>1276500</v>
      </c>
      <c r="I32" s="64">
        <f t="shared" si="53"/>
        <v>79422</v>
      </c>
      <c r="J32" s="64">
        <v>22766.400000000001</v>
      </c>
      <c r="K32" s="64">
        <v>56655.6</v>
      </c>
      <c r="L32" s="64">
        <v>56655.6</v>
      </c>
      <c r="M32" s="65">
        <f t="shared" si="23"/>
        <v>6.2218566392479434E-2</v>
      </c>
      <c r="N32" s="65"/>
      <c r="O32" s="65">
        <f t="shared" si="23"/>
        <v>4.4383548766157459E-2</v>
      </c>
      <c r="P32" s="65">
        <f t="shared" si="23"/>
        <v>4.4383548766157459E-2</v>
      </c>
      <c r="Q32" s="66">
        <f t="shared" si="12"/>
        <v>-1197078</v>
      </c>
      <c r="R32" s="66">
        <f t="shared" si="13"/>
        <v>22766.400000000001</v>
      </c>
      <c r="S32" s="66">
        <f t="shared" si="14"/>
        <v>-1219844.3999999999</v>
      </c>
      <c r="T32" s="66">
        <f t="shared" si="15"/>
        <v>-1219844.3999999999</v>
      </c>
    </row>
    <row r="33" spans="1:20" s="30" customFormat="1" ht="56.25">
      <c r="A33" s="25" t="s">
        <v>56</v>
      </c>
      <c r="B33" s="25"/>
      <c r="C33" s="25"/>
      <c r="D33" s="10" t="s">
        <v>245</v>
      </c>
      <c r="E33" s="63">
        <f t="shared" ref="E33:L33" si="54">E34</f>
        <v>94938380.180000007</v>
      </c>
      <c r="F33" s="63">
        <f t="shared" si="54"/>
        <v>86916945.800000012</v>
      </c>
      <c r="G33" s="63">
        <f t="shared" si="54"/>
        <v>8021434.3799999999</v>
      </c>
      <c r="H33" s="63">
        <f t="shared" si="54"/>
        <v>0</v>
      </c>
      <c r="I33" s="63">
        <f t="shared" si="54"/>
        <v>103904223.78000002</v>
      </c>
      <c r="J33" s="63">
        <f t="shared" si="54"/>
        <v>99442480.090000018</v>
      </c>
      <c r="K33" s="63">
        <f t="shared" si="54"/>
        <v>4461743.6900000004</v>
      </c>
      <c r="L33" s="63">
        <f t="shared" si="54"/>
        <v>472398.07</v>
      </c>
      <c r="M33" s="61">
        <f t="shared" si="22"/>
        <v>1.0944385567038437</v>
      </c>
      <c r="N33" s="61">
        <f t="shared" si="23"/>
        <v>1.1441092318041393</v>
      </c>
      <c r="O33" s="61">
        <f t="shared" si="22"/>
        <v>0.55622766186613126</v>
      </c>
      <c r="P33" s="61" t="str">
        <f t="shared" si="22"/>
        <v/>
      </c>
      <c r="Q33" s="62">
        <f t="shared" si="12"/>
        <v>8965843.6000000089</v>
      </c>
      <c r="R33" s="62">
        <f t="shared" si="13"/>
        <v>12525534.290000007</v>
      </c>
      <c r="S33" s="62">
        <f t="shared" si="14"/>
        <v>-3559690.6899999995</v>
      </c>
      <c r="T33" s="62">
        <f t="shared" si="15"/>
        <v>472398.07</v>
      </c>
    </row>
    <row r="34" spans="1:20" s="30" customFormat="1" ht="56.25">
      <c r="A34" s="25" t="s">
        <v>57</v>
      </c>
      <c r="B34" s="25"/>
      <c r="C34" s="25"/>
      <c r="D34" s="10" t="s">
        <v>246</v>
      </c>
      <c r="E34" s="63">
        <f t="shared" ref="E34:E39" si="55">F34+G34</f>
        <v>94938380.180000007</v>
      </c>
      <c r="F34" s="63">
        <f>F35+F36+F37+F38+F39+F40+F41+F42+F44+F45+F46+F48+F51+F52+F47+F43+F54+F49+F53+F50</f>
        <v>86916945.800000012</v>
      </c>
      <c r="G34" s="63">
        <f t="shared" ref="G34:H34" si="56">G35+G36+G37+G38+G39+G40+G41+G42+G44+G45+G46+G48+G51+G52+G47+G43+G54+G49+G53+G50</f>
        <v>8021434.3799999999</v>
      </c>
      <c r="H34" s="63">
        <f t="shared" si="56"/>
        <v>0</v>
      </c>
      <c r="I34" s="63">
        <f t="shared" si="26"/>
        <v>103904223.78000002</v>
      </c>
      <c r="J34" s="63">
        <f>J35+J36+J37+J38+J39+J40+J41+J42+J44+J45+J46+J48+J51+J52+J47+J43+J54+J49+J53+J50</f>
        <v>99442480.090000018</v>
      </c>
      <c r="K34" s="63">
        <f t="shared" ref="K34:L34" si="57">K35+K36+K37+K38+K39+K40+K41+K42+K44+K45+K46+K48+K51+K52+K47+K43+K54+K49+K53+K50</f>
        <v>4461743.6900000004</v>
      </c>
      <c r="L34" s="63">
        <f t="shared" si="57"/>
        <v>472398.07</v>
      </c>
      <c r="M34" s="61">
        <f t="shared" si="22"/>
        <v>1.0944385567038437</v>
      </c>
      <c r="N34" s="61">
        <f t="shared" si="23"/>
        <v>1.1441092318041393</v>
      </c>
      <c r="O34" s="61">
        <f t="shared" si="22"/>
        <v>0.55622766186613126</v>
      </c>
      <c r="P34" s="61" t="str">
        <f t="shared" si="22"/>
        <v/>
      </c>
      <c r="Q34" s="62">
        <f t="shared" si="12"/>
        <v>8965843.6000000089</v>
      </c>
      <c r="R34" s="62">
        <f t="shared" si="13"/>
        <v>12525534.290000007</v>
      </c>
      <c r="S34" s="62">
        <f t="shared" si="14"/>
        <v>-3559690.6899999995</v>
      </c>
      <c r="T34" s="62">
        <f t="shared" si="15"/>
        <v>472398.07</v>
      </c>
    </row>
    <row r="35" spans="1:20" s="39" customFormat="1" ht="60" customHeight="1">
      <c r="A35" s="23" t="s">
        <v>59</v>
      </c>
      <c r="B35" s="23" t="s">
        <v>58</v>
      </c>
      <c r="C35" s="23" t="s">
        <v>3</v>
      </c>
      <c r="D35" s="19" t="s">
        <v>227</v>
      </c>
      <c r="E35" s="64">
        <f t="shared" si="55"/>
        <v>932301.26</v>
      </c>
      <c r="F35" s="86">
        <v>932301.26</v>
      </c>
      <c r="G35" s="64"/>
      <c r="H35" s="64"/>
      <c r="I35" s="64">
        <f>J35+K35</f>
        <v>1510233.73</v>
      </c>
      <c r="J35" s="64">
        <v>1510233.73</v>
      </c>
      <c r="K35" s="64"/>
      <c r="L35" s="64"/>
      <c r="M35" s="65">
        <f t="shared" si="22"/>
        <v>1.6198988404241779</v>
      </c>
      <c r="N35" s="65">
        <f t="shared" si="23"/>
        <v>1.6198988404241779</v>
      </c>
      <c r="O35" s="65" t="str">
        <f t="shared" si="30"/>
        <v/>
      </c>
      <c r="P35" s="65" t="str">
        <f t="shared" si="11"/>
        <v/>
      </c>
      <c r="Q35" s="66">
        <f t="shared" si="12"/>
        <v>577932.47</v>
      </c>
      <c r="R35" s="66">
        <f t="shared" si="13"/>
        <v>577932.47</v>
      </c>
      <c r="S35" s="66">
        <f t="shared" si="14"/>
        <v>0</v>
      </c>
      <c r="T35" s="66">
        <f t="shared" si="15"/>
        <v>0</v>
      </c>
    </row>
    <row r="36" spans="1:20" s="39" customFormat="1" ht="37.5">
      <c r="A36" s="23" t="s">
        <v>222</v>
      </c>
      <c r="B36" s="23" t="s">
        <v>8</v>
      </c>
      <c r="C36" s="23" t="s">
        <v>6</v>
      </c>
      <c r="D36" s="19" t="s">
        <v>119</v>
      </c>
      <c r="E36" s="64">
        <f t="shared" si="55"/>
        <v>14970</v>
      </c>
      <c r="F36" s="86">
        <v>14970</v>
      </c>
      <c r="G36" s="64"/>
      <c r="H36" s="64"/>
      <c r="I36" s="64">
        <f t="shared" si="26"/>
        <v>0</v>
      </c>
      <c r="J36" s="64"/>
      <c r="K36" s="64"/>
      <c r="L36" s="64"/>
      <c r="M36" s="65">
        <f t="shared" si="22"/>
        <v>0</v>
      </c>
      <c r="N36" s="65">
        <f t="shared" si="23"/>
        <v>0</v>
      </c>
      <c r="O36" s="65" t="str">
        <f t="shared" si="30"/>
        <v/>
      </c>
      <c r="P36" s="65" t="str">
        <f t="shared" si="11"/>
        <v/>
      </c>
      <c r="Q36" s="66">
        <f t="shared" si="12"/>
        <v>-14970</v>
      </c>
      <c r="R36" s="66">
        <f t="shared" si="13"/>
        <v>-14970</v>
      </c>
      <c r="S36" s="66">
        <f t="shared" si="14"/>
        <v>0</v>
      </c>
      <c r="T36" s="66">
        <f t="shared" si="15"/>
        <v>0</v>
      </c>
    </row>
    <row r="37" spans="1:20" s="39" customFormat="1" ht="33" customHeight="1">
      <c r="A37" s="23" t="s">
        <v>60</v>
      </c>
      <c r="B37" s="23" t="s">
        <v>9</v>
      </c>
      <c r="C37" s="23" t="s">
        <v>10</v>
      </c>
      <c r="D37" s="38" t="s">
        <v>61</v>
      </c>
      <c r="E37" s="64">
        <f t="shared" si="55"/>
        <v>18164649.600000001</v>
      </c>
      <c r="F37" s="87">
        <v>17798780.82</v>
      </c>
      <c r="G37" s="87">
        <v>365868.78</v>
      </c>
      <c r="H37" s="88"/>
      <c r="I37" s="64">
        <f t="shared" si="26"/>
        <v>21024419.25</v>
      </c>
      <c r="J37" s="64">
        <v>20747992.859999999</v>
      </c>
      <c r="K37" s="64">
        <f>272726.39+3700</f>
        <v>276426.39</v>
      </c>
      <c r="L37" s="64"/>
      <c r="M37" s="65">
        <f t="shared" si="22"/>
        <v>1.1574359931501237</v>
      </c>
      <c r="N37" s="65">
        <f t="shared" si="23"/>
        <v>1.1656974188190492</v>
      </c>
      <c r="O37" s="65">
        <f t="shared" si="23"/>
        <v>0.75553423825886423</v>
      </c>
      <c r="P37" s="65"/>
      <c r="Q37" s="66">
        <f t="shared" si="12"/>
        <v>2859769.6499999985</v>
      </c>
      <c r="R37" s="66">
        <f t="shared" si="13"/>
        <v>2949212.0399999991</v>
      </c>
      <c r="S37" s="66">
        <f t="shared" si="14"/>
        <v>-89442.390000000014</v>
      </c>
      <c r="T37" s="66">
        <f t="shared" si="15"/>
        <v>0</v>
      </c>
    </row>
    <row r="38" spans="1:20" s="39" customFormat="1" ht="63" customHeight="1">
      <c r="A38" s="23" t="s">
        <v>184</v>
      </c>
      <c r="B38" s="23" t="s">
        <v>186</v>
      </c>
      <c r="C38" s="23" t="s">
        <v>12</v>
      </c>
      <c r="D38" s="19" t="s">
        <v>241</v>
      </c>
      <c r="E38" s="64">
        <f t="shared" si="55"/>
        <v>19066167.02</v>
      </c>
      <c r="F38" s="87">
        <v>17754275.620000001</v>
      </c>
      <c r="G38" s="88">
        <v>1311891.3999999999</v>
      </c>
      <c r="H38" s="88"/>
      <c r="I38" s="64">
        <f t="shared" si="26"/>
        <v>23602248.100000001</v>
      </c>
      <c r="J38" s="64">
        <v>22940142.91</v>
      </c>
      <c r="K38" s="66">
        <f>19445.19+642660</f>
        <v>662105.18999999994</v>
      </c>
      <c r="L38" s="66"/>
      <c r="M38" s="65">
        <f t="shared" si="22"/>
        <v>1.2379125849071684</v>
      </c>
      <c r="N38" s="65">
        <f t="shared" si="23"/>
        <v>1.2920911785417015</v>
      </c>
      <c r="O38" s="65">
        <f t="shared" si="30"/>
        <v>0.50469512186755705</v>
      </c>
      <c r="P38" s="65" t="str">
        <f t="shared" si="11"/>
        <v/>
      </c>
      <c r="Q38" s="66">
        <f t="shared" si="12"/>
        <v>4536081.0800000019</v>
      </c>
      <c r="R38" s="66">
        <f t="shared" si="13"/>
        <v>5185867.2899999991</v>
      </c>
      <c r="S38" s="66">
        <f t="shared" si="14"/>
        <v>-649786.21</v>
      </c>
      <c r="T38" s="66">
        <f t="shared" si="15"/>
        <v>0</v>
      </c>
    </row>
    <row r="39" spans="1:20" s="39" customFormat="1" ht="112.5">
      <c r="A39" s="23" t="s">
        <v>185</v>
      </c>
      <c r="B39" s="23" t="s">
        <v>187</v>
      </c>
      <c r="C39" s="23" t="s">
        <v>14</v>
      </c>
      <c r="D39" s="19" t="s">
        <v>242</v>
      </c>
      <c r="E39" s="64">
        <f t="shared" si="55"/>
        <v>2391969.9000000004</v>
      </c>
      <c r="F39" s="87">
        <v>2356704.4700000002</v>
      </c>
      <c r="G39" s="88">
        <v>35265.43</v>
      </c>
      <c r="H39" s="88"/>
      <c r="I39" s="64">
        <f t="shared" si="26"/>
        <v>2458677.5499999998</v>
      </c>
      <c r="J39" s="64">
        <v>2343121.5499999998</v>
      </c>
      <c r="K39" s="66">
        <f>115556</f>
        <v>115556</v>
      </c>
      <c r="L39" s="66"/>
      <c r="M39" s="65">
        <f t="shared" si="22"/>
        <v>1.0278881644789926</v>
      </c>
      <c r="N39" s="65">
        <f t="shared" si="23"/>
        <v>0.99423647717696217</v>
      </c>
      <c r="O39" s="65" t="s">
        <v>288</v>
      </c>
      <c r="P39" s="65" t="str">
        <f t="shared" si="11"/>
        <v/>
      </c>
      <c r="Q39" s="66">
        <f t="shared" si="12"/>
        <v>66707.649999999441</v>
      </c>
      <c r="R39" s="66">
        <f t="shared" si="13"/>
        <v>-13582.920000000391</v>
      </c>
      <c r="S39" s="66">
        <f t="shared" si="14"/>
        <v>80290.570000000007</v>
      </c>
      <c r="T39" s="66">
        <f t="shared" si="15"/>
        <v>0</v>
      </c>
    </row>
    <row r="40" spans="1:20" s="39" customFormat="1" ht="64.5" customHeight="1">
      <c r="A40" s="23" t="s">
        <v>191</v>
      </c>
      <c r="B40" s="23" t="s">
        <v>192</v>
      </c>
      <c r="C40" s="23" t="s">
        <v>12</v>
      </c>
      <c r="D40" s="19" t="s">
        <v>243</v>
      </c>
      <c r="E40" s="64">
        <f t="shared" ref="E40:E41" si="58">F40+G40</f>
        <v>32505350.530000001</v>
      </c>
      <c r="F40" s="89">
        <v>32505350.530000001</v>
      </c>
      <c r="G40" s="66"/>
      <c r="H40" s="66"/>
      <c r="I40" s="64">
        <f t="shared" si="26"/>
        <v>31409996.850000001</v>
      </c>
      <c r="J40" s="64">
        <f>31345519.85+64477</f>
        <v>31409996.850000001</v>
      </c>
      <c r="K40" s="66"/>
      <c r="L40" s="66"/>
      <c r="M40" s="65">
        <f t="shared" si="22"/>
        <v>0.96630235754605787</v>
      </c>
      <c r="N40" s="65">
        <f t="shared" si="23"/>
        <v>0.96630235754605787</v>
      </c>
      <c r="O40" s="65" t="str">
        <f t="shared" si="30"/>
        <v/>
      </c>
      <c r="P40" s="65" t="str">
        <f t="shared" si="11"/>
        <v/>
      </c>
      <c r="Q40" s="66">
        <f t="shared" si="12"/>
        <v>-1095353.6799999997</v>
      </c>
      <c r="R40" s="66">
        <f t="shared" si="13"/>
        <v>-1095353.6799999997</v>
      </c>
      <c r="S40" s="66">
        <f t="shared" si="14"/>
        <v>0</v>
      </c>
      <c r="T40" s="66">
        <f t="shared" si="15"/>
        <v>0</v>
      </c>
    </row>
    <row r="41" spans="1:20" s="39" customFormat="1" ht="112.5">
      <c r="A41" s="23" t="s">
        <v>193</v>
      </c>
      <c r="B41" s="23" t="s">
        <v>194</v>
      </c>
      <c r="C41" s="23" t="s">
        <v>14</v>
      </c>
      <c r="D41" s="19" t="s">
        <v>244</v>
      </c>
      <c r="E41" s="64">
        <f t="shared" si="58"/>
        <v>2816748.73</v>
      </c>
      <c r="F41" s="89">
        <v>2816748.73</v>
      </c>
      <c r="G41" s="66"/>
      <c r="H41" s="66"/>
      <c r="I41" s="64">
        <f t="shared" si="26"/>
        <v>3144407.47</v>
      </c>
      <c r="J41" s="64">
        <v>3144407.47</v>
      </c>
      <c r="K41" s="66"/>
      <c r="L41" s="66"/>
      <c r="M41" s="65">
        <f t="shared" si="22"/>
        <v>1.1163251576224196</v>
      </c>
      <c r="N41" s="65">
        <f t="shared" si="23"/>
        <v>1.1163251576224196</v>
      </c>
      <c r="O41" s="65" t="str">
        <f t="shared" si="30"/>
        <v/>
      </c>
      <c r="P41" s="65" t="str">
        <f t="shared" si="11"/>
        <v/>
      </c>
      <c r="Q41" s="66">
        <f t="shared" si="12"/>
        <v>327658.74000000022</v>
      </c>
      <c r="R41" s="66">
        <f t="shared" si="13"/>
        <v>327658.74000000022</v>
      </c>
      <c r="S41" s="66">
        <f t="shared" si="14"/>
        <v>0</v>
      </c>
      <c r="T41" s="66">
        <f t="shared" si="15"/>
        <v>0</v>
      </c>
    </row>
    <row r="42" spans="1:20" s="39" customFormat="1" ht="56.25">
      <c r="A42" s="23" t="s">
        <v>62</v>
      </c>
      <c r="B42" s="23" t="s">
        <v>32</v>
      </c>
      <c r="C42" s="23" t="s">
        <v>15</v>
      </c>
      <c r="D42" s="19" t="s">
        <v>221</v>
      </c>
      <c r="E42" s="64">
        <f t="shared" ref="E42:E54" si="59">F42+G42</f>
        <v>4770555.3100000005</v>
      </c>
      <c r="F42" s="90">
        <v>4762436.74</v>
      </c>
      <c r="G42" s="91">
        <v>8118.57</v>
      </c>
      <c r="H42" s="91"/>
      <c r="I42" s="64">
        <f t="shared" si="26"/>
        <v>4351275.84</v>
      </c>
      <c r="J42" s="64">
        <v>4338816.84</v>
      </c>
      <c r="K42" s="66">
        <f>12459</f>
        <v>12459</v>
      </c>
      <c r="L42" s="66"/>
      <c r="M42" s="65">
        <f t="shared" si="22"/>
        <v>0.91211097183568746</v>
      </c>
      <c r="N42" s="65">
        <f t="shared" si="23"/>
        <v>0.91104975811185251</v>
      </c>
      <c r="O42" s="65">
        <f t="shared" si="23"/>
        <v>1.5346298670825036</v>
      </c>
      <c r="P42" s="65" t="str">
        <f t="shared" si="11"/>
        <v/>
      </c>
      <c r="Q42" s="66">
        <f t="shared" si="12"/>
        <v>-419279.47000000067</v>
      </c>
      <c r="R42" s="66">
        <f t="shared" si="13"/>
        <v>-423619.90000000037</v>
      </c>
      <c r="S42" s="66">
        <f t="shared" si="14"/>
        <v>4340.43</v>
      </c>
      <c r="T42" s="66">
        <f t="shared" si="15"/>
        <v>0</v>
      </c>
    </row>
    <row r="43" spans="1:20" s="39" customFormat="1" ht="37.5">
      <c r="A43" s="21" t="s">
        <v>263</v>
      </c>
      <c r="B43" s="21" t="s">
        <v>264</v>
      </c>
      <c r="C43" s="21" t="s">
        <v>265</v>
      </c>
      <c r="D43" s="49" t="s">
        <v>266</v>
      </c>
      <c r="E43" s="64">
        <f t="shared" si="59"/>
        <v>5500</v>
      </c>
      <c r="F43" s="90">
        <v>5500</v>
      </c>
      <c r="G43" s="91"/>
      <c r="H43" s="91"/>
      <c r="I43" s="64">
        <f t="shared" si="26"/>
        <v>0</v>
      </c>
      <c r="J43" s="64"/>
      <c r="K43" s="66"/>
      <c r="L43" s="66"/>
      <c r="M43" s="65"/>
      <c r="N43" s="65"/>
      <c r="O43" s="65" t="str">
        <f t="shared" si="30"/>
        <v/>
      </c>
      <c r="P43" s="65" t="str">
        <f t="shared" si="11"/>
        <v/>
      </c>
      <c r="Q43" s="66">
        <f t="shared" si="12"/>
        <v>-5500</v>
      </c>
      <c r="R43" s="66">
        <f t="shared" si="13"/>
        <v>-5500</v>
      </c>
      <c r="S43" s="66">
        <f t="shared" si="14"/>
        <v>0</v>
      </c>
      <c r="T43" s="66">
        <f t="shared" si="15"/>
        <v>0</v>
      </c>
    </row>
    <row r="44" spans="1:20" s="39" customFormat="1" ht="43.9" customHeight="1">
      <c r="A44" s="23" t="s">
        <v>195</v>
      </c>
      <c r="B44" s="23" t="s">
        <v>196</v>
      </c>
      <c r="C44" s="23" t="s">
        <v>16</v>
      </c>
      <c r="D44" s="19" t="s">
        <v>148</v>
      </c>
      <c r="E44" s="64">
        <f t="shared" si="59"/>
        <v>10061644.68</v>
      </c>
      <c r="F44" s="90">
        <v>3761354.48</v>
      </c>
      <c r="G44" s="91">
        <v>6300290.2000000002</v>
      </c>
      <c r="H44" s="91"/>
      <c r="I44" s="64">
        <f t="shared" si="26"/>
        <v>4408799.63</v>
      </c>
      <c r="J44" s="64">
        <v>4408799.63</v>
      </c>
      <c r="K44" s="66"/>
      <c r="L44" s="66"/>
      <c r="M44" s="65">
        <f t="shared" si="22"/>
        <v>0.43817882366325023</v>
      </c>
      <c r="N44" s="65">
        <f t="shared" si="23"/>
        <v>1.1721308516500151</v>
      </c>
      <c r="O44" s="65"/>
      <c r="P44" s="65" t="str">
        <f t="shared" si="11"/>
        <v/>
      </c>
      <c r="Q44" s="66">
        <f t="shared" si="12"/>
        <v>-5652845.0499999998</v>
      </c>
      <c r="R44" s="66">
        <f t="shared" si="13"/>
        <v>647445.14999999991</v>
      </c>
      <c r="S44" s="66">
        <f t="shared" si="14"/>
        <v>-6300290.2000000002</v>
      </c>
      <c r="T44" s="66">
        <f t="shared" si="15"/>
        <v>0</v>
      </c>
    </row>
    <row r="45" spans="1:20" s="39" customFormat="1" ht="64.150000000000006" customHeight="1">
      <c r="A45" s="23" t="s">
        <v>197</v>
      </c>
      <c r="B45" s="23" t="s">
        <v>198</v>
      </c>
      <c r="C45" s="23" t="s">
        <v>16</v>
      </c>
      <c r="D45" s="19" t="s">
        <v>199</v>
      </c>
      <c r="E45" s="64">
        <f t="shared" si="59"/>
        <v>81482.3</v>
      </c>
      <c r="F45" s="92">
        <v>81482.3</v>
      </c>
      <c r="G45" s="66"/>
      <c r="H45" s="66"/>
      <c r="I45" s="64">
        <f t="shared" si="26"/>
        <v>115874.65</v>
      </c>
      <c r="J45" s="64">
        <v>115874.65</v>
      </c>
      <c r="K45" s="66"/>
      <c r="L45" s="66"/>
      <c r="M45" s="65">
        <f t="shared" si="22"/>
        <v>1.4220836917956414</v>
      </c>
      <c r="N45" s="65">
        <f t="shared" si="23"/>
        <v>1.4220836917956414</v>
      </c>
      <c r="O45" s="65" t="str">
        <f t="shared" si="30"/>
        <v/>
      </c>
      <c r="P45" s="65" t="str">
        <f t="shared" si="11"/>
        <v/>
      </c>
      <c r="Q45" s="66">
        <f t="shared" si="12"/>
        <v>34392.349999999991</v>
      </c>
      <c r="R45" s="66">
        <f t="shared" si="13"/>
        <v>34392.349999999991</v>
      </c>
      <c r="S45" s="66">
        <f t="shared" si="14"/>
        <v>0</v>
      </c>
      <c r="T45" s="66">
        <f t="shared" si="15"/>
        <v>0</v>
      </c>
    </row>
    <row r="46" spans="1:20" s="39" customFormat="1" ht="56.25">
      <c r="A46" s="23" t="s">
        <v>200</v>
      </c>
      <c r="B46" s="23" t="s">
        <v>201</v>
      </c>
      <c r="C46" s="23" t="s">
        <v>16</v>
      </c>
      <c r="D46" s="19" t="s">
        <v>202</v>
      </c>
      <c r="E46" s="64">
        <f t="shared" si="59"/>
        <v>544507.34</v>
      </c>
      <c r="F46" s="92">
        <v>544507.34</v>
      </c>
      <c r="G46" s="66"/>
      <c r="H46" s="66"/>
      <c r="I46" s="64">
        <f t="shared" si="26"/>
        <v>474999.29</v>
      </c>
      <c r="J46" s="64">
        <v>474999.29</v>
      </c>
      <c r="K46" s="66"/>
      <c r="L46" s="66"/>
      <c r="M46" s="65">
        <f t="shared" si="22"/>
        <v>0.87234689985997249</v>
      </c>
      <c r="N46" s="65">
        <f t="shared" si="23"/>
        <v>0.87234689985997249</v>
      </c>
      <c r="O46" s="65" t="str">
        <f t="shared" si="30"/>
        <v/>
      </c>
      <c r="P46" s="65" t="str">
        <f t="shared" si="11"/>
        <v/>
      </c>
      <c r="Q46" s="66">
        <f t="shared" si="12"/>
        <v>-69508.049999999988</v>
      </c>
      <c r="R46" s="66">
        <f t="shared" si="13"/>
        <v>-69508.049999999988</v>
      </c>
      <c r="S46" s="66">
        <f t="shared" si="14"/>
        <v>0</v>
      </c>
      <c r="T46" s="66">
        <f t="shared" si="15"/>
        <v>0</v>
      </c>
    </row>
    <row r="47" spans="1:20" s="39" customFormat="1" ht="56.25">
      <c r="A47" s="22" t="s">
        <v>279</v>
      </c>
      <c r="B47" s="22">
        <v>1160</v>
      </c>
      <c r="C47" s="21" t="s">
        <v>16</v>
      </c>
      <c r="D47" s="49" t="s">
        <v>240</v>
      </c>
      <c r="E47" s="64">
        <f t="shared" ref="E47" si="60">F47+G47</f>
        <v>825758.55</v>
      </c>
      <c r="F47" s="93">
        <v>825758.55</v>
      </c>
      <c r="G47" s="66"/>
      <c r="H47" s="66"/>
      <c r="I47" s="64">
        <f t="shared" si="26"/>
        <v>966051.26</v>
      </c>
      <c r="J47" s="64">
        <v>966051.26</v>
      </c>
      <c r="K47" s="66"/>
      <c r="L47" s="66"/>
      <c r="M47" s="65">
        <f t="shared" si="22"/>
        <v>1.1698955584534971</v>
      </c>
      <c r="N47" s="65">
        <f t="shared" si="23"/>
        <v>1.1698955584534971</v>
      </c>
      <c r="O47" s="65" t="str">
        <f t="shared" si="30"/>
        <v/>
      </c>
      <c r="P47" s="65" t="str">
        <f t="shared" si="11"/>
        <v/>
      </c>
      <c r="Q47" s="66">
        <f t="shared" si="12"/>
        <v>140292.70999999996</v>
      </c>
      <c r="R47" s="66">
        <f t="shared" si="13"/>
        <v>140292.70999999996</v>
      </c>
      <c r="S47" s="66">
        <f t="shared" si="14"/>
        <v>0</v>
      </c>
      <c r="T47" s="66">
        <f t="shared" si="15"/>
        <v>0</v>
      </c>
    </row>
    <row r="48" spans="1:20" s="39" customFormat="1" ht="80.25" customHeight="1">
      <c r="A48" s="23" t="s">
        <v>218</v>
      </c>
      <c r="B48" s="23" t="s">
        <v>219</v>
      </c>
      <c r="C48" s="23" t="s">
        <v>16</v>
      </c>
      <c r="D48" s="24" t="s">
        <v>220</v>
      </c>
      <c r="E48" s="64">
        <f t="shared" si="59"/>
        <v>0</v>
      </c>
      <c r="F48" s="64"/>
      <c r="G48" s="64"/>
      <c r="H48" s="64"/>
      <c r="I48" s="64">
        <f t="shared" si="26"/>
        <v>98445.26</v>
      </c>
      <c r="J48" s="64">
        <v>98445.26</v>
      </c>
      <c r="K48" s="64"/>
      <c r="L48" s="64"/>
      <c r="M48" s="65" t="str">
        <f t="shared" si="22"/>
        <v/>
      </c>
      <c r="N48" s="65" t="str">
        <f t="shared" si="23"/>
        <v/>
      </c>
      <c r="O48" s="65" t="str">
        <f t="shared" si="30"/>
        <v/>
      </c>
      <c r="P48" s="65" t="str">
        <f t="shared" si="11"/>
        <v/>
      </c>
      <c r="Q48" s="66">
        <f t="shared" si="12"/>
        <v>98445.26</v>
      </c>
      <c r="R48" s="66">
        <f t="shared" si="13"/>
        <v>98445.26</v>
      </c>
      <c r="S48" s="66">
        <f t="shared" si="14"/>
        <v>0</v>
      </c>
      <c r="T48" s="66">
        <f t="shared" si="15"/>
        <v>0</v>
      </c>
    </row>
    <row r="49" spans="1:21" s="39" customFormat="1" ht="69.75" customHeight="1">
      <c r="A49" s="74" t="s">
        <v>299</v>
      </c>
      <c r="B49" s="74" t="s">
        <v>300</v>
      </c>
      <c r="C49" s="74" t="s">
        <v>16</v>
      </c>
      <c r="D49" s="56" t="s">
        <v>301</v>
      </c>
      <c r="E49" s="64">
        <f t="shared" ref="E49:E50" si="61">F49+G49</f>
        <v>0</v>
      </c>
      <c r="F49" s="64"/>
      <c r="G49" s="66"/>
      <c r="H49" s="64"/>
      <c r="I49" s="64">
        <f t="shared" ref="I49:I50" si="62">J49+K49</f>
        <v>2922799.04</v>
      </c>
      <c r="J49" s="64"/>
      <c r="K49" s="64">
        <v>2922799.04</v>
      </c>
      <c r="L49" s="64"/>
      <c r="M49" s="65" t="str">
        <f t="shared" ref="M49" si="63">IFERROR((I49/E49),"")</f>
        <v/>
      </c>
      <c r="N49" s="65" t="str">
        <f t="shared" ref="N49" si="64">IFERROR((J49/F49),"")</f>
        <v/>
      </c>
      <c r="O49" s="65" t="str">
        <f t="shared" ref="O49" si="65">IFERROR((K49/G49),"")</f>
        <v/>
      </c>
      <c r="P49" s="65" t="str">
        <f t="shared" ref="P49" si="66">IFERROR((L49/H49),"")</f>
        <v/>
      </c>
      <c r="Q49" s="66">
        <f t="shared" ref="Q49" si="67">I49-E49</f>
        <v>2922799.04</v>
      </c>
      <c r="R49" s="66">
        <f t="shared" ref="R49" si="68">J49-F49</f>
        <v>0</v>
      </c>
      <c r="S49" s="66">
        <f t="shared" ref="S49" si="69">K49-G49</f>
        <v>2922799.04</v>
      </c>
      <c r="T49" s="66">
        <f t="shared" ref="T49" si="70">L49-H49</f>
        <v>0</v>
      </c>
    </row>
    <row r="50" spans="1:21" s="39" customFormat="1" ht="72.75" customHeight="1">
      <c r="A50" s="74" t="s">
        <v>313</v>
      </c>
      <c r="B50" s="133" t="s">
        <v>314</v>
      </c>
      <c r="C50" s="133" t="s">
        <v>16</v>
      </c>
      <c r="D50" s="132" t="s">
        <v>315</v>
      </c>
      <c r="E50" s="64">
        <f t="shared" si="61"/>
        <v>0</v>
      </c>
      <c r="F50" s="64"/>
      <c r="G50" s="66"/>
      <c r="H50" s="64"/>
      <c r="I50" s="64">
        <f t="shared" si="62"/>
        <v>3525600</v>
      </c>
      <c r="J50" s="64">
        <v>3525600</v>
      </c>
      <c r="K50" s="64"/>
      <c r="L50" s="64"/>
      <c r="M50" s="65" t="str">
        <f t="shared" ref="M50" si="71">IFERROR((I50/E50),"")</f>
        <v/>
      </c>
      <c r="N50" s="65" t="str">
        <f t="shared" ref="N50" si="72">IFERROR((J50/F50),"")</f>
        <v/>
      </c>
      <c r="O50" s="65" t="str">
        <f t="shared" ref="O50" si="73">IFERROR((K50/G50),"")</f>
        <v/>
      </c>
      <c r="P50" s="65" t="str">
        <f t="shared" ref="P50" si="74">IFERROR((L50/H50),"")</f>
        <v/>
      </c>
      <c r="Q50" s="66">
        <f t="shared" ref="Q50" si="75">I50-E50</f>
        <v>3525600</v>
      </c>
      <c r="R50" s="66">
        <f t="shared" ref="R50" si="76">J50-F50</f>
        <v>3525600</v>
      </c>
      <c r="S50" s="66">
        <f t="shared" ref="S50" si="77">K50-G50</f>
        <v>0</v>
      </c>
      <c r="T50" s="66">
        <f t="shared" ref="T50" si="78">L50-H50</f>
        <v>0</v>
      </c>
    </row>
    <row r="51" spans="1:21" s="39" customFormat="1" ht="45.6" customHeight="1">
      <c r="A51" s="23" t="s">
        <v>145</v>
      </c>
      <c r="B51" s="23" t="s">
        <v>142</v>
      </c>
      <c r="C51" s="23" t="s">
        <v>4</v>
      </c>
      <c r="D51" s="19" t="s">
        <v>143</v>
      </c>
      <c r="E51" s="64">
        <f t="shared" si="59"/>
        <v>540538.12</v>
      </c>
      <c r="F51" s="94">
        <v>540538.12</v>
      </c>
      <c r="G51" s="94"/>
      <c r="H51" s="94"/>
      <c r="I51" s="64">
        <f t="shared" si="26"/>
        <v>931172.38</v>
      </c>
      <c r="J51" s="64">
        <v>931172.38</v>
      </c>
      <c r="K51" s="64"/>
      <c r="L51" s="64"/>
      <c r="M51" s="65">
        <f t="shared" si="22"/>
        <v>1.7226766171458916</v>
      </c>
      <c r="N51" s="65">
        <f t="shared" si="23"/>
        <v>1.7226766171458916</v>
      </c>
      <c r="O51" s="65" t="str">
        <f t="shared" si="30"/>
        <v/>
      </c>
      <c r="P51" s="65" t="str">
        <f t="shared" si="11"/>
        <v/>
      </c>
      <c r="Q51" s="66">
        <f t="shared" si="12"/>
        <v>390634.26</v>
      </c>
      <c r="R51" s="66">
        <f t="shared" si="13"/>
        <v>390634.26</v>
      </c>
      <c r="S51" s="66">
        <f t="shared" si="14"/>
        <v>0</v>
      </c>
      <c r="T51" s="66">
        <f t="shared" si="15"/>
        <v>0</v>
      </c>
    </row>
    <row r="52" spans="1:21" s="39" customFormat="1" ht="56.25">
      <c r="A52" s="23" t="s">
        <v>69</v>
      </c>
      <c r="B52" s="23" t="s">
        <v>47</v>
      </c>
      <c r="C52" s="23" t="s">
        <v>18</v>
      </c>
      <c r="D52" s="38" t="s">
        <v>19</v>
      </c>
      <c r="E52" s="64">
        <f t="shared" si="59"/>
        <v>2216236.84</v>
      </c>
      <c r="F52" s="94">
        <v>2216236.84</v>
      </c>
      <c r="G52" s="95"/>
      <c r="H52" s="95"/>
      <c r="I52" s="64">
        <f t="shared" si="26"/>
        <v>2399649.41</v>
      </c>
      <c r="J52" s="64">
        <v>2399649.41</v>
      </c>
      <c r="K52" s="66"/>
      <c r="L52" s="66"/>
      <c r="M52" s="65">
        <f t="shared" si="22"/>
        <v>1.0827585602268033</v>
      </c>
      <c r="N52" s="65">
        <f t="shared" si="23"/>
        <v>1.0827585602268033</v>
      </c>
      <c r="O52" s="65" t="str">
        <f t="shared" si="30"/>
        <v/>
      </c>
      <c r="P52" s="65" t="str">
        <f t="shared" si="11"/>
        <v/>
      </c>
      <c r="Q52" s="66">
        <f t="shared" si="12"/>
        <v>183412.5700000003</v>
      </c>
      <c r="R52" s="66">
        <f t="shared" si="13"/>
        <v>183412.5700000003</v>
      </c>
      <c r="S52" s="66">
        <f t="shared" si="14"/>
        <v>0</v>
      </c>
      <c r="T52" s="66">
        <f t="shared" si="15"/>
        <v>0</v>
      </c>
    </row>
    <row r="53" spans="1:21" s="39" customFormat="1" ht="33.75" customHeight="1">
      <c r="A53" s="70" t="s">
        <v>302</v>
      </c>
      <c r="B53" s="71">
        <v>7520</v>
      </c>
      <c r="C53" s="70" t="s">
        <v>297</v>
      </c>
      <c r="D53" s="57" t="s">
        <v>298</v>
      </c>
      <c r="E53" s="64">
        <f t="shared" ref="E53" si="79">F53+G53</f>
        <v>0</v>
      </c>
      <c r="F53" s="64"/>
      <c r="G53" s="66"/>
      <c r="H53" s="66"/>
      <c r="I53" s="64">
        <f t="shared" ref="I53" si="80">J53+K53</f>
        <v>87176</v>
      </c>
      <c r="J53" s="64">
        <v>87176</v>
      </c>
      <c r="K53" s="66"/>
      <c r="L53" s="66"/>
      <c r="M53" s="65" t="str">
        <f t="shared" ref="M53" si="81">IFERROR((I53/E53),"")</f>
        <v/>
      </c>
      <c r="N53" s="65" t="str">
        <f t="shared" ref="N53" si="82">IFERROR((J53/F53),"")</f>
        <v/>
      </c>
      <c r="O53" s="65" t="str">
        <f t="shared" ref="O53" si="83">IFERROR((K53/G53),"")</f>
        <v/>
      </c>
      <c r="P53" s="65" t="str">
        <f t="shared" ref="P53" si="84">IFERROR((L53/H53),"")</f>
        <v/>
      </c>
      <c r="Q53" s="66">
        <f t="shared" ref="Q53" si="85">I53-E53</f>
        <v>87176</v>
      </c>
      <c r="R53" s="66">
        <f t="shared" ref="R53" si="86">J53-F53</f>
        <v>87176</v>
      </c>
      <c r="S53" s="66">
        <f t="shared" ref="S53" si="87">K53-G53</f>
        <v>0</v>
      </c>
      <c r="T53" s="66">
        <f t="shared" ref="T53" si="88">L53-H53</f>
        <v>0</v>
      </c>
    </row>
    <row r="54" spans="1:21" s="39" customFormat="1" ht="68.25" customHeight="1">
      <c r="A54" s="22" t="s">
        <v>282</v>
      </c>
      <c r="B54" s="21">
        <v>8110</v>
      </c>
      <c r="C54" s="22" t="s">
        <v>5</v>
      </c>
      <c r="D54" s="49" t="s">
        <v>131</v>
      </c>
      <c r="E54" s="64">
        <f t="shared" si="59"/>
        <v>0</v>
      </c>
      <c r="F54" s="64"/>
      <c r="G54" s="66"/>
      <c r="H54" s="66"/>
      <c r="I54" s="64">
        <f t="shared" si="26"/>
        <v>472398.07</v>
      </c>
      <c r="J54" s="64"/>
      <c r="K54" s="66">
        <f>472398.07</f>
        <v>472398.07</v>
      </c>
      <c r="L54" s="66">
        <f>472398.07</f>
        <v>472398.07</v>
      </c>
      <c r="M54" s="65" t="str">
        <f t="shared" si="22"/>
        <v/>
      </c>
      <c r="N54" s="65" t="str">
        <f t="shared" si="23"/>
        <v/>
      </c>
      <c r="O54" s="65" t="str">
        <f t="shared" si="30"/>
        <v/>
      </c>
      <c r="P54" s="65" t="str">
        <f t="shared" si="11"/>
        <v/>
      </c>
      <c r="Q54" s="66">
        <f t="shared" si="12"/>
        <v>472398.07</v>
      </c>
      <c r="R54" s="66">
        <f t="shared" si="13"/>
        <v>0</v>
      </c>
      <c r="S54" s="66">
        <f t="shared" si="14"/>
        <v>472398.07</v>
      </c>
      <c r="T54" s="66">
        <f t="shared" si="15"/>
        <v>472398.07</v>
      </c>
    </row>
    <row r="55" spans="1:21" s="30" customFormat="1" ht="56.25">
      <c r="A55" s="25" t="s">
        <v>70</v>
      </c>
      <c r="B55" s="25"/>
      <c r="C55" s="25"/>
      <c r="D55" s="10" t="s">
        <v>205</v>
      </c>
      <c r="E55" s="63">
        <f t="shared" ref="E55:L55" si="89">E56</f>
        <v>16289124.740000002</v>
      </c>
      <c r="F55" s="63">
        <f t="shared" si="89"/>
        <v>16171011.060000002</v>
      </c>
      <c r="G55" s="63">
        <f t="shared" si="89"/>
        <v>118113.68</v>
      </c>
      <c r="H55" s="63">
        <f t="shared" si="89"/>
        <v>0</v>
      </c>
      <c r="I55" s="63">
        <f t="shared" si="89"/>
        <v>22434603.009999998</v>
      </c>
      <c r="J55" s="63">
        <f t="shared" si="89"/>
        <v>22434603.009999998</v>
      </c>
      <c r="K55" s="63">
        <f t="shared" si="89"/>
        <v>0</v>
      </c>
      <c r="L55" s="63">
        <f t="shared" si="89"/>
        <v>0</v>
      </c>
      <c r="M55" s="61">
        <f t="shared" si="22"/>
        <v>1.3772749222620291</v>
      </c>
      <c r="N55" s="61">
        <f t="shared" si="23"/>
        <v>1.3873345906919436</v>
      </c>
      <c r="O55" s="61">
        <f t="shared" si="30"/>
        <v>0</v>
      </c>
      <c r="P55" s="61" t="str">
        <f t="shared" si="11"/>
        <v/>
      </c>
      <c r="Q55" s="62">
        <f t="shared" si="12"/>
        <v>6145478.2699999958</v>
      </c>
      <c r="R55" s="62">
        <f t="shared" si="13"/>
        <v>6263591.9499999955</v>
      </c>
      <c r="S55" s="62">
        <f t="shared" si="14"/>
        <v>-118113.68</v>
      </c>
      <c r="T55" s="62">
        <f t="shared" si="15"/>
        <v>0</v>
      </c>
      <c r="U55" s="79" t="e">
        <f>I61+I62+I66+I69+#REF!+#REF!+#REF!+L64</f>
        <v>#REF!</v>
      </c>
    </row>
    <row r="56" spans="1:21" s="30" customFormat="1" ht="56.25">
      <c r="A56" s="25" t="s">
        <v>71</v>
      </c>
      <c r="B56" s="25"/>
      <c r="C56" s="25"/>
      <c r="D56" s="10" t="s">
        <v>205</v>
      </c>
      <c r="E56" s="63">
        <f t="shared" ref="E56:E65" si="90">F56+G56</f>
        <v>16289124.740000002</v>
      </c>
      <c r="F56" s="63">
        <f>F57+F58+F59+F60+F62+F63+F64+F65+F66+F67+F68+F70+F61+F69+F71</f>
        <v>16171011.060000002</v>
      </c>
      <c r="G56" s="63">
        <f t="shared" ref="G56:H56" si="91">G57+G58+G59+G60+G62+G63+G64+G65+G66+G67+G68+G70+G61+G69+G71</f>
        <v>118113.68</v>
      </c>
      <c r="H56" s="63">
        <f t="shared" si="91"/>
        <v>0</v>
      </c>
      <c r="I56" s="63">
        <f t="shared" ref="I56" si="92">J56+K56</f>
        <v>22434603.009999998</v>
      </c>
      <c r="J56" s="63">
        <f>J57+J58+J59+J60+J62+J63+J64+J65+J66+J67+J68+J70+J61+J69+J71</f>
        <v>22434603.009999998</v>
      </c>
      <c r="K56" s="63">
        <f t="shared" ref="K56:L56" si="93">K57+K58+K59+K60+K62+K63+K64+K65+K66+K67+K68+K70+K61+K69+K71</f>
        <v>0</v>
      </c>
      <c r="L56" s="63">
        <f t="shared" si="93"/>
        <v>0</v>
      </c>
      <c r="M56" s="61">
        <f t="shared" si="22"/>
        <v>1.3772749222620291</v>
      </c>
      <c r="N56" s="61">
        <f t="shared" si="23"/>
        <v>1.3873345906919436</v>
      </c>
      <c r="O56" s="61">
        <f t="shared" si="30"/>
        <v>0</v>
      </c>
      <c r="P56" s="61" t="str">
        <f t="shared" si="11"/>
        <v/>
      </c>
      <c r="Q56" s="62">
        <f t="shared" si="12"/>
        <v>6145478.2699999958</v>
      </c>
      <c r="R56" s="62">
        <f t="shared" si="13"/>
        <v>6263591.9499999955</v>
      </c>
      <c r="S56" s="62">
        <f t="shared" si="14"/>
        <v>-118113.68</v>
      </c>
      <c r="T56" s="62">
        <f t="shared" si="15"/>
        <v>0</v>
      </c>
    </row>
    <row r="57" spans="1:21" s="39" customFormat="1" ht="56.25">
      <c r="A57" s="23" t="s">
        <v>72</v>
      </c>
      <c r="B57" s="23" t="s">
        <v>58</v>
      </c>
      <c r="C57" s="23" t="s">
        <v>3</v>
      </c>
      <c r="D57" s="24" t="s">
        <v>227</v>
      </c>
      <c r="E57" s="64">
        <f t="shared" si="90"/>
        <v>3236845.4</v>
      </c>
      <c r="F57" s="96">
        <v>3236845.4</v>
      </c>
      <c r="G57" s="64"/>
      <c r="H57" s="64"/>
      <c r="I57" s="64">
        <f t="shared" si="26"/>
        <v>4790444.67</v>
      </c>
      <c r="J57" s="64">
        <v>4790444.67</v>
      </c>
      <c r="K57" s="64"/>
      <c r="L57" s="64"/>
      <c r="M57" s="65">
        <f t="shared" si="22"/>
        <v>1.4799732696532246</v>
      </c>
      <c r="N57" s="65">
        <f t="shared" si="23"/>
        <v>1.4799732696532246</v>
      </c>
      <c r="O57" s="65" t="str">
        <f t="shared" si="30"/>
        <v/>
      </c>
      <c r="P57" s="65" t="str">
        <f t="shared" si="11"/>
        <v/>
      </c>
      <c r="Q57" s="66">
        <f t="shared" si="12"/>
        <v>1553599.27</v>
      </c>
      <c r="R57" s="66">
        <f t="shared" si="13"/>
        <v>1553599.27</v>
      </c>
      <c r="S57" s="66">
        <f t="shared" si="14"/>
        <v>0</v>
      </c>
      <c r="T57" s="66">
        <f t="shared" si="15"/>
        <v>0</v>
      </c>
    </row>
    <row r="58" spans="1:21" s="39" customFormat="1" ht="37.5">
      <c r="A58" s="23" t="s">
        <v>159</v>
      </c>
      <c r="B58" s="23" t="s">
        <v>8</v>
      </c>
      <c r="C58" s="23" t="s">
        <v>6</v>
      </c>
      <c r="D58" s="12" t="s">
        <v>106</v>
      </c>
      <c r="E58" s="64">
        <f t="shared" si="90"/>
        <v>14970</v>
      </c>
      <c r="F58" s="96">
        <v>14970</v>
      </c>
      <c r="G58" s="64"/>
      <c r="H58" s="64"/>
      <c r="I58" s="64">
        <f t="shared" si="26"/>
        <v>0</v>
      </c>
      <c r="J58" s="64"/>
      <c r="K58" s="64"/>
      <c r="L58" s="64"/>
      <c r="M58" s="65">
        <f t="shared" si="22"/>
        <v>0</v>
      </c>
      <c r="N58" s="65">
        <f t="shared" si="23"/>
        <v>0</v>
      </c>
      <c r="O58" s="65" t="str">
        <f t="shared" si="30"/>
        <v/>
      </c>
      <c r="P58" s="65" t="str">
        <f t="shared" si="11"/>
        <v/>
      </c>
      <c r="Q58" s="66">
        <f t="shared" si="12"/>
        <v>-14970</v>
      </c>
      <c r="R58" s="66">
        <f t="shared" si="13"/>
        <v>-14970</v>
      </c>
      <c r="S58" s="66">
        <f t="shared" si="14"/>
        <v>0</v>
      </c>
      <c r="T58" s="66">
        <f t="shared" si="15"/>
        <v>0</v>
      </c>
    </row>
    <row r="59" spans="1:21" s="39" customFormat="1" ht="37.5">
      <c r="A59" s="23" t="s">
        <v>111</v>
      </c>
      <c r="B59" s="23" t="s">
        <v>31</v>
      </c>
      <c r="C59" s="23" t="s">
        <v>13</v>
      </c>
      <c r="D59" s="38" t="s">
        <v>110</v>
      </c>
      <c r="E59" s="64">
        <f t="shared" si="90"/>
        <v>50000</v>
      </c>
      <c r="F59" s="96">
        <v>50000</v>
      </c>
      <c r="G59" s="64"/>
      <c r="H59" s="64"/>
      <c r="I59" s="64">
        <f t="shared" si="26"/>
        <v>51894.22</v>
      </c>
      <c r="J59" s="64">
        <v>51894.22</v>
      </c>
      <c r="K59" s="64"/>
      <c r="L59" s="64"/>
      <c r="M59" s="65">
        <f t="shared" ref="M59" si="94">IFERROR((I59/E59),"")</f>
        <v>1.0378844</v>
      </c>
      <c r="N59" s="65">
        <f t="shared" ref="N59" si="95">IFERROR((J59/F59),"")</f>
        <v>1.0378844</v>
      </c>
      <c r="O59" s="65" t="str">
        <f t="shared" si="30"/>
        <v/>
      </c>
      <c r="P59" s="65" t="str">
        <f t="shared" si="11"/>
        <v/>
      </c>
      <c r="Q59" s="66">
        <f t="shared" si="12"/>
        <v>1894.2200000000012</v>
      </c>
      <c r="R59" s="66">
        <f t="shared" si="13"/>
        <v>1894.2200000000012</v>
      </c>
      <c r="S59" s="66">
        <f t="shared" si="14"/>
        <v>0</v>
      </c>
      <c r="T59" s="66">
        <f t="shared" si="15"/>
        <v>0</v>
      </c>
    </row>
    <row r="60" spans="1:21" s="39" customFormat="1" ht="37.5">
      <c r="A60" s="23" t="s">
        <v>112</v>
      </c>
      <c r="B60" s="23" t="s">
        <v>113</v>
      </c>
      <c r="C60" s="23" t="s">
        <v>32</v>
      </c>
      <c r="D60" s="38" t="s">
        <v>33</v>
      </c>
      <c r="E60" s="64">
        <f t="shared" si="90"/>
        <v>844.9</v>
      </c>
      <c r="F60" s="96">
        <v>844.9</v>
      </c>
      <c r="G60" s="64"/>
      <c r="H60" s="64"/>
      <c r="I60" s="64">
        <f t="shared" si="26"/>
        <v>1148.71</v>
      </c>
      <c r="J60" s="64">
        <v>1148.71</v>
      </c>
      <c r="K60" s="64"/>
      <c r="L60" s="64"/>
      <c r="M60" s="65">
        <f t="shared" si="22"/>
        <v>1.3595810155047936</v>
      </c>
      <c r="N60" s="65">
        <f t="shared" si="23"/>
        <v>1.3595810155047936</v>
      </c>
      <c r="O60" s="65" t="str">
        <f t="shared" si="30"/>
        <v/>
      </c>
      <c r="P60" s="65" t="str">
        <f t="shared" si="11"/>
        <v/>
      </c>
      <c r="Q60" s="66">
        <f t="shared" si="12"/>
        <v>303.81000000000006</v>
      </c>
      <c r="R60" s="66">
        <f t="shared" si="13"/>
        <v>303.81000000000006</v>
      </c>
      <c r="S60" s="66">
        <f t="shared" si="14"/>
        <v>0</v>
      </c>
      <c r="T60" s="66">
        <f t="shared" si="15"/>
        <v>0</v>
      </c>
    </row>
    <row r="61" spans="1:21" s="39" customFormat="1" ht="56.25">
      <c r="A61" s="23" t="s">
        <v>166</v>
      </c>
      <c r="B61" s="23" t="s">
        <v>164</v>
      </c>
      <c r="C61" s="23" t="s">
        <v>32</v>
      </c>
      <c r="D61" s="13" t="s">
        <v>165</v>
      </c>
      <c r="E61" s="64">
        <f t="shared" si="90"/>
        <v>54908.959999999999</v>
      </c>
      <c r="F61" s="97">
        <v>54908.959999999999</v>
      </c>
      <c r="G61" s="97"/>
      <c r="H61" s="97"/>
      <c r="I61" s="64">
        <f t="shared" ref="I61:I125" si="96">J61+K61</f>
        <v>0</v>
      </c>
      <c r="J61" s="64"/>
      <c r="K61" s="64"/>
      <c r="L61" s="64"/>
      <c r="M61" s="65">
        <f t="shared" si="22"/>
        <v>0</v>
      </c>
      <c r="N61" s="65">
        <f t="shared" si="23"/>
        <v>0</v>
      </c>
      <c r="O61" s="65" t="str">
        <f t="shared" si="30"/>
        <v/>
      </c>
      <c r="P61" s="65" t="str">
        <f t="shared" si="11"/>
        <v/>
      </c>
      <c r="Q61" s="66">
        <f t="shared" si="12"/>
        <v>-54908.959999999999</v>
      </c>
      <c r="R61" s="66">
        <f t="shared" si="13"/>
        <v>-54908.959999999999</v>
      </c>
      <c r="S61" s="66">
        <f t="shared" si="14"/>
        <v>0</v>
      </c>
      <c r="T61" s="66">
        <f t="shared" si="15"/>
        <v>0</v>
      </c>
    </row>
    <row r="62" spans="1:21" s="39" customFormat="1" ht="37.5">
      <c r="A62" s="23" t="s">
        <v>167</v>
      </c>
      <c r="B62" s="23" t="s">
        <v>168</v>
      </c>
      <c r="C62" s="23" t="s">
        <v>13</v>
      </c>
      <c r="D62" s="38" t="s">
        <v>169</v>
      </c>
      <c r="E62" s="64">
        <f t="shared" si="90"/>
        <v>11774</v>
      </c>
      <c r="F62" s="98">
        <v>11774</v>
      </c>
      <c r="G62" s="98"/>
      <c r="H62" s="98"/>
      <c r="I62" s="64">
        <f t="shared" si="96"/>
        <v>12025</v>
      </c>
      <c r="J62" s="66">
        <v>12025</v>
      </c>
      <c r="K62" s="66"/>
      <c r="L62" s="66"/>
      <c r="M62" s="65">
        <f t="shared" si="22"/>
        <v>1.0213181586546629</v>
      </c>
      <c r="N62" s="65">
        <f t="shared" si="23"/>
        <v>1.0213181586546629</v>
      </c>
      <c r="O62" s="65" t="str">
        <f t="shared" si="30"/>
        <v/>
      </c>
      <c r="P62" s="65" t="str">
        <f t="shared" si="11"/>
        <v/>
      </c>
      <c r="Q62" s="66">
        <f t="shared" si="12"/>
        <v>251</v>
      </c>
      <c r="R62" s="66">
        <f t="shared" si="13"/>
        <v>251</v>
      </c>
      <c r="S62" s="66">
        <f t="shared" si="14"/>
        <v>0</v>
      </c>
      <c r="T62" s="66">
        <f t="shared" si="15"/>
        <v>0</v>
      </c>
    </row>
    <row r="63" spans="1:21" s="39" customFormat="1" ht="75">
      <c r="A63" s="23" t="s">
        <v>121</v>
      </c>
      <c r="B63" s="23" t="s">
        <v>120</v>
      </c>
      <c r="C63" s="23" t="s">
        <v>11</v>
      </c>
      <c r="D63" s="38" t="s">
        <v>132</v>
      </c>
      <c r="E63" s="64">
        <f t="shared" si="90"/>
        <v>3659331.63</v>
      </c>
      <c r="F63" s="97">
        <v>3636331.63</v>
      </c>
      <c r="G63" s="97">
        <v>23000</v>
      </c>
      <c r="H63" s="97"/>
      <c r="I63" s="64">
        <f t="shared" si="96"/>
        <v>4151881.44</v>
      </c>
      <c r="J63" s="64">
        <v>4151881.44</v>
      </c>
      <c r="K63" s="64"/>
      <c r="L63" s="64"/>
      <c r="M63" s="65">
        <f t="shared" si="22"/>
        <v>1.1346010309538412</v>
      </c>
      <c r="N63" s="65">
        <f t="shared" si="23"/>
        <v>1.1417774456396321</v>
      </c>
      <c r="O63" s="65">
        <f t="shared" si="30"/>
        <v>0</v>
      </c>
      <c r="P63" s="65" t="str">
        <f t="shared" si="11"/>
        <v/>
      </c>
      <c r="Q63" s="66">
        <f t="shared" si="12"/>
        <v>492549.81000000006</v>
      </c>
      <c r="R63" s="66">
        <f t="shared" si="13"/>
        <v>515549.81000000006</v>
      </c>
      <c r="S63" s="66">
        <f t="shared" si="14"/>
        <v>-23000</v>
      </c>
      <c r="T63" s="66">
        <f t="shared" si="15"/>
        <v>0</v>
      </c>
    </row>
    <row r="64" spans="1:21" s="39" customFormat="1" ht="56.25">
      <c r="A64" s="23" t="s">
        <v>74</v>
      </c>
      <c r="B64" s="23" t="s">
        <v>73</v>
      </c>
      <c r="C64" s="23" t="s">
        <v>17</v>
      </c>
      <c r="D64" s="38" t="s">
        <v>75</v>
      </c>
      <c r="E64" s="64">
        <f t="shared" si="90"/>
        <v>1650537.06</v>
      </c>
      <c r="F64" s="97">
        <v>1650537.06</v>
      </c>
      <c r="G64" s="97"/>
      <c r="H64" s="97"/>
      <c r="I64" s="64">
        <f t="shared" si="96"/>
        <v>2231451.86</v>
      </c>
      <c r="J64" s="64">
        <v>2231451.86</v>
      </c>
      <c r="K64" s="64"/>
      <c r="L64" s="64"/>
      <c r="M64" s="65">
        <f t="shared" si="22"/>
        <v>1.3519550175989383</v>
      </c>
      <c r="N64" s="65">
        <f t="shared" si="23"/>
        <v>1.3519550175989383</v>
      </c>
      <c r="O64" s="65"/>
      <c r="P64" s="65"/>
      <c r="Q64" s="66">
        <f t="shared" si="12"/>
        <v>580914.79999999981</v>
      </c>
      <c r="R64" s="66">
        <f t="shared" si="13"/>
        <v>580914.79999999981</v>
      </c>
      <c r="S64" s="66">
        <f t="shared" si="14"/>
        <v>0</v>
      </c>
      <c r="T64" s="66">
        <f t="shared" si="15"/>
        <v>0</v>
      </c>
    </row>
    <row r="65" spans="1:20" s="39" customFormat="1" ht="131.25">
      <c r="A65" s="23" t="s">
        <v>133</v>
      </c>
      <c r="B65" s="23" t="s">
        <v>134</v>
      </c>
      <c r="C65" s="23" t="s">
        <v>9</v>
      </c>
      <c r="D65" s="38" t="s">
        <v>135</v>
      </c>
      <c r="E65" s="64">
        <f t="shared" si="90"/>
        <v>702340.17</v>
      </c>
      <c r="F65" s="99">
        <v>702340.17</v>
      </c>
      <c r="G65" s="64"/>
      <c r="H65" s="64"/>
      <c r="I65" s="64">
        <f t="shared" si="96"/>
        <v>624146.73</v>
      </c>
      <c r="J65" s="64">
        <v>624146.73</v>
      </c>
      <c r="K65" s="64"/>
      <c r="L65" s="64"/>
      <c r="M65" s="65">
        <f t="shared" si="22"/>
        <v>0.88866728212341883</v>
      </c>
      <c r="N65" s="65">
        <f t="shared" si="23"/>
        <v>0.88866728212341883</v>
      </c>
      <c r="O65" s="65" t="str">
        <f t="shared" si="30"/>
        <v/>
      </c>
      <c r="P65" s="65" t="str">
        <f t="shared" si="11"/>
        <v/>
      </c>
      <c r="Q65" s="66">
        <f t="shared" si="12"/>
        <v>-78193.440000000061</v>
      </c>
      <c r="R65" s="66">
        <f t="shared" si="13"/>
        <v>-78193.440000000061</v>
      </c>
      <c r="S65" s="66">
        <f t="shared" si="14"/>
        <v>0</v>
      </c>
      <c r="T65" s="66">
        <f t="shared" si="15"/>
        <v>0</v>
      </c>
    </row>
    <row r="66" spans="1:20" s="39" customFormat="1" ht="75">
      <c r="A66" s="23" t="s">
        <v>170</v>
      </c>
      <c r="B66" s="23" t="s">
        <v>171</v>
      </c>
      <c r="C66" s="23" t="s">
        <v>9</v>
      </c>
      <c r="D66" s="38" t="s">
        <v>172</v>
      </c>
      <c r="E66" s="64">
        <f t="shared" ref="E66:E70" si="97">F66+G66</f>
        <v>3895.65</v>
      </c>
      <c r="F66" s="99">
        <v>3895.65</v>
      </c>
      <c r="G66" s="64"/>
      <c r="H66" s="64"/>
      <c r="I66" s="64">
        <f t="shared" si="96"/>
        <v>5426.28</v>
      </c>
      <c r="J66" s="64">
        <v>5426.28</v>
      </c>
      <c r="K66" s="64"/>
      <c r="L66" s="64"/>
      <c r="M66" s="65">
        <f t="shared" si="22"/>
        <v>1.3929074737206883</v>
      </c>
      <c r="N66" s="65">
        <f t="shared" si="23"/>
        <v>1.3929074737206883</v>
      </c>
      <c r="O66" s="65" t="str">
        <f t="shared" si="30"/>
        <v/>
      </c>
      <c r="P66" s="65" t="str">
        <f t="shared" si="11"/>
        <v/>
      </c>
      <c r="Q66" s="66">
        <f t="shared" si="12"/>
        <v>1530.6299999999997</v>
      </c>
      <c r="R66" s="66">
        <f t="shared" si="13"/>
        <v>1530.6299999999997</v>
      </c>
      <c r="S66" s="66">
        <f t="shared" si="14"/>
        <v>0</v>
      </c>
      <c r="T66" s="66">
        <f t="shared" si="15"/>
        <v>0</v>
      </c>
    </row>
    <row r="67" spans="1:20" s="39" customFormat="1" ht="110.45" customHeight="1">
      <c r="A67" s="23" t="s">
        <v>136</v>
      </c>
      <c r="B67" s="23" t="s">
        <v>137</v>
      </c>
      <c r="C67" s="23" t="s">
        <v>27</v>
      </c>
      <c r="D67" s="38" t="s">
        <v>138</v>
      </c>
      <c r="E67" s="64">
        <f t="shared" si="97"/>
        <v>373893.13</v>
      </c>
      <c r="F67" s="99">
        <v>373893.13</v>
      </c>
      <c r="G67" s="64"/>
      <c r="H67" s="64"/>
      <c r="I67" s="64">
        <f t="shared" si="96"/>
        <v>201551.88</v>
      </c>
      <c r="J67" s="64">
        <v>201551.88</v>
      </c>
      <c r="K67" s="64"/>
      <c r="L67" s="64"/>
      <c r="M67" s="65">
        <f t="shared" si="22"/>
        <v>0.53906280652976957</v>
      </c>
      <c r="N67" s="65">
        <f t="shared" si="23"/>
        <v>0.53906280652976957</v>
      </c>
      <c r="O67" s="65" t="str">
        <f t="shared" si="30"/>
        <v/>
      </c>
      <c r="P67" s="65" t="str">
        <f t="shared" si="11"/>
        <v/>
      </c>
      <c r="Q67" s="66">
        <f t="shared" si="12"/>
        <v>-172341.25</v>
      </c>
      <c r="R67" s="66">
        <f t="shared" si="13"/>
        <v>-172341.25</v>
      </c>
      <c r="S67" s="66">
        <f t="shared" si="14"/>
        <v>0</v>
      </c>
      <c r="T67" s="66">
        <f t="shared" si="15"/>
        <v>0</v>
      </c>
    </row>
    <row r="68" spans="1:20" s="39" customFormat="1" ht="75">
      <c r="A68" s="23" t="s">
        <v>139</v>
      </c>
      <c r="B68" s="23" t="s">
        <v>140</v>
      </c>
      <c r="C68" s="23" t="s">
        <v>13</v>
      </c>
      <c r="D68" s="38" t="s">
        <v>141</v>
      </c>
      <c r="E68" s="64">
        <f t="shared" si="97"/>
        <v>11438.48</v>
      </c>
      <c r="F68" s="100">
        <v>11438.48</v>
      </c>
      <c r="G68" s="64"/>
      <c r="H68" s="64"/>
      <c r="I68" s="64">
        <f t="shared" si="96"/>
        <v>11972.45</v>
      </c>
      <c r="J68" s="64">
        <v>11972.45</v>
      </c>
      <c r="K68" s="64"/>
      <c r="L68" s="64"/>
      <c r="M68" s="65">
        <f t="shared" ref="M68:M119" si="98">IFERROR((I68/E68),"")</f>
        <v>1.0466819017911473</v>
      </c>
      <c r="N68" s="65">
        <f t="shared" ref="N68:N119" si="99">IFERROR((J68/F68),"")</f>
        <v>1.0466819017911473</v>
      </c>
      <c r="O68" s="65" t="str">
        <f t="shared" ref="O68:P119" si="100">IFERROR((K68/G68),"")</f>
        <v/>
      </c>
      <c r="P68" s="65" t="str">
        <f t="shared" ref="P68:P119" si="101">IFERROR((L68/H68),"")</f>
        <v/>
      </c>
      <c r="Q68" s="66">
        <f t="shared" ref="Q68:Q120" si="102">I68-E68</f>
        <v>533.97000000000116</v>
      </c>
      <c r="R68" s="66">
        <f t="shared" ref="R68:R120" si="103">J68-F68</f>
        <v>533.97000000000116</v>
      </c>
      <c r="S68" s="66">
        <f t="shared" ref="S68:S120" si="104">K68-G68</f>
        <v>0</v>
      </c>
      <c r="T68" s="66">
        <f t="shared" ref="T68:T120" si="105">L68-H68</f>
        <v>0</v>
      </c>
    </row>
    <row r="69" spans="1:20" s="39" customFormat="1" ht="108" customHeight="1">
      <c r="A69" s="23" t="s">
        <v>303</v>
      </c>
      <c r="B69" s="23" t="s">
        <v>304</v>
      </c>
      <c r="C69" s="23" t="s">
        <v>13</v>
      </c>
      <c r="D69" s="80" t="s">
        <v>305</v>
      </c>
      <c r="E69" s="64">
        <f t="shared" ref="E69" si="106">F69+G69</f>
        <v>0</v>
      </c>
      <c r="F69" s="64"/>
      <c r="G69" s="64"/>
      <c r="H69" s="64"/>
      <c r="I69" s="64">
        <f t="shared" ref="I69" si="107">J69+K69</f>
        <v>84465.48</v>
      </c>
      <c r="J69" s="64">
        <v>84465.48</v>
      </c>
      <c r="K69" s="64"/>
      <c r="L69" s="64"/>
      <c r="M69" s="65" t="str">
        <f t="shared" ref="M69" si="108">IFERROR((I69/E69),"")</f>
        <v/>
      </c>
      <c r="N69" s="65" t="str">
        <f t="shared" ref="N69" si="109">IFERROR((J69/F69),"")</f>
        <v/>
      </c>
      <c r="O69" s="65" t="str">
        <f t="shared" ref="O69" si="110">IFERROR((K69/G69),"")</f>
        <v/>
      </c>
      <c r="P69" s="65" t="str">
        <f t="shared" ref="P69" si="111">IFERROR((L69/H69),"")</f>
        <v/>
      </c>
      <c r="Q69" s="66">
        <f t="shared" ref="Q69" si="112">I69-E69</f>
        <v>84465.48</v>
      </c>
      <c r="R69" s="66">
        <f t="shared" ref="R69" si="113">J69-F69</f>
        <v>84465.48</v>
      </c>
      <c r="S69" s="66">
        <f t="shared" ref="S69" si="114">K69-G69</f>
        <v>0</v>
      </c>
      <c r="T69" s="66">
        <f t="shared" ref="T69" si="115">L69-H69</f>
        <v>0</v>
      </c>
    </row>
    <row r="70" spans="1:20" s="39" customFormat="1" ht="37.5">
      <c r="A70" s="23" t="s">
        <v>146</v>
      </c>
      <c r="B70" s="23" t="s">
        <v>142</v>
      </c>
      <c r="C70" s="23" t="s">
        <v>4</v>
      </c>
      <c r="D70" s="38" t="s">
        <v>143</v>
      </c>
      <c r="E70" s="64">
        <f t="shared" si="97"/>
        <v>6518345.3599999994</v>
      </c>
      <c r="F70" s="101">
        <v>6423231.6799999997</v>
      </c>
      <c r="G70" s="101">
        <v>95113.68</v>
      </c>
      <c r="H70" s="64"/>
      <c r="I70" s="64">
        <f t="shared" si="96"/>
        <v>10236734.289999999</v>
      </c>
      <c r="J70" s="64">
        <f>10059080.92+177653.37</f>
        <v>10236734.289999999</v>
      </c>
      <c r="K70" s="64"/>
      <c r="L70" s="64"/>
      <c r="M70" s="65">
        <f t="shared" si="98"/>
        <v>1.5704498188785752</v>
      </c>
      <c r="N70" s="65">
        <f t="shared" si="99"/>
        <v>1.593704664565361</v>
      </c>
      <c r="O70" s="65">
        <f t="shared" si="100"/>
        <v>0</v>
      </c>
      <c r="P70" s="65" t="str">
        <f t="shared" si="101"/>
        <v/>
      </c>
      <c r="Q70" s="66">
        <f t="shared" si="102"/>
        <v>3718388.9299999997</v>
      </c>
      <c r="R70" s="66">
        <f t="shared" si="103"/>
        <v>3813502.6099999994</v>
      </c>
      <c r="S70" s="66">
        <f t="shared" si="104"/>
        <v>-95113.68</v>
      </c>
      <c r="T70" s="66">
        <f t="shared" si="105"/>
        <v>0</v>
      </c>
    </row>
    <row r="71" spans="1:20" s="39" customFormat="1" ht="37.5">
      <c r="A71" s="75" t="s">
        <v>306</v>
      </c>
      <c r="B71" s="75">
        <v>7520</v>
      </c>
      <c r="C71" s="75" t="s">
        <v>297</v>
      </c>
      <c r="D71" s="78" t="s">
        <v>298</v>
      </c>
      <c r="E71" s="64">
        <f t="shared" ref="E71" si="116">F71+G71</f>
        <v>0</v>
      </c>
      <c r="F71" s="64"/>
      <c r="G71" s="64"/>
      <c r="H71" s="64"/>
      <c r="I71" s="64">
        <f t="shared" ref="I71" si="117">J71+K71</f>
        <v>31460</v>
      </c>
      <c r="J71" s="64">
        <f>20626+3900+6934</f>
        <v>31460</v>
      </c>
      <c r="K71" s="64"/>
      <c r="L71" s="64"/>
      <c r="M71" s="65" t="str">
        <f t="shared" ref="M71" si="118">IFERROR((I71/E71),"")</f>
        <v/>
      </c>
      <c r="N71" s="65" t="str">
        <f t="shared" ref="N71" si="119">IFERROR((J71/F71),"")</f>
        <v/>
      </c>
      <c r="O71" s="65" t="str">
        <f t="shared" ref="O71" si="120">IFERROR((K71/G71),"")</f>
        <v/>
      </c>
      <c r="P71" s="65" t="str">
        <f t="shared" ref="P71" si="121">IFERROR((L71/H71),"")</f>
        <v/>
      </c>
      <c r="Q71" s="66">
        <f t="shared" ref="Q71" si="122">I71-E71</f>
        <v>31460</v>
      </c>
      <c r="R71" s="66">
        <f t="shared" ref="R71" si="123">J71-F71</f>
        <v>31460</v>
      </c>
      <c r="S71" s="66">
        <f t="shared" ref="S71" si="124">K71-G71</f>
        <v>0</v>
      </c>
      <c r="T71" s="66">
        <f t="shared" ref="T71" si="125">L71-H71</f>
        <v>0</v>
      </c>
    </row>
    <row r="72" spans="1:20" s="30" customFormat="1" ht="56.25">
      <c r="A72" s="27" t="s">
        <v>267</v>
      </c>
      <c r="B72" s="36" t="s">
        <v>268</v>
      </c>
      <c r="C72" s="36" t="s">
        <v>268</v>
      </c>
      <c r="D72" s="18" t="s">
        <v>269</v>
      </c>
      <c r="E72" s="63">
        <f t="shared" ref="E72:L72" si="126">E73</f>
        <v>477568.06</v>
      </c>
      <c r="F72" s="63">
        <f t="shared" si="126"/>
        <v>477568.06</v>
      </c>
      <c r="G72" s="63">
        <f t="shared" si="126"/>
        <v>0</v>
      </c>
      <c r="H72" s="63">
        <f t="shared" si="126"/>
        <v>0</v>
      </c>
      <c r="I72" s="63">
        <f>J72+K72</f>
        <v>806895.16</v>
      </c>
      <c r="J72" s="63">
        <f t="shared" si="126"/>
        <v>806895.16</v>
      </c>
      <c r="K72" s="63">
        <f t="shared" si="126"/>
        <v>0</v>
      </c>
      <c r="L72" s="63">
        <f t="shared" si="126"/>
        <v>0</v>
      </c>
      <c r="M72" s="61">
        <f t="shared" ref="M72:M73" si="127">I72/E72</f>
        <v>1.6895919714563827</v>
      </c>
      <c r="N72" s="61">
        <f t="shared" ref="N72:N73" si="128">J72/F72</f>
        <v>1.6895919714563827</v>
      </c>
      <c r="O72" s="61" t="str">
        <f t="shared" si="100"/>
        <v/>
      </c>
      <c r="P72" s="61" t="str">
        <f t="shared" si="100"/>
        <v/>
      </c>
      <c r="Q72" s="62">
        <f t="shared" si="102"/>
        <v>329327.10000000003</v>
      </c>
      <c r="R72" s="62">
        <f t="shared" si="103"/>
        <v>329327.10000000003</v>
      </c>
      <c r="S72" s="62">
        <f t="shared" si="104"/>
        <v>0</v>
      </c>
      <c r="T72" s="62">
        <f t="shared" si="105"/>
        <v>0</v>
      </c>
    </row>
    <row r="73" spans="1:20" s="30" customFormat="1" ht="56.25">
      <c r="A73" s="27" t="s">
        <v>270</v>
      </c>
      <c r="B73" s="36" t="s">
        <v>268</v>
      </c>
      <c r="C73" s="36" t="s">
        <v>268</v>
      </c>
      <c r="D73" s="18" t="s">
        <v>269</v>
      </c>
      <c r="E73" s="63">
        <f t="shared" ref="E73:E76" si="129">F73+G73</f>
        <v>477568.06</v>
      </c>
      <c r="F73" s="63">
        <f>F74+F75+F76</f>
        <v>477568.06</v>
      </c>
      <c r="G73" s="63">
        <f t="shared" ref="G73:H73" si="130">G74+G75+G76</f>
        <v>0</v>
      </c>
      <c r="H73" s="63">
        <f t="shared" si="130"/>
        <v>0</v>
      </c>
      <c r="I73" s="63">
        <f t="shared" ref="I73:I76" si="131">J73+K73</f>
        <v>806895.16</v>
      </c>
      <c r="J73" s="63">
        <f>J74+J75+J76</f>
        <v>806895.16</v>
      </c>
      <c r="K73" s="63">
        <f t="shared" ref="K73:L73" si="132">K74+K75+K76</f>
        <v>0</v>
      </c>
      <c r="L73" s="63">
        <f t="shared" si="132"/>
        <v>0</v>
      </c>
      <c r="M73" s="61">
        <f t="shared" si="127"/>
        <v>1.6895919714563827</v>
      </c>
      <c r="N73" s="61">
        <f t="shared" si="128"/>
        <v>1.6895919714563827</v>
      </c>
      <c r="O73" s="61" t="str">
        <f t="shared" si="100"/>
        <v/>
      </c>
      <c r="P73" s="61" t="str">
        <f t="shared" si="100"/>
        <v/>
      </c>
      <c r="Q73" s="62">
        <f t="shared" si="102"/>
        <v>329327.10000000003</v>
      </c>
      <c r="R73" s="62">
        <f t="shared" si="103"/>
        <v>329327.10000000003</v>
      </c>
      <c r="S73" s="62">
        <f t="shared" si="104"/>
        <v>0</v>
      </c>
      <c r="T73" s="62">
        <f t="shared" si="105"/>
        <v>0</v>
      </c>
    </row>
    <row r="74" spans="1:20" s="39" customFormat="1" ht="56.25">
      <c r="A74" s="22" t="s">
        <v>271</v>
      </c>
      <c r="B74" s="21" t="s">
        <v>58</v>
      </c>
      <c r="C74" s="21" t="s">
        <v>3</v>
      </c>
      <c r="D74" s="49" t="s">
        <v>227</v>
      </c>
      <c r="E74" s="64">
        <f t="shared" si="129"/>
        <v>475568.06</v>
      </c>
      <c r="F74" s="130">
        <v>475568.06</v>
      </c>
      <c r="G74" s="64"/>
      <c r="H74" s="64"/>
      <c r="I74" s="64">
        <f t="shared" si="131"/>
        <v>711427.16</v>
      </c>
      <c r="J74" s="102">
        <v>711427.16</v>
      </c>
      <c r="K74" s="64"/>
      <c r="L74" s="64"/>
      <c r="M74" s="65">
        <f>I74/E74</f>
        <v>1.495952356430329</v>
      </c>
      <c r="N74" s="65">
        <f>J74/F74</f>
        <v>1.495952356430329</v>
      </c>
      <c r="O74" s="65" t="str">
        <f t="shared" si="100"/>
        <v/>
      </c>
      <c r="P74" s="65" t="str">
        <f t="shared" si="101"/>
        <v/>
      </c>
      <c r="Q74" s="66">
        <f t="shared" si="102"/>
        <v>235859.10000000003</v>
      </c>
      <c r="R74" s="66">
        <f t="shared" si="103"/>
        <v>235859.10000000003</v>
      </c>
      <c r="S74" s="66">
        <f t="shared" si="104"/>
        <v>0</v>
      </c>
      <c r="T74" s="66">
        <f t="shared" si="105"/>
        <v>0</v>
      </c>
    </row>
    <row r="75" spans="1:20" s="39" customFormat="1" ht="37.5">
      <c r="A75" s="22" t="s">
        <v>272</v>
      </c>
      <c r="B75" s="21" t="s">
        <v>34</v>
      </c>
      <c r="C75" s="21" t="s">
        <v>17</v>
      </c>
      <c r="D75" s="49" t="s">
        <v>43</v>
      </c>
      <c r="E75" s="64">
        <f t="shared" si="129"/>
        <v>2000</v>
      </c>
      <c r="F75" s="130">
        <v>2000</v>
      </c>
      <c r="G75" s="64"/>
      <c r="H75" s="64"/>
      <c r="I75" s="64">
        <f t="shared" si="131"/>
        <v>6068</v>
      </c>
      <c r="J75" s="103">
        <v>6068</v>
      </c>
      <c r="K75" s="64"/>
      <c r="L75" s="64"/>
      <c r="M75" s="65" t="s">
        <v>288</v>
      </c>
      <c r="N75" s="65" t="s">
        <v>288</v>
      </c>
      <c r="O75" s="65" t="str">
        <f t="shared" si="100"/>
        <v/>
      </c>
      <c r="P75" s="65" t="str">
        <f t="shared" si="101"/>
        <v/>
      </c>
      <c r="Q75" s="66">
        <f t="shared" si="102"/>
        <v>4068</v>
      </c>
      <c r="R75" s="66">
        <f t="shared" si="103"/>
        <v>4068</v>
      </c>
      <c r="S75" s="66">
        <f t="shared" si="104"/>
        <v>0</v>
      </c>
      <c r="T75" s="66">
        <f t="shared" si="105"/>
        <v>0</v>
      </c>
    </row>
    <row r="76" spans="1:20" s="39" customFormat="1" ht="39.75" customHeight="1">
      <c r="A76" s="135" t="s">
        <v>316</v>
      </c>
      <c r="B76" s="135" t="s">
        <v>317</v>
      </c>
      <c r="C76" s="135" t="s">
        <v>297</v>
      </c>
      <c r="D76" s="134" t="s">
        <v>298</v>
      </c>
      <c r="E76" s="64">
        <f t="shared" si="129"/>
        <v>0</v>
      </c>
      <c r="F76" s="130"/>
      <c r="G76" s="64"/>
      <c r="H76" s="64"/>
      <c r="I76" s="64">
        <f t="shared" si="131"/>
        <v>89400</v>
      </c>
      <c r="J76" s="130">
        <v>89400</v>
      </c>
      <c r="K76" s="64"/>
      <c r="L76" s="64"/>
      <c r="M76" s="65"/>
      <c r="N76" s="65"/>
      <c r="O76" s="65" t="str">
        <f t="shared" ref="O76" si="133">IFERROR((K76/G76),"")</f>
        <v/>
      </c>
      <c r="P76" s="65" t="str">
        <f t="shared" ref="P76" si="134">IFERROR((L76/H76),"")</f>
        <v/>
      </c>
      <c r="Q76" s="66">
        <f t="shared" ref="Q76" si="135">I76-E76</f>
        <v>89400</v>
      </c>
      <c r="R76" s="66">
        <f t="shared" ref="R76" si="136">J76-F76</f>
        <v>89400</v>
      </c>
      <c r="S76" s="66">
        <f t="shared" ref="S76" si="137">K76-G76</f>
        <v>0</v>
      </c>
      <c r="T76" s="66">
        <f t="shared" ref="T76" si="138">L76-H76</f>
        <v>0</v>
      </c>
    </row>
    <row r="77" spans="1:20" s="30" customFormat="1" ht="56.25">
      <c r="A77" s="25" t="s">
        <v>76</v>
      </c>
      <c r="B77" s="25"/>
      <c r="C77" s="25"/>
      <c r="D77" s="10" t="s">
        <v>206</v>
      </c>
      <c r="E77" s="63">
        <f t="shared" ref="E77:L77" si="139">E78</f>
        <v>12016264.300000003</v>
      </c>
      <c r="F77" s="63">
        <f t="shared" si="139"/>
        <v>11703398.500000002</v>
      </c>
      <c r="G77" s="63">
        <f t="shared" si="139"/>
        <v>312865.8</v>
      </c>
      <c r="H77" s="63">
        <f t="shared" si="139"/>
        <v>0</v>
      </c>
      <c r="I77" s="63">
        <f t="shared" si="139"/>
        <v>12600103.24</v>
      </c>
      <c r="J77" s="63">
        <f t="shared" si="139"/>
        <v>12476897.75</v>
      </c>
      <c r="K77" s="63">
        <f t="shared" si="139"/>
        <v>123205.48999999999</v>
      </c>
      <c r="L77" s="63">
        <f t="shared" si="139"/>
        <v>0</v>
      </c>
      <c r="M77" s="61">
        <f t="shared" si="98"/>
        <v>1.0485873916737998</v>
      </c>
      <c r="N77" s="61">
        <f t="shared" si="99"/>
        <v>1.0660918493034308</v>
      </c>
      <c r="O77" s="61">
        <f t="shared" si="100"/>
        <v>0.39379660544552969</v>
      </c>
      <c r="P77" s="61" t="str">
        <f t="shared" si="101"/>
        <v/>
      </c>
      <c r="Q77" s="62">
        <f t="shared" si="102"/>
        <v>583838.93999999762</v>
      </c>
      <c r="R77" s="62">
        <f t="shared" si="103"/>
        <v>773499.24999999814</v>
      </c>
      <c r="S77" s="62">
        <f t="shared" si="104"/>
        <v>-189660.31</v>
      </c>
      <c r="T77" s="62">
        <f t="shared" si="105"/>
        <v>0</v>
      </c>
    </row>
    <row r="78" spans="1:20" s="30" customFormat="1" ht="56.25">
      <c r="A78" s="25" t="s">
        <v>77</v>
      </c>
      <c r="B78" s="25"/>
      <c r="C78" s="25"/>
      <c r="D78" s="10" t="s">
        <v>206</v>
      </c>
      <c r="E78" s="63">
        <f t="shared" ref="E78:E86" si="140">F78+G78</f>
        <v>12016264.300000003</v>
      </c>
      <c r="F78" s="63">
        <f>F79+F81+F82+F83+F84+F85+F86+F80+F87</f>
        <v>11703398.500000002</v>
      </c>
      <c r="G78" s="63">
        <f t="shared" ref="G78:H78" si="141">G79+G81+G82+G83+G84+G85+G86+G80+G87</f>
        <v>312865.8</v>
      </c>
      <c r="H78" s="63">
        <f t="shared" si="141"/>
        <v>0</v>
      </c>
      <c r="I78" s="63">
        <f t="shared" si="96"/>
        <v>12600103.24</v>
      </c>
      <c r="J78" s="63">
        <f>J79+J81+J82+J83+J84+J85+J86+J80+J87</f>
        <v>12476897.75</v>
      </c>
      <c r="K78" s="63">
        <f t="shared" ref="K78:L78" si="142">K79+K81+K82+K83+K84+K85+K86+K80+K87</f>
        <v>123205.48999999999</v>
      </c>
      <c r="L78" s="63">
        <f t="shared" si="142"/>
        <v>0</v>
      </c>
      <c r="M78" s="61">
        <f t="shared" si="98"/>
        <v>1.0485873916737998</v>
      </c>
      <c r="N78" s="61">
        <f t="shared" si="99"/>
        <v>1.0660918493034308</v>
      </c>
      <c r="O78" s="61">
        <f t="shared" si="100"/>
        <v>0.39379660544552969</v>
      </c>
      <c r="P78" s="61" t="str">
        <f t="shared" si="101"/>
        <v/>
      </c>
      <c r="Q78" s="62">
        <f t="shared" si="102"/>
        <v>583838.93999999762</v>
      </c>
      <c r="R78" s="62">
        <f t="shared" si="103"/>
        <v>773499.24999999814</v>
      </c>
      <c r="S78" s="62">
        <f t="shared" si="104"/>
        <v>-189660.31</v>
      </c>
      <c r="T78" s="62">
        <f t="shared" si="105"/>
        <v>0</v>
      </c>
    </row>
    <row r="79" spans="1:20" s="39" customFormat="1" ht="56.25">
      <c r="A79" s="23" t="s">
        <v>78</v>
      </c>
      <c r="B79" s="23" t="s">
        <v>58</v>
      </c>
      <c r="C79" s="23" t="s">
        <v>3</v>
      </c>
      <c r="D79" s="24" t="s">
        <v>227</v>
      </c>
      <c r="E79" s="64">
        <f t="shared" si="140"/>
        <v>195342.7</v>
      </c>
      <c r="F79" s="104">
        <v>195342.7</v>
      </c>
      <c r="G79" s="104"/>
      <c r="H79" s="64"/>
      <c r="I79" s="64">
        <f t="shared" si="96"/>
        <v>348011.32</v>
      </c>
      <c r="J79" s="64">
        <v>348011.32</v>
      </c>
      <c r="K79" s="64"/>
      <c r="L79" s="64"/>
      <c r="M79" s="65">
        <f t="shared" si="98"/>
        <v>1.7815424891741538</v>
      </c>
      <c r="N79" s="65">
        <f t="shared" si="99"/>
        <v>1.7815424891741538</v>
      </c>
      <c r="O79" s="65" t="str">
        <f t="shared" si="100"/>
        <v/>
      </c>
      <c r="P79" s="65" t="str">
        <f t="shared" si="101"/>
        <v/>
      </c>
      <c r="Q79" s="66">
        <f t="shared" si="102"/>
        <v>152668.62</v>
      </c>
      <c r="R79" s="66">
        <f t="shared" si="103"/>
        <v>152668.62</v>
      </c>
      <c r="S79" s="66">
        <f t="shared" si="104"/>
        <v>0</v>
      </c>
      <c r="T79" s="66">
        <f t="shared" si="105"/>
        <v>0</v>
      </c>
    </row>
    <row r="80" spans="1:20" s="39" customFormat="1" ht="37.5">
      <c r="A80" s="21" t="s">
        <v>249</v>
      </c>
      <c r="B80" s="21" t="s">
        <v>8</v>
      </c>
      <c r="C80" s="21" t="s">
        <v>6</v>
      </c>
      <c r="D80" s="49" t="s">
        <v>106</v>
      </c>
      <c r="E80" s="64">
        <f t="shared" si="140"/>
        <v>29940</v>
      </c>
      <c r="F80" s="104">
        <v>29940</v>
      </c>
      <c r="G80" s="104"/>
      <c r="H80" s="64"/>
      <c r="I80" s="64">
        <f t="shared" si="96"/>
        <v>0</v>
      </c>
      <c r="J80" s="64"/>
      <c r="K80" s="64"/>
      <c r="L80" s="64"/>
      <c r="M80" s="65">
        <f t="shared" si="98"/>
        <v>0</v>
      </c>
      <c r="N80" s="65">
        <f t="shared" si="99"/>
        <v>0</v>
      </c>
      <c r="O80" s="65" t="str">
        <f t="shared" si="100"/>
        <v/>
      </c>
      <c r="P80" s="65" t="str">
        <f t="shared" si="101"/>
        <v/>
      </c>
      <c r="Q80" s="66">
        <f t="shared" si="102"/>
        <v>-29940</v>
      </c>
      <c r="R80" s="66">
        <f t="shared" si="103"/>
        <v>-29940</v>
      </c>
      <c r="S80" s="66">
        <f t="shared" si="104"/>
        <v>0</v>
      </c>
      <c r="T80" s="66">
        <f t="shared" si="105"/>
        <v>0</v>
      </c>
    </row>
    <row r="81" spans="1:20" s="39" customFormat="1" ht="37.5">
      <c r="A81" s="23" t="s">
        <v>189</v>
      </c>
      <c r="B81" s="23" t="s">
        <v>190</v>
      </c>
      <c r="C81" s="23" t="s">
        <v>15</v>
      </c>
      <c r="D81" s="14" t="s">
        <v>188</v>
      </c>
      <c r="E81" s="64">
        <f t="shared" si="140"/>
        <v>5828146.54</v>
      </c>
      <c r="F81" s="104">
        <v>5539414.7400000002</v>
      </c>
      <c r="G81" s="105">
        <v>288731.8</v>
      </c>
      <c r="H81" s="66"/>
      <c r="I81" s="64">
        <f t="shared" si="96"/>
        <v>5745919.6100000003</v>
      </c>
      <c r="J81" s="64">
        <v>5687311.1200000001</v>
      </c>
      <c r="K81" s="66">
        <f>58608.49</f>
        <v>58608.49</v>
      </c>
      <c r="L81" s="66"/>
      <c r="M81" s="65">
        <f t="shared" si="98"/>
        <v>0.98589140999876101</v>
      </c>
      <c r="N81" s="65">
        <f t="shared" si="99"/>
        <v>1.0266989180160213</v>
      </c>
      <c r="O81" s="65">
        <f t="shared" si="100"/>
        <v>0.20298591980516176</v>
      </c>
      <c r="P81" s="65" t="str">
        <f t="shared" si="101"/>
        <v/>
      </c>
      <c r="Q81" s="66">
        <f t="shared" si="102"/>
        <v>-82226.929999999702</v>
      </c>
      <c r="R81" s="66">
        <f t="shared" si="103"/>
        <v>147896.37999999989</v>
      </c>
      <c r="S81" s="66">
        <f t="shared" si="104"/>
        <v>-230123.31</v>
      </c>
      <c r="T81" s="66">
        <f t="shared" si="105"/>
        <v>0</v>
      </c>
    </row>
    <row r="82" spans="1:20" s="39" customFormat="1">
      <c r="A82" s="23" t="s">
        <v>80</v>
      </c>
      <c r="B82" s="23" t="s">
        <v>79</v>
      </c>
      <c r="C82" s="23" t="s">
        <v>36</v>
      </c>
      <c r="D82" s="38" t="s">
        <v>81</v>
      </c>
      <c r="E82" s="64">
        <f t="shared" si="140"/>
        <v>1902445.91</v>
      </c>
      <c r="F82" s="106">
        <v>1893193.91</v>
      </c>
      <c r="G82" s="107">
        <v>9252</v>
      </c>
      <c r="H82" s="66"/>
      <c r="I82" s="64">
        <f t="shared" si="96"/>
        <v>1956357.4</v>
      </c>
      <c r="J82" s="64">
        <v>1953389.4</v>
      </c>
      <c r="K82" s="66">
        <f>2968</f>
        <v>2968</v>
      </c>
      <c r="L82" s="66"/>
      <c r="M82" s="65">
        <f t="shared" si="98"/>
        <v>1.0283379883320836</v>
      </c>
      <c r="N82" s="65">
        <f t="shared" si="99"/>
        <v>1.0317957340143777</v>
      </c>
      <c r="O82" s="65">
        <f t="shared" si="100"/>
        <v>0.32079550367488113</v>
      </c>
      <c r="P82" s="65" t="str">
        <f t="shared" si="101"/>
        <v/>
      </c>
      <c r="Q82" s="66">
        <f t="shared" si="102"/>
        <v>53911.489999999991</v>
      </c>
      <c r="R82" s="66">
        <f t="shared" si="103"/>
        <v>60195.489999999991</v>
      </c>
      <c r="S82" s="66">
        <f t="shared" si="104"/>
        <v>-6284</v>
      </c>
      <c r="T82" s="66">
        <f t="shared" si="105"/>
        <v>0</v>
      </c>
    </row>
    <row r="83" spans="1:20" s="39" customFormat="1">
      <c r="A83" s="23" t="s">
        <v>83</v>
      </c>
      <c r="B83" s="23" t="s">
        <v>82</v>
      </c>
      <c r="C83" s="23" t="s">
        <v>36</v>
      </c>
      <c r="D83" s="38" t="s">
        <v>84</v>
      </c>
      <c r="E83" s="64">
        <f>F83+G83</f>
        <v>851469.1</v>
      </c>
      <c r="F83" s="106">
        <v>846347.1</v>
      </c>
      <c r="G83" s="107">
        <v>5122</v>
      </c>
      <c r="H83" s="66"/>
      <c r="I83" s="64">
        <f t="shared" si="96"/>
        <v>963009.12</v>
      </c>
      <c r="J83" s="64">
        <v>958120.12</v>
      </c>
      <c r="K83" s="66">
        <f>4889</f>
        <v>4889</v>
      </c>
      <c r="L83" s="66"/>
      <c r="M83" s="65">
        <f t="shared" si="98"/>
        <v>1.130997143642676</v>
      </c>
      <c r="N83" s="65">
        <f t="shared" si="99"/>
        <v>1.1320652247759815</v>
      </c>
      <c r="O83" s="65">
        <f t="shared" si="100"/>
        <v>0.9545099570480281</v>
      </c>
      <c r="P83" s="65" t="str">
        <f t="shared" si="101"/>
        <v/>
      </c>
      <c r="Q83" s="66">
        <f t="shared" si="102"/>
        <v>111540.02000000002</v>
      </c>
      <c r="R83" s="66">
        <f t="shared" si="103"/>
        <v>111773.02000000002</v>
      </c>
      <c r="S83" s="66">
        <f>K83-G83</f>
        <v>-233</v>
      </c>
      <c r="T83" s="66">
        <f t="shared" si="105"/>
        <v>0</v>
      </c>
    </row>
    <row r="84" spans="1:20" s="39" customFormat="1" ht="56.25">
      <c r="A84" s="23" t="s">
        <v>85</v>
      </c>
      <c r="B84" s="23" t="s">
        <v>35</v>
      </c>
      <c r="C84" s="23" t="s">
        <v>37</v>
      </c>
      <c r="D84" s="38" t="s">
        <v>86</v>
      </c>
      <c r="E84" s="64">
        <f t="shared" si="140"/>
        <v>2635534.4700000002</v>
      </c>
      <c r="F84" s="106">
        <v>2625774.4700000002</v>
      </c>
      <c r="G84" s="107">
        <v>9760</v>
      </c>
      <c r="H84" s="66"/>
      <c r="I84" s="64">
        <f t="shared" si="96"/>
        <v>2894337.08</v>
      </c>
      <c r="J84" s="64">
        <v>2837597.08</v>
      </c>
      <c r="K84" s="66">
        <f>56740</f>
        <v>56740</v>
      </c>
      <c r="L84" s="66"/>
      <c r="M84" s="65">
        <f t="shared" si="98"/>
        <v>1.0981973914384053</v>
      </c>
      <c r="N84" s="65">
        <f t="shared" si="99"/>
        <v>1.080670526894109</v>
      </c>
      <c r="O84" s="65" t="s">
        <v>287</v>
      </c>
      <c r="P84" s="65" t="str">
        <f t="shared" si="101"/>
        <v/>
      </c>
      <c r="Q84" s="66">
        <f t="shared" si="102"/>
        <v>258802.60999999987</v>
      </c>
      <c r="R84" s="66">
        <f t="shared" si="103"/>
        <v>211822.60999999987</v>
      </c>
      <c r="S84" s="66">
        <f t="shared" si="104"/>
        <v>46980</v>
      </c>
      <c r="T84" s="66">
        <f t="shared" si="105"/>
        <v>0</v>
      </c>
    </row>
    <row r="85" spans="1:20" s="39" customFormat="1" ht="37.5">
      <c r="A85" s="23" t="s">
        <v>147</v>
      </c>
      <c r="B85" s="23" t="s">
        <v>126</v>
      </c>
      <c r="C85" s="23" t="s">
        <v>38</v>
      </c>
      <c r="D85" s="38" t="s">
        <v>127</v>
      </c>
      <c r="E85" s="64">
        <f t="shared" si="140"/>
        <v>533815.57999999996</v>
      </c>
      <c r="F85" s="108">
        <v>533815.57999999996</v>
      </c>
      <c r="G85" s="66"/>
      <c r="H85" s="66"/>
      <c r="I85" s="64">
        <f t="shared" si="96"/>
        <v>618673.06000000006</v>
      </c>
      <c r="J85" s="64">
        <v>618673.06000000006</v>
      </c>
      <c r="K85" s="66"/>
      <c r="L85" s="66"/>
      <c r="M85" s="65">
        <f t="shared" si="98"/>
        <v>1.1589640377300343</v>
      </c>
      <c r="N85" s="65">
        <f t="shared" si="99"/>
        <v>1.1589640377300343</v>
      </c>
      <c r="O85" s="65" t="str">
        <f t="shared" si="100"/>
        <v/>
      </c>
      <c r="P85" s="65" t="str">
        <f t="shared" si="101"/>
        <v/>
      </c>
      <c r="Q85" s="66">
        <f t="shared" si="102"/>
        <v>84857.480000000098</v>
      </c>
      <c r="R85" s="66">
        <f t="shared" si="103"/>
        <v>84857.480000000098</v>
      </c>
      <c r="S85" s="66">
        <f t="shared" si="104"/>
        <v>0</v>
      </c>
      <c r="T85" s="66">
        <f t="shared" si="105"/>
        <v>0</v>
      </c>
    </row>
    <row r="86" spans="1:20" s="39" customFormat="1">
      <c r="A86" s="23" t="s">
        <v>124</v>
      </c>
      <c r="B86" s="23" t="s">
        <v>125</v>
      </c>
      <c r="C86" s="23" t="s">
        <v>38</v>
      </c>
      <c r="D86" s="38" t="s">
        <v>128</v>
      </c>
      <c r="E86" s="64">
        <f t="shared" si="140"/>
        <v>39570</v>
      </c>
      <c r="F86" s="108">
        <v>39570</v>
      </c>
      <c r="G86" s="66"/>
      <c r="H86" s="66"/>
      <c r="I86" s="64">
        <f t="shared" si="96"/>
        <v>43449</v>
      </c>
      <c r="J86" s="64">
        <v>43449</v>
      </c>
      <c r="K86" s="66"/>
      <c r="L86" s="66"/>
      <c r="M86" s="65">
        <f t="shared" si="98"/>
        <v>1.0980288097043214</v>
      </c>
      <c r="N86" s="65">
        <f t="shared" si="99"/>
        <v>1.0980288097043214</v>
      </c>
      <c r="O86" s="65" t="str">
        <f t="shared" si="100"/>
        <v/>
      </c>
      <c r="P86" s="65" t="str">
        <f t="shared" si="101"/>
        <v/>
      </c>
      <c r="Q86" s="66">
        <f t="shared" si="102"/>
        <v>3879</v>
      </c>
      <c r="R86" s="66">
        <f t="shared" si="103"/>
        <v>3879</v>
      </c>
      <c r="S86" s="66">
        <f t="shared" si="104"/>
        <v>0</v>
      </c>
      <c r="T86" s="66">
        <f t="shared" si="105"/>
        <v>0</v>
      </c>
    </row>
    <row r="87" spans="1:20" s="39" customFormat="1" ht="36.75" customHeight="1">
      <c r="A87" s="76">
        <v>1017520</v>
      </c>
      <c r="B87" s="76">
        <v>7520</v>
      </c>
      <c r="C87" s="77" t="s">
        <v>297</v>
      </c>
      <c r="D87" s="58" t="s">
        <v>298</v>
      </c>
      <c r="E87" s="64">
        <f t="shared" ref="E87" si="143">F87+G87</f>
        <v>0</v>
      </c>
      <c r="F87" s="64"/>
      <c r="G87" s="66"/>
      <c r="H87" s="66"/>
      <c r="I87" s="64">
        <f t="shared" ref="I87" si="144">J87+K87</f>
        <v>30346.65</v>
      </c>
      <c r="J87" s="64">
        <v>30346.65</v>
      </c>
      <c r="K87" s="66"/>
      <c r="L87" s="66"/>
      <c r="M87" s="65" t="str">
        <f t="shared" ref="M87" si="145">IFERROR((I87/E87),"")</f>
        <v/>
      </c>
      <c r="N87" s="65" t="str">
        <f t="shared" ref="N87" si="146">IFERROR((J87/F87),"")</f>
        <v/>
      </c>
      <c r="O87" s="65" t="str">
        <f t="shared" ref="O87" si="147">IFERROR((K87/G87),"")</f>
        <v/>
      </c>
      <c r="P87" s="65" t="str">
        <f t="shared" ref="P87" si="148">IFERROR((L87/H87),"")</f>
        <v/>
      </c>
      <c r="Q87" s="66">
        <f t="shared" ref="Q87" si="149">I87-E87</f>
        <v>30346.65</v>
      </c>
      <c r="R87" s="66">
        <f t="shared" ref="R87" si="150">J87-F87</f>
        <v>30346.65</v>
      </c>
      <c r="S87" s="66">
        <f t="shared" ref="S87" si="151">K87-G87</f>
        <v>0</v>
      </c>
      <c r="T87" s="66">
        <f t="shared" ref="T87" si="152">L87-H87</f>
        <v>0</v>
      </c>
    </row>
    <row r="88" spans="1:20" s="30" customFormat="1" ht="56.25">
      <c r="A88" s="25" t="s">
        <v>21</v>
      </c>
      <c r="B88" s="25"/>
      <c r="C88" s="25"/>
      <c r="D88" s="10" t="s">
        <v>247</v>
      </c>
      <c r="E88" s="63">
        <f t="shared" ref="E88:L88" si="153">E89</f>
        <v>1117682.2000000002</v>
      </c>
      <c r="F88" s="63">
        <f t="shared" si="153"/>
        <v>1117682.2000000002</v>
      </c>
      <c r="G88" s="63">
        <f t="shared" si="153"/>
        <v>0</v>
      </c>
      <c r="H88" s="63">
        <f t="shared" si="153"/>
        <v>0</v>
      </c>
      <c r="I88" s="63">
        <f t="shared" si="153"/>
        <v>1554873.68</v>
      </c>
      <c r="J88" s="63">
        <f t="shared" si="153"/>
        <v>1554873.68</v>
      </c>
      <c r="K88" s="63">
        <f t="shared" si="153"/>
        <v>0</v>
      </c>
      <c r="L88" s="63">
        <f t="shared" si="153"/>
        <v>0</v>
      </c>
      <c r="M88" s="61">
        <f t="shared" si="98"/>
        <v>1.3911590253472763</v>
      </c>
      <c r="N88" s="61">
        <f t="shared" si="99"/>
        <v>1.3911590253472763</v>
      </c>
      <c r="O88" s="61" t="str">
        <f t="shared" si="100"/>
        <v/>
      </c>
      <c r="P88" s="61" t="str">
        <f t="shared" si="101"/>
        <v/>
      </c>
      <c r="Q88" s="62">
        <f t="shared" si="102"/>
        <v>437191.47999999975</v>
      </c>
      <c r="R88" s="62">
        <f t="shared" si="103"/>
        <v>437191.47999999975</v>
      </c>
      <c r="S88" s="62">
        <f t="shared" si="104"/>
        <v>0</v>
      </c>
      <c r="T88" s="62">
        <f t="shared" si="105"/>
        <v>0</v>
      </c>
    </row>
    <row r="89" spans="1:20" s="30" customFormat="1" ht="56.25">
      <c r="A89" s="25" t="s">
        <v>22</v>
      </c>
      <c r="B89" s="25"/>
      <c r="C89" s="25"/>
      <c r="D89" s="10" t="s">
        <v>248</v>
      </c>
      <c r="E89" s="63">
        <f t="shared" ref="E89:E96" si="154">F89+G89</f>
        <v>1117682.2000000002</v>
      </c>
      <c r="F89" s="63">
        <f>F90+F92+F93+F94+F95+F91+F96</f>
        <v>1117682.2000000002</v>
      </c>
      <c r="G89" s="63">
        <f t="shared" ref="G89:H89" si="155">G90+G92+G93+G94+G95+G91+G96</f>
        <v>0</v>
      </c>
      <c r="H89" s="63">
        <f t="shared" si="155"/>
        <v>0</v>
      </c>
      <c r="I89" s="63">
        <f t="shared" si="96"/>
        <v>1554873.68</v>
      </c>
      <c r="J89" s="63">
        <f>J90+J92+J93+J94+J95+J91+J96</f>
        <v>1554873.68</v>
      </c>
      <c r="K89" s="63">
        <f t="shared" ref="K89:L89" si="156">K90+K92+K93+K94+K95+K91+K96</f>
        <v>0</v>
      </c>
      <c r="L89" s="63">
        <f t="shared" si="156"/>
        <v>0</v>
      </c>
      <c r="M89" s="61">
        <f t="shared" si="98"/>
        <v>1.3911590253472763</v>
      </c>
      <c r="N89" s="61">
        <f t="shared" si="99"/>
        <v>1.3911590253472763</v>
      </c>
      <c r="O89" s="61" t="str">
        <f t="shared" si="100"/>
        <v/>
      </c>
      <c r="P89" s="61" t="str">
        <f t="shared" si="101"/>
        <v/>
      </c>
      <c r="Q89" s="62">
        <f t="shared" si="102"/>
        <v>437191.47999999975</v>
      </c>
      <c r="R89" s="62">
        <f t="shared" si="103"/>
        <v>437191.47999999975</v>
      </c>
      <c r="S89" s="62">
        <f t="shared" si="104"/>
        <v>0</v>
      </c>
      <c r="T89" s="62">
        <f t="shared" si="105"/>
        <v>0</v>
      </c>
    </row>
    <row r="90" spans="1:20" s="39" customFormat="1" ht="56.25">
      <c r="A90" s="23" t="s">
        <v>87</v>
      </c>
      <c r="B90" s="23" t="s">
        <v>58</v>
      </c>
      <c r="C90" s="23" t="s">
        <v>3</v>
      </c>
      <c r="D90" s="24" t="s">
        <v>227</v>
      </c>
      <c r="E90" s="64">
        <f t="shared" si="154"/>
        <v>439048.83</v>
      </c>
      <c r="F90" s="110">
        <v>439048.83</v>
      </c>
      <c r="G90" s="64"/>
      <c r="H90" s="64"/>
      <c r="I90" s="64">
        <f t="shared" si="96"/>
        <v>607154.81000000006</v>
      </c>
      <c r="J90" s="66">
        <v>607154.81000000006</v>
      </c>
      <c r="K90" s="64"/>
      <c r="L90" s="64"/>
      <c r="M90" s="65">
        <f t="shared" si="98"/>
        <v>1.3828867508882783</v>
      </c>
      <c r="N90" s="65">
        <f t="shared" si="99"/>
        <v>1.3828867508882783</v>
      </c>
      <c r="O90" s="65" t="str">
        <f t="shared" si="100"/>
        <v/>
      </c>
      <c r="P90" s="65" t="str">
        <f t="shared" si="101"/>
        <v/>
      </c>
      <c r="Q90" s="66">
        <f t="shared" si="102"/>
        <v>168105.98000000004</v>
      </c>
      <c r="R90" s="66">
        <f t="shared" si="103"/>
        <v>168105.98000000004</v>
      </c>
      <c r="S90" s="66">
        <f t="shared" si="104"/>
        <v>0</v>
      </c>
      <c r="T90" s="66">
        <f t="shared" si="105"/>
        <v>0</v>
      </c>
    </row>
    <row r="91" spans="1:20" s="39" customFormat="1" ht="37.5">
      <c r="A91" s="21" t="s">
        <v>250</v>
      </c>
      <c r="B91" s="21" t="s">
        <v>8</v>
      </c>
      <c r="C91" s="21" t="s">
        <v>6</v>
      </c>
      <c r="D91" s="49" t="s">
        <v>106</v>
      </c>
      <c r="E91" s="64">
        <f t="shared" si="154"/>
        <v>29940</v>
      </c>
      <c r="F91" s="110">
        <v>29940</v>
      </c>
      <c r="G91" s="64"/>
      <c r="H91" s="64"/>
      <c r="I91" s="64">
        <f t="shared" si="96"/>
        <v>0</v>
      </c>
      <c r="J91" s="66"/>
      <c r="K91" s="64"/>
      <c r="L91" s="64"/>
      <c r="M91" s="65">
        <f t="shared" si="98"/>
        <v>0</v>
      </c>
      <c r="N91" s="65">
        <f t="shared" si="99"/>
        <v>0</v>
      </c>
      <c r="O91" s="65" t="str">
        <f t="shared" si="100"/>
        <v/>
      </c>
      <c r="P91" s="65" t="str">
        <f t="shared" si="101"/>
        <v/>
      </c>
      <c r="Q91" s="66">
        <f t="shared" si="102"/>
        <v>-29940</v>
      </c>
      <c r="R91" s="66">
        <f t="shared" si="103"/>
        <v>-29940</v>
      </c>
      <c r="S91" s="66">
        <f t="shared" si="104"/>
        <v>0</v>
      </c>
      <c r="T91" s="66">
        <f t="shared" si="105"/>
        <v>0</v>
      </c>
    </row>
    <row r="92" spans="1:20" s="39" customFormat="1" ht="37.5">
      <c r="A92" s="23" t="s">
        <v>89</v>
      </c>
      <c r="B92" s="23" t="s">
        <v>88</v>
      </c>
      <c r="C92" s="23" t="s">
        <v>17</v>
      </c>
      <c r="D92" s="38" t="s">
        <v>48</v>
      </c>
      <c r="E92" s="64">
        <f t="shared" si="154"/>
        <v>158557.45000000001</v>
      </c>
      <c r="F92" s="109">
        <v>158557.45000000001</v>
      </c>
      <c r="G92" s="64"/>
      <c r="H92" s="64"/>
      <c r="I92" s="64">
        <f t="shared" si="96"/>
        <v>222252.85</v>
      </c>
      <c r="J92" s="64">
        <f>2723+219529.85</f>
        <v>222252.85</v>
      </c>
      <c r="K92" s="64"/>
      <c r="L92" s="64"/>
      <c r="M92" s="65">
        <f t="shared" si="98"/>
        <v>1.4017181154212557</v>
      </c>
      <c r="N92" s="65">
        <f t="shared" si="99"/>
        <v>1.4017181154212557</v>
      </c>
      <c r="O92" s="65" t="str">
        <f t="shared" si="100"/>
        <v/>
      </c>
      <c r="P92" s="65" t="str">
        <f t="shared" si="101"/>
        <v/>
      </c>
      <c r="Q92" s="66">
        <f t="shared" si="102"/>
        <v>63695.399999999994</v>
      </c>
      <c r="R92" s="66">
        <f t="shared" si="103"/>
        <v>63695.399999999994</v>
      </c>
      <c r="S92" s="66">
        <f t="shared" si="104"/>
        <v>0</v>
      </c>
      <c r="T92" s="66">
        <f t="shared" si="105"/>
        <v>0</v>
      </c>
    </row>
    <row r="93" spans="1:20" s="39" customFormat="1" ht="56.25">
      <c r="A93" s="23" t="s">
        <v>24</v>
      </c>
      <c r="B93" s="23" t="s">
        <v>23</v>
      </c>
      <c r="C93" s="23" t="s">
        <v>18</v>
      </c>
      <c r="D93" s="38" t="s">
        <v>42</v>
      </c>
      <c r="E93" s="64">
        <f t="shared" si="154"/>
        <v>117877.92</v>
      </c>
      <c r="F93" s="111">
        <v>117877.92</v>
      </c>
      <c r="G93" s="64"/>
      <c r="H93" s="64"/>
      <c r="I93" s="64">
        <f t="shared" si="96"/>
        <v>166294</v>
      </c>
      <c r="J93" s="64">
        <v>166294</v>
      </c>
      <c r="K93" s="64"/>
      <c r="L93" s="64"/>
      <c r="M93" s="65">
        <f t="shared" si="98"/>
        <v>1.4107306949427001</v>
      </c>
      <c r="N93" s="65">
        <f t="shared" si="99"/>
        <v>1.4107306949427001</v>
      </c>
      <c r="O93" s="65" t="str">
        <f t="shared" si="100"/>
        <v/>
      </c>
      <c r="P93" s="65" t="str">
        <f t="shared" si="101"/>
        <v/>
      </c>
      <c r="Q93" s="66">
        <f t="shared" si="102"/>
        <v>48416.08</v>
      </c>
      <c r="R93" s="66">
        <f t="shared" si="103"/>
        <v>48416.08</v>
      </c>
      <c r="S93" s="66">
        <f t="shared" si="104"/>
        <v>0</v>
      </c>
      <c r="T93" s="66">
        <f t="shared" si="105"/>
        <v>0</v>
      </c>
    </row>
    <row r="94" spans="1:20" s="39" customFormat="1" ht="56.25">
      <c r="A94" s="23" t="s">
        <v>44</v>
      </c>
      <c r="B94" s="23" t="s">
        <v>45</v>
      </c>
      <c r="C94" s="23" t="s">
        <v>18</v>
      </c>
      <c r="D94" s="38" t="s">
        <v>46</v>
      </c>
      <c r="E94" s="64">
        <f t="shared" si="154"/>
        <v>37384</v>
      </c>
      <c r="F94" s="111">
        <v>37384</v>
      </c>
      <c r="G94" s="64"/>
      <c r="H94" s="64"/>
      <c r="I94" s="64">
        <f t="shared" si="96"/>
        <v>69514.02</v>
      </c>
      <c r="J94" s="64">
        <f>69514.02</f>
        <v>69514.02</v>
      </c>
      <c r="K94" s="64"/>
      <c r="L94" s="64"/>
      <c r="M94" s="65">
        <f t="shared" si="98"/>
        <v>1.8594591268992082</v>
      </c>
      <c r="N94" s="65">
        <f t="shared" si="99"/>
        <v>1.8594591268992082</v>
      </c>
      <c r="O94" s="65" t="str">
        <f t="shared" si="100"/>
        <v/>
      </c>
      <c r="P94" s="65" t="str">
        <f t="shared" si="101"/>
        <v/>
      </c>
      <c r="Q94" s="66">
        <f t="shared" si="102"/>
        <v>32130.020000000004</v>
      </c>
      <c r="R94" s="66">
        <f t="shared" si="103"/>
        <v>32130.020000000004</v>
      </c>
      <c r="S94" s="66">
        <f t="shared" si="104"/>
        <v>0</v>
      </c>
      <c r="T94" s="66">
        <f t="shared" si="105"/>
        <v>0</v>
      </c>
    </row>
    <row r="95" spans="1:20" s="39" customFormat="1" ht="75">
      <c r="A95" s="23" t="s">
        <v>49</v>
      </c>
      <c r="B95" s="23" t="s">
        <v>50</v>
      </c>
      <c r="C95" s="23" t="s">
        <v>18</v>
      </c>
      <c r="D95" s="24" t="s">
        <v>51</v>
      </c>
      <c r="E95" s="64">
        <f t="shared" si="154"/>
        <v>334874</v>
      </c>
      <c r="F95" s="112">
        <v>334874</v>
      </c>
      <c r="G95" s="64"/>
      <c r="H95" s="64"/>
      <c r="I95" s="64">
        <f t="shared" si="96"/>
        <v>472998</v>
      </c>
      <c r="J95" s="64">
        <v>472998</v>
      </c>
      <c r="K95" s="64"/>
      <c r="L95" s="64"/>
      <c r="M95" s="65">
        <f t="shared" si="98"/>
        <v>1.4124655840704265</v>
      </c>
      <c r="N95" s="65">
        <f t="shared" si="99"/>
        <v>1.4124655840704265</v>
      </c>
      <c r="O95" s="65" t="str">
        <f t="shared" si="100"/>
        <v/>
      </c>
      <c r="P95" s="65" t="str">
        <f t="shared" si="101"/>
        <v/>
      </c>
      <c r="Q95" s="66">
        <f t="shared" si="102"/>
        <v>138124</v>
      </c>
      <c r="R95" s="66">
        <f t="shared" si="103"/>
        <v>138124</v>
      </c>
      <c r="S95" s="66">
        <f t="shared" si="104"/>
        <v>0</v>
      </c>
      <c r="T95" s="66">
        <f t="shared" si="105"/>
        <v>0</v>
      </c>
    </row>
    <row r="96" spans="1:20" s="39" customFormat="1" ht="40.5" customHeight="1">
      <c r="A96" s="137" t="s">
        <v>318</v>
      </c>
      <c r="B96" s="137" t="s">
        <v>317</v>
      </c>
      <c r="C96" s="137" t="s">
        <v>297</v>
      </c>
      <c r="D96" s="136" t="s">
        <v>298</v>
      </c>
      <c r="E96" s="64">
        <f t="shared" si="154"/>
        <v>0</v>
      </c>
      <c r="F96" s="130"/>
      <c r="G96" s="64"/>
      <c r="H96" s="64"/>
      <c r="I96" s="64">
        <f t="shared" si="96"/>
        <v>16660</v>
      </c>
      <c r="J96" s="64">
        <f>8560+8100</f>
        <v>16660</v>
      </c>
      <c r="K96" s="64"/>
      <c r="L96" s="64"/>
      <c r="M96" s="65" t="str">
        <f t="shared" ref="M96" si="157">IFERROR((I96/E96),"")</f>
        <v/>
      </c>
      <c r="N96" s="65" t="str">
        <f t="shared" ref="N96" si="158">IFERROR((J96/F96),"")</f>
        <v/>
      </c>
      <c r="O96" s="65" t="str">
        <f t="shared" ref="O96" si="159">IFERROR((K96/G96),"")</f>
        <v/>
      </c>
      <c r="P96" s="65" t="str">
        <f t="shared" ref="P96" si="160">IFERROR((L96/H96),"")</f>
        <v/>
      </c>
      <c r="Q96" s="66">
        <f t="shared" ref="Q96" si="161">I96-E96</f>
        <v>16660</v>
      </c>
      <c r="R96" s="66">
        <f t="shared" ref="R96" si="162">J96-F96</f>
        <v>16660</v>
      </c>
      <c r="S96" s="66">
        <f t="shared" ref="S96" si="163">K96-G96</f>
        <v>0</v>
      </c>
      <c r="T96" s="66">
        <f t="shared" ref="T96" si="164">L96-H96</f>
        <v>0</v>
      </c>
    </row>
    <row r="97" spans="1:20" s="30" customFormat="1" ht="75">
      <c r="A97" s="25" t="s">
        <v>90</v>
      </c>
      <c r="B97" s="25"/>
      <c r="C97" s="25"/>
      <c r="D97" s="10" t="s">
        <v>215</v>
      </c>
      <c r="E97" s="63">
        <f t="shared" ref="E97:L97" si="165">E98</f>
        <v>50711513.850000009</v>
      </c>
      <c r="F97" s="63">
        <f t="shared" si="165"/>
        <v>50662283.580000006</v>
      </c>
      <c r="G97" s="63">
        <f t="shared" si="165"/>
        <v>49230.27</v>
      </c>
      <c r="H97" s="63">
        <f t="shared" si="165"/>
        <v>44307.24</v>
      </c>
      <c r="I97" s="63">
        <f t="shared" si="165"/>
        <v>58824606.519999996</v>
      </c>
      <c r="J97" s="63">
        <f t="shared" si="165"/>
        <v>58122156.519999996</v>
      </c>
      <c r="K97" s="63">
        <f t="shared" si="165"/>
        <v>702450</v>
      </c>
      <c r="L97" s="63">
        <f t="shared" si="165"/>
        <v>702450</v>
      </c>
      <c r="M97" s="61">
        <f t="shared" si="98"/>
        <v>1.1599852194118632</v>
      </c>
      <c r="N97" s="61">
        <f t="shared" si="99"/>
        <v>1.1472470724344714</v>
      </c>
      <c r="O97" s="61">
        <f t="shared" si="100"/>
        <v>14.26866031813354</v>
      </c>
      <c r="P97" s="61">
        <f t="shared" si="101"/>
        <v>15.85406809361179</v>
      </c>
      <c r="Q97" s="62">
        <f t="shared" si="102"/>
        <v>8113092.6699999869</v>
      </c>
      <c r="R97" s="62">
        <f t="shared" si="103"/>
        <v>7459872.9399999902</v>
      </c>
      <c r="S97" s="62">
        <f t="shared" si="104"/>
        <v>653219.73</v>
      </c>
      <c r="T97" s="62">
        <f t="shared" si="105"/>
        <v>658142.76</v>
      </c>
    </row>
    <row r="98" spans="1:20" s="30" customFormat="1" ht="75">
      <c r="A98" s="25" t="s">
        <v>91</v>
      </c>
      <c r="B98" s="25"/>
      <c r="C98" s="25"/>
      <c r="D98" s="10" t="s">
        <v>215</v>
      </c>
      <c r="E98" s="63">
        <f t="shared" ref="E98:E112" si="166">F98+G98</f>
        <v>50711513.850000009</v>
      </c>
      <c r="F98" s="63">
        <f>F99+F101+F104+F106+F107+F110+F111+F102+F103+F109+F112+F100+F105+F108+F113</f>
        <v>50662283.580000006</v>
      </c>
      <c r="G98" s="63">
        <f t="shared" ref="G98:H98" si="167">G99+G101+G104+G106+G107+G110+G111+G102+G103+G109+G112+G100+G105+G108+G113</f>
        <v>49230.27</v>
      </c>
      <c r="H98" s="63">
        <f t="shared" si="167"/>
        <v>44307.24</v>
      </c>
      <c r="I98" s="63">
        <f t="shared" ref="I98" si="168">J98+K98</f>
        <v>58824606.519999996</v>
      </c>
      <c r="J98" s="63">
        <f>J99+J101+J104+J106+J107+J110+J111+J102+J103+J109+J112+J100+J105+J108+J113</f>
        <v>58122156.519999996</v>
      </c>
      <c r="K98" s="63">
        <f t="shared" ref="K98:L98" si="169">K99+K101+K104+K106+K107+K110+K111+K102+K103+K109+K112+K100+K105+K108+K113</f>
        <v>702450</v>
      </c>
      <c r="L98" s="63">
        <f t="shared" si="169"/>
        <v>702450</v>
      </c>
      <c r="M98" s="61">
        <f t="shared" si="98"/>
        <v>1.1599852194118632</v>
      </c>
      <c r="N98" s="61">
        <f t="shared" si="99"/>
        <v>1.1472470724344714</v>
      </c>
      <c r="O98" s="61" t="s">
        <v>326</v>
      </c>
      <c r="P98" s="61" t="s">
        <v>327</v>
      </c>
      <c r="Q98" s="62">
        <f t="shared" si="102"/>
        <v>8113092.6699999869</v>
      </c>
      <c r="R98" s="62">
        <f t="shared" si="103"/>
        <v>7459872.9399999902</v>
      </c>
      <c r="S98" s="62">
        <f t="shared" si="104"/>
        <v>653219.73</v>
      </c>
      <c r="T98" s="62">
        <f t="shared" si="105"/>
        <v>658142.76</v>
      </c>
    </row>
    <row r="99" spans="1:20" s="39" customFormat="1" ht="56.25">
      <c r="A99" s="23" t="s">
        <v>92</v>
      </c>
      <c r="B99" s="23" t="s">
        <v>58</v>
      </c>
      <c r="C99" s="23" t="s">
        <v>3</v>
      </c>
      <c r="D99" s="24" t="s">
        <v>227</v>
      </c>
      <c r="E99" s="64">
        <f t="shared" si="166"/>
        <v>837159.76</v>
      </c>
      <c r="F99" s="113">
        <v>837159.76</v>
      </c>
      <c r="G99" s="64"/>
      <c r="H99" s="64"/>
      <c r="I99" s="64">
        <f t="shared" si="96"/>
        <v>1148317.44</v>
      </c>
      <c r="J99" s="64">
        <v>1148317.44</v>
      </c>
      <c r="K99" s="64"/>
      <c r="L99" s="64"/>
      <c r="M99" s="65">
        <f t="shared" si="98"/>
        <v>1.3716825567440079</v>
      </c>
      <c r="N99" s="65">
        <f t="shared" si="99"/>
        <v>1.3716825567440079</v>
      </c>
      <c r="O99" s="65" t="str">
        <f t="shared" si="100"/>
        <v/>
      </c>
      <c r="P99" s="65" t="str">
        <f t="shared" si="101"/>
        <v/>
      </c>
      <c r="Q99" s="66">
        <f t="shared" si="102"/>
        <v>311157.67999999993</v>
      </c>
      <c r="R99" s="66">
        <f t="shared" si="103"/>
        <v>311157.67999999993</v>
      </c>
      <c r="S99" s="66">
        <f t="shared" si="104"/>
        <v>0</v>
      </c>
      <c r="T99" s="66">
        <f t="shared" si="105"/>
        <v>0</v>
      </c>
    </row>
    <row r="100" spans="1:20" s="39" customFormat="1" ht="56.25">
      <c r="A100" s="23" t="s">
        <v>285</v>
      </c>
      <c r="B100" s="23" t="s">
        <v>115</v>
      </c>
      <c r="C100" s="46" t="s">
        <v>116</v>
      </c>
      <c r="D100" s="40" t="s">
        <v>117</v>
      </c>
      <c r="E100" s="64">
        <f t="shared" si="166"/>
        <v>2200</v>
      </c>
      <c r="F100" s="113">
        <v>2200</v>
      </c>
      <c r="G100" s="64"/>
      <c r="H100" s="64"/>
      <c r="I100" s="64">
        <f t="shared" si="96"/>
        <v>0</v>
      </c>
      <c r="J100" s="64"/>
      <c r="K100" s="64"/>
      <c r="L100" s="64"/>
      <c r="M100" s="65">
        <f t="shared" si="98"/>
        <v>0</v>
      </c>
      <c r="N100" s="65">
        <f t="shared" si="99"/>
        <v>0</v>
      </c>
      <c r="O100" s="65" t="str">
        <f t="shared" si="100"/>
        <v/>
      </c>
      <c r="P100" s="65" t="str">
        <f t="shared" si="101"/>
        <v/>
      </c>
      <c r="Q100" s="66">
        <f t="shared" si="102"/>
        <v>-2200</v>
      </c>
      <c r="R100" s="66">
        <f t="shared" si="103"/>
        <v>-2200</v>
      </c>
      <c r="S100" s="66">
        <f t="shared" si="104"/>
        <v>0</v>
      </c>
      <c r="T100" s="66">
        <f t="shared" si="105"/>
        <v>0</v>
      </c>
    </row>
    <row r="101" spans="1:20" s="39" customFormat="1" ht="37.5">
      <c r="A101" s="23" t="s">
        <v>223</v>
      </c>
      <c r="B101" s="23" t="s">
        <v>8</v>
      </c>
      <c r="C101" s="23" t="s">
        <v>6</v>
      </c>
      <c r="D101" s="24" t="s">
        <v>106</v>
      </c>
      <c r="E101" s="64">
        <f t="shared" si="166"/>
        <v>7485</v>
      </c>
      <c r="F101" s="113">
        <v>7485</v>
      </c>
      <c r="G101" s="64"/>
      <c r="H101" s="64"/>
      <c r="I101" s="64">
        <f t="shared" si="96"/>
        <v>0</v>
      </c>
      <c r="J101" s="64"/>
      <c r="K101" s="64"/>
      <c r="L101" s="64"/>
      <c r="M101" s="65">
        <f t="shared" si="98"/>
        <v>0</v>
      </c>
      <c r="N101" s="65">
        <f t="shared" si="99"/>
        <v>0</v>
      </c>
      <c r="O101" s="65" t="str">
        <f t="shared" si="100"/>
        <v/>
      </c>
      <c r="P101" s="65" t="str">
        <f t="shared" si="101"/>
        <v/>
      </c>
      <c r="Q101" s="66">
        <f t="shared" si="102"/>
        <v>-7485</v>
      </c>
      <c r="R101" s="66">
        <f t="shared" si="103"/>
        <v>-7485</v>
      </c>
      <c r="S101" s="66">
        <f t="shared" si="104"/>
        <v>0</v>
      </c>
      <c r="T101" s="66">
        <f t="shared" si="105"/>
        <v>0</v>
      </c>
    </row>
    <row r="102" spans="1:20" s="39" customFormat="1" ht="37.5">
      <c r="A102" s="22">
        <v>1216011</v>
      </c>
      <c r="B102" s="22">
        <v>6011</v>
      </c>
      <c r="C102" s="22" t="s">
        <v>39</v>
      </c>
      <c r="D102" s="49" t="s">
        <v>103</v>
      </c>
      <c r="E102" s="64">
        <f t="shared" si="166"/>
        <v>9246.6</v>
      </c>
      <c r="F102" s="114"/>
      <c r="G102" s="114">
        <v>9246.6</v>
      </c>
      <c r="H102" s="114">
        <v>9246.6</v>
      </c>
      <c r="I102" s="64">
        <f t="shared" si="96"/>
        <v>0</v>
      </c>
      <c r="J102" s="64"/>
      <c r="K102" s="64"/>
      <c r="L102" s="64"/>
      <c r="M102" s="65">
        <f t="shared" ref="M102" si="170">IFERROR((I102/E102),"")</f>
        <v>0</v>
      </c>
      <c r="N102" s="65" t="str">
        <f t="shared" ref="N102" si="171">IFERROR((J102/F102),"")</f>
        <v/>
      </c>
      <c r="O102" s="65">
        <f t="shared" ref="O102" si="172">IFERROR((K102/G102),"")</f>
        <v>0</v>
      </c>
      <c r="P102" s="65">
        <f t="shared" ref="P102" si="173">IFERROR((L102/H102),"")</f>
        <v>0</v>
      </c>
      <c r="Q102" s="66">
        <f t="shared" si="102"/>
        <v>-9246.6</v>
      </c>
      <c r="R102" s="66">
        <f t="shared" si="103"/>
        <v>0</v>
      </c>
      <c r="S102" s="66">
        <f t="shared" si="104"/>
        <v>-9246.6</v>
      </c>
      <c r="T102" s="66">
        <f t="shared" si="105"/>
        <v>-9246.6</v>
      </c>
    </row>
    <row r="103" spans="1:20" s="39" customFormat="1" ht="37.5">
      <c r="A103" s="21" t="s">
        <v>273</v>
      </c>
      <c r="B103" s="21" t="s">
        <v>274</v>
      </c>
      <c r="C103" s="21" t="s">
        <v>7</v>
      </c>
      <c r="D103" s="49" t="s">
        <v>275</v>
      </c>
      <c r="E103" s="64">
        <f t="shared" si="166"/>
        <v>35060.639999999999</v>
      </c>
      <c r="F103" s="115"/>
      <c r="G103" s="115">
        <v>35060.639999999999</v>
      </c>
      <c r="H103" s="115">
        <v>35060.639999999999</v>
      </c>
      <c r="I103" s="64">
        <f t="shared" si="96"/>
        <v>0</v>
      </c>
      <c r="J103" s="64"/>
      <c r="K103" s="64"/>
      <c r="L103" s="64"/>
      <c r="M103" s="65">
        <f t="shared" si="98"/>
        <v>0</v>
      </c>
      <c r="N103" s="65" t="str">
        <f t="shared" si="99"/>
        <v/>
      </c>
      <c r="O103" s="65">
        <f t="shared" si="100"/>
        <v>0</v>
      </c>
      <c r="P103" s="65">
        <f t="shared" si="101"/>
        <v>0</v>
      </c>
      <c r="Q103" s="66">
        <f t="shared" si="102"/>
        <v>-35060.639999999999</v>
      </c>
      <c r="R103" s="66">
        <f t="shared" si="103"/>
        <v>0</v>
      </c>
      <c r="S103" s="66">
        <f t="shared" si="104"/>
        <v>-35060.639999999999</v>
      </c>
      <c r="T103" s="66">
        <f t="shared" si="105"/>
        <v>-35060.639999999999</v>
      </c>
    </row>
    <row r="104" spans="1:20" s="39" customFormat="1" ht="56.25">
      <c r="A104" s="23" t="s">
        <v>149</v>
      </c>
      <c r="B104" s="23" t="s">
        <v>150</v>
      </c>
      <c r="C104" s="23" t="s">
        <v>7</v>
      </c>
      <c r="D104" s="38" t="s">
        <v>151</v>
      </c>
      <c r="E104" s="64">
        <f t="shared" si="166"/>
        <v>300051.58</v>
      </c>
      <c r="F104" s="115">
        <v>300051.58</v>
      </c>
      <c r="G104" s="115"/>
      <c r="H104" s="115"/>
      <c r="I104" s="64">
        <f t="shared" si="96"/>
        <v>269540.8</v>
      </c>
      <c r="J104" s="64">
        <v>251542.6</v>
      </c>
      <c r="K104" s="64">
        <v>17998.2</v>
      </c>
      <c r="L104" s="64">
        <v>17998.2</v>
      </c>
      <c r="M104" s="65">
        <f t="shared" si="98"/>
        <v>0.89831488306110563</v>
      </c>
      <c r="N104" s="65">
        <f t="shared" si="99"/>
        <v>0.83833119625632369</v>
      </c>
      <c r="O104" s="65" t="str">
        <f t="shared" si="100"/>
        <v/>
      </c>
      <c r="P104" s="65" t="str">
        <f t="shared" si="101"/>
        <v/>
      </c>
      <c r="Q104" s="66">
        <f t="shared" si="102"/>
        <v>-30510.780000000028</v>
      </c>
      <c r="R104" s="66">
        <f t="shared" si="103"/>
        <v>-48508.98000000001</v>
      </c>
      <c r="S104" s="66">
        <f t="shared" si="104"/>
        <v>17998.2</v>
      </c>
      <c r="T104" s="66">
        <f t="shared" si="105"/>
        <v>17998.2</v>
      </c>
    </row>
    <row r="105" spans="1:20" s="39" customFormat="1" ht="75">
      <c r="A105" s="21">
        <v>1216020</v>
      </c>
      <c r="B105" s="21">
        <v>6020</v>
      </c>
      <c r="C105" s="21" t="s">
        <v>7</v>
      </c>
      <c r="D105" s="55" t="s">
        <v>291</v>
      </c>
      <c r="E105" s="64">
        <f t="shared" ref="E105" si="174">F105+G105</f>
        <v>13457388.99</v>
      </c>
      <c r="F105" s="116">
        <v>13457388.99</v>
      </c>
      <c r="G105" s="64"/>
      <c r="H105" s="64"/>
      <c r="I105" s="64">
        <f t="shared" ref="I105" si="175">J105+K105</f>
        <v>0</v>
      </c>
      <c r="J105" s="64"/>
      <c r="K105" s="64"/>
      <c r="L105" s="64"/>
      <c r="M105" s="65"/>
      <c r="N105" s="65"/>
      <c r="O105" s="65"/>
      <c r="P105" s="65"/>
      <c r="Q105" s="66">
        <f t="shared" ref="Q105" si="176">I105-E105</f>
        <v>-13457388.99</v>
      </c>
      <c r="R105" s="66">
        <f t="shared" ref="R105" si="177">J105-F105</f>
        <v>-13457388.99</v>
      </c>
      <c r="S105" s="66">
        <f t="shared" ref="S105" si="178">K105-G105</f>
        <v>0</v>
      </c>
      <c r="T105" s="66">
        <f t="shared" ref="T105" si="179">L105-H105</f>
        <v>0</v>
      </c>
    </row>
    <row r="106" spans="1:20" s="39" customFormat="1" ht="37.5">
      <c r="A106" s="23" t="s">
        <v>93</v>
      </c>
      <c r="B106" s="23" t="s">
        <v>40</v>
      </c>
      <c r="C106" s="23" t="s">
        <v>7</v>
      </c>
      <c r="D106" s="24" t="s">
        <v>55</v>
      </c>
      <c r="E106" s="64">
        <f t="shared" si="166"/>
        <v>0</v>
      </c>
      <c r="F106" s="116"/>
      <c r="G106" s="64"/>
      <c r="H106" s="64"/>
      <c r="I106" s="64">
        <f t="shared" si="96"/>
        <v>15274768.699999999</v>
      </c>
      <c r="J106" s="64">
        <f>7918211.88+3306078.77+4050478.05</f>
        <v>15274768.699999999</v>
      </c>
      <c r="K106" s="64"/>
      <c r="L106" s="64"/>
      <c r="M106" s="65" t="str">
        <f t="shared" si="98"/>
        <v/>
      </c>
      <c r="N106" s="65" t="str">
        <f t="shared" si="99"/>
        <v/>
      </c>
      <c r="O106" s="65" t="str">
        <f t="shared" si="100"/>
        <v/>
      </c>
      <c r="P106" s="65" t="str">
        <f t="shared" si="101"/>
        <v/>
      </c>
      <c r="Q106" s="66">
        <f t="shared" si="102"/>
        <v>15274768.699999999</v>
      </c>
      <c r="R106" s="66">
        <f t="shared" si="103"/>
        <v>15274768.699999999</v>
      </c>
      <c r="S106" s="66">
        <f t="shared" si="104"/>
        <v>0</v>
      </c>
      <c r="T106" s="66">
        <f t="shared" si="105"/>
        <v>0</v>
      </c>
    </row>
    <row r="107" spans="1:20" s="39" customFormat="1" ht="56.25">
      <c r="A107" s="23" t="s">
        <v>122</v>
      </c>
      <c r="B107" s="23" t="s">
        <v>101</v>
      </c>
      <c r="C107" s="23" t="s">
        <v>41</v>
      </c>
      <c r="D107" s="38" t="s">
        <v>102</v>
      </c>
      <c r="E107" s="64">
        <f t="shared" si="166"/>
        <v>7095247.2000000002</v>
      </c>
      <c r="F107" s="117">
        <v>7095247.2000000002</v>
      </c>
      <c r="G107" s="64"/>
      <c r="H107" s="64"/>
      <c r="I107" s="64">
        <f t="shared" si="96"/>
        <v>7129969.2000000002</v>
      </c>
      <c r="J107" s="64">
        <v>7129969.2000000002</v>
      </c>
      <c r="K107" s="64"/>
      <c r="L107" s="64"/>
      <c r="M107" s="65">
        <f t="shared" si="98"/>
        <v>1.0048936984182877</v>
      </c>
      <c r="N107" s="65">
        <f t="shared" si="99"/>
        <v>1.0048936984182877</v>
      </c>
      <c r="O107" s="65" t="str">
        <f t="shared" si="100"/>
        <v/>
      </c>
      <c r="P107" s="65" t="str">
        <f t="shared" si="101"/>
        <v/>
      </c>
      <c r="Q107" s="66">
        <f t="shared" si="102"/>
        <v>34722</v>
      </c>
      <c r="R107" s="66">
        <f t="shared" si="103"/>
        <v>34722</v>
      </c>
      <c r="S107" s="66">
        <f t="shared" si="104"/>
        <v>0</v>
      </c>
      <c r="T107" s="66">
        <f t="shared" si="105"/>
        <v>0</v>
      </c>
    </row>
    <row r="108" spans="1:20" s="39" customFormat="1" ht="37.5">
      <c r="A108" s="21">
        <v>1217670</v>
      </c>
      <c r="B108" s="21">
        <v>7670</v>
      </c>
      <c r="C108" s="22" t="s">
        <v>20</v>
      </c>
      <c r="D108" s="55" t="s">
        <v>292</v>
      </c>
      <c r="E108" s="64">
        <f t="shared" ref="E108" si="180">F108+G108</f>
        <v>0</v>
      </c>
      <c r="F108" s="64"/>
      <c r="G108" s="64"/>
      <c r="H108" s="64"/>
      <c r="I108" s="64">
        <f t="shared" ref="I108" si="181">J108+K108</f>
        <v>590506.80000000005</v>
      </c>
      <c r="J108" s="64"/>
      <c r="K108" s="64">
        <v>590506.80000000005</v>
      </c>
      <c r="L108" s="64">
        <v>590506.80000000005</v>
      </c>
      <c r="M108" s="65" t="str">
        <f t="shared" ref="M108" si="182">IFERROR((I108/E108),"")</f>
        <v/>
      </c>
      <c r="N108" s="65" t="str">
        <f t="shared" ref="N108" si="183">IFERROR((J108/F108),"")</f>
        <v/>
      </c>
      <c r="O108" s="65" t="str">
        <f t="shared" ref="O108" si="184">IFERROR((K108/G108),"")</f>
        <v/>
      </c>
      <c r="P108" s="65" t="str">
        <f t="shared" ref="P108" si="185">IFERROR((L108/H108),"")</f>
        <v/>
      </c>
      <c r="Q108" s="66">
        <f t="shared" ref="Q108" si="186">I108-E108</f>
        <v>590506.80000000005</v>
      </c>
      <c r="R108" s="66">
        <f t="shared" ref="R108" si="187">J108-F108</f>
        <v>0</v>
      </c>
      <c r="S108" s="66">
        <f t="shared" ref="S108" si="188">K108-G108</f>
        <v>590506.80000000005</v>
      </c>
      <c r="T108" s="66">
        <f t="shared" ref="T108" si="189">L108-H108</f>
        <v>590506.80000000005</v>
      </c>
    </row>
    <row r="109" spans="1:20" s="39" customFormat="1" ht="168.75">
      <c r="A109" s="22">
        <v>1217691</v>
      </c>
      <c r="B109" s="22">
        <v>7691</v>
      </c>
      <c r="C109" s="22" t="s">
        <v>20</v>
      </c>
      <c r="D109" s="49" t="s">
        <v>276</v>
      </c>
      <c r="E109" s="64">
        <f t="shared" si="166"/>
        <v>4923.03</v>
      </c>
      <c r="F109" s="64"/>
      <c r="G109" s="118">
        <v>4923.03</v>
      </c>
      <c r="H109" s="64"/>
      <c r="I109" s="64">
        <f t="shared" si="96"/>
        <v>0</v>
      </c>
      <c r="J109" s="64"/>
      <c r="K109" s="64"/>
      <c r="L109" s="64"/>
      <c r="M109" s="65">
        <f t="shared" si="98"/>
        <v>0</v>
      </c>
      <c r="N109" s="65" t="str">
        <f t="shared" si="99"/>
        <v/>
      </c>
      <c r="O109" s="65">
        <f t="shared" si="100"/>
        <v>0</v>
      </c>
      <c r="P109" s="65" t="str">
        <f t="shared" si="101"/>
        <v/>
      </c>
      <c r="Q109" s="66">
        <f t="shared" si="102"/>
        <v>-4923.03</v>
      </c>
      <c r="R109" s="66">
        <f t="shared" si="103"/>
        <v>0</v>
      </c>
      <c r="S109" s="66">
        <f t="shared" si="104"/>
        <v>-4923.03</v>
      </c>
      <c r="T109" s="66">
        <f t="shared" si="105"/>
        <v>0</v>
      </c>
    </row>
    <row r="110" spans="1:20" s="39" customFormat="1" ht="37.5">
      <c r="A110" s="21">
        <v>1217693</v>
      </c>
      <c r="B110" s="21" t="s">
        <v>129</v>
      </c>
      <c r="C110" s="21" t="s">
        <v>20</v>
      </c>
      <c r="D110" s="49" t="s">
        <v>233</v>
      </c>
      <c r="E110" s="64">
        <f t="shared" si="166"/>
        <v>28345583.629999999</v>
      </c>
      <c r="F110" s="119">
        <v>28345583.629999999</v>
      </c>
      <c r="G110" s="64"/>
      <c r="H110" s="64"/>
      <c r="I110" s="64">
        <f t="shared" si="96"/>
        <v>33599428.68</v>
      </c>
      <c r="J110" s="64">
        <f>599428.68+24000000+9000000</f>
        <v>33599428.68</v>
      </c>
      <c r="K110" s="64"/>
      <c r="L110" s="64"/>
      <c r="M110" s="65">
        <f t="shared" si="98"/>
        <v>1.1853496868711326</v>
      </c>
      <c r="N110" s="65">
        <f t="shared" si="99"/>
        <v>1.1853496868711326</v>
      </c>
      <c r="O110" s="65" t="str">
        <f t="shared" si="100"/>
        <v/>
      </c>
      <c r="P110" s="65" t="str">
        <f t="shared" si="101"/>
        <v/>
      </c>
      <c r="Q110" s="66">
        <f t="shared" si="102"/>
        <v>5253845.0500000007</v>
      </c>
      <c r="R110" s="66">
        <f t="shared" si="103"/>
        <v>5253845.0500000007</v>
      </c>
      <c r="S110" s="66">
        <f t="shared" si="104"/>
        <v>0</v>
      </c>
      <c r="T110" s="66">
        <f t="shared" si="105"/>
        <v>0</v>
      </c>
    </row>
    <row r="111" spans="1:20" s="39" customFormat="1" ht="56.25">
      <c r="A111" s="21">
        <v>1218110</v>
      </c>
      <c r="B111" s="21">
        <v>8110</v>
      </c>
      <c r="C111" s="22" t="s">
        <v>5</v>
      </c>
      <c r="D111" s="49" t="s">
        <v>131</v>
      </c>
      <c r="E111" s="64">
        <f t="shared" si="166"/>
        <v>613161.41999999993</v>
      </c>
      <c r="F111" s="120">
        <v>613161.41999999993</v>
      </c>
      <c r="G111" s="64"/>
      <c r="H111" s="64"/>
      <c r="I111" s="64">
        <f t="shared" si="96"/>
        <v>420648.39</v>
      </c>
      <c r="J111" s="64">
        <f>228786.64+191861.75</f>
        <v>420648.39</v>
      </c>
      <c r="K111" s="64"/>
      <c r="L111" s="64"/>
      <c r="M111" s="65">
        <f t="shared" si="98"/>
        <v>0.68603205661569522</v>
      </c>
      <c r="N111" s="65">
        <f t="shared" si="99"/>
        <v>0.68603205661569522</v>
      </c>
      <c r="O111" s="65" t="str">
        <f t="shared" si="100"/>
        <v/>
      </c>
      <c r="P111" s="65" t="str">
        <f t="shared" si="101"/>
        <v/>
      </c>
      <c r="Q111" s="66">
        <f t="shared" si="102"/>
        <v>-192513.02999999991</v>
      </c>
      <c r="R111" s="66">
        <f t="shared" si="103"/>
        <v>-192513.02999999991</v>
      </c>
      <c r="S111" s="66">
        <f t="shared" si="104"/>
        <v>0</v>
      </c>
      <c r="T111" s="66">
        <f t="shared" si="105"/>
        <v>0</v>
      </c>
    </row>
    <row r="112" spans="1:20" s="39" customFormat="1" ht="37.5">
      <c r="A112" s="21">
        <v>1218240</v>
      </c>
      <c r="B112" s="21">
        <v>8240</v>
      </c>
      <c r="C112" s="22" t="s">
        <v>216</v>
      </c>
      <c r="D112" s="20" t="s">
        <v>234</v>
      </c>
      <c r="E112" s="64">
        <f t="shared" si="166"/>
        <v>4006</v>
      </c>
      <c r="F112" s="121">
        <v>4006</v>
      </c>
      <c r="G112" s="64"/>
      <c r="H112" s="64"/>
      <c r="I112" s="64">
        <v>93945</v>
      </c>
      <c r="J112" s="64"/>
      <c r="K112" s="64">
        <v>93945</v>
      </c>
      <c r="L112" s="64">
        <v>93945</v>
      </c>
      <c r="M112" s="65" t="s">
        <v>328</v>
      </c>
      <c r="N112" s="65">
        <f t="shared" si="99"/>
        <v>0</v>
      </c>
      <c r="O112" s="65" t="str">
        <f t="shared" si="100"/>
        <v/>
      </c>
      <c r="P112" s="65" t="str">
        <f t="shared" si="101"/>
        <v/>
      </c>
      <c r="Q112" s="66">
        <f t="shared" si="102"/>
        <v>89939</v>
      </c>
      <c r="R112" s="66">
        <f t="shared" si="103"/>
        <v>-4006</v>
      </c>
      <c r="S112" s="66">
        <f t="shared" si="104"/>
        <v>93945</v>
      </c>
      <c r="T112" s="66">
        <f t="shared" si="105"/>
        <v>93945</v>
      </c>
    </row>
    <row r="113" spans="1:20" s="39" customFormat="1" ht="63">
      <c r="A113" s="72" t="s">
        <v>307</v>
      </c>
      <c r="B113" s="73">
        <v>8741</v>
      </c>
      <c r="C113" s="72" t="s">
        <v>39</v>
      </c>
      <c r="D113" s="59" t="s">
        <v>308</v>
      </c>
      <c r="E113" s="64">
        <f t="shared" ref="E113" si="190">F113+G113</f>
        <v>0</v>
      </c>
      <c r="F113" s="64"/>
      <c r="G113" s="64"/>
      <c r="H113" s="64"/>
      <c r="I113" s="64">
        <f t="shared" ref="I113" si="191">J113+K113</f>
        <v>297481.51</v>
      </c>
      <c r="J113" s="64">
        <v>297481.51</v>
      </c>
      <c r="K113" s="64"/>
      <c r="L113" s="64"/>
      <c r="M113" s="65" t="str">
        <f t="shared" ref="M113" si="192">IFERROR((I113/E113),"")</f>
        <v/>
      </c>
      <c r="N113" s="65" t="str">
        <f t="shared" ref="N113" si="193">IFERROR((J113/F113),"")</f>
        <v/>
      </c>
      <c r="O113" s="65" t="str">
        <f t="shared" ref="O113" si="194">IFERROR((K113/G113),"")</f>
        <v/>
      </c>
      <c r="P113" s="65" t="str">
        <f t="shared" ref="P113" si="195">IFERROR((L113/H113),"")</f>
        <v/>
      </c>
      <c r="Q113" s="66">
        <f t="shared" ref="Q113" si="196">I113-E113</f>
        <v>297481.51</v>
      </c>
      <c r="R113" s="66">
        <f t="shared" ref="R113" si="197">J113-F113</f>
        <v>297481.51</v>
      </c>
      <c r="S113" s="66">
        <f t="shared" ref="S113" si="198">K113-G113</f>
        <v>0</v>
      </c>
      <c r="T113" s="66">
        <f t="shared" ref="T113" si="199">L113-H113</f>
        <v>0</v>
      </c>
    </row>
    <row r="114" spans="1:20" s="30" customFormat="1" ht="56.25">
      <c r="A114" s="25" t="s">
        <v>25</v>
      </c>
      <c r="B114" s="25"/>
      <c r="C114" s="25"/>
      <c r="D114" s="10" t="s">
        <v>207</v>
      </c>
      <c r="E114" s="63">
        <f t="shared" ref="E114:L114" si="200">E115</f>
        <v>12797559.770000001</v>
      </c>
      <c r="F114" s="63">
        <f t="shared" si="200"/>
        <v>888682.73</v>
      </c>
      <c r="G114" s="63">
        <f t="shared" si="200"/>
        <v>11908877.040000001</v>
      </c>
      <c r="H114" s="63">
        <f t="shared" si="200"/>
        <v>11908877.040000001</v>
      </c>
      <c r="I114" s="63">
        <f t="shared" si="200"/>
        <v>5400137.4699999997</v>
      </c>
      <c r="J114" s="63">
        <f t="shared" si="200"/>
        <v>1312678.99</v>
      </c>
      <c r="K114" s="63">
        <f t="shared" si="200"/>
        <v>4087458.48</v>
      </c>
      <c r="L114" s="63">
        <f t="shared" si="200"/>
        <v>4087458.48</v>
      </c>
      <c r="M114" s="61">
        <f t="shared" si="98"/>
        <v>0.42196618472991898</v>
      </c>
      <c r="N114" s="61">
        <f t="shared" si="99"/>
        <v>1.4771064472019164</v>
      </c>
      <c r="O114" s="61">
        <f t="shared" si="100"/>
        <v>0.34322786827598312</v>
      </c>
      <c r="P114" s="61">
        <f t="shared" si="101"/>
        <v>0.34322786827598312</v>
      </c>
      <c r="Q114" s="62">
        <f t="shared" si="102"/>
        <v>-7397422.3000000017</v>
      </c>
      <c r="R114" s="62">
        <f t="shared" si="103"/>
        <v>423996.26</v>
      </c>
      <c r="S114" s="62">
        <f t="shared" si="104"/>
        <v>-7821418.5600000005</v>
      </c>
      <c r="T114" s="62">
        <f t="shared" si="105"/>
        <v>-7821418.5600000005</v>
      </c>
    </row>
    <row r="115" spans="1:20" s="30" customFormat="1" ht="56.25">
      <c r="A115" s="25" t="s">
        <v>26</v>
      </c>
      <c r="B115" s="25"/>
      <c r="C115" s="25"/>
      <c r="D115" s="10" t="s">
        <v>207</v>
      </c>
      <c r="E115" s="63">
        <f t="shared" ref="E115:E125" si="201">F115+G115</f>
        <v>12797559.770000001</v>
      </c>
      <c r="F115" s="63">
        <f>F116+F125+F117+F122+F124+F118+F119+F120+F121+F123</f>
        <v>888682.73</v>
      </c>
      <c r="G115" s="63">
        <f t="shared" ref="G115:H115" si="202">G116+G125+G117+G122+G124+G118+G119+G120+G121+G123</f>
        <v>11908877.040000001</v>
      </c>
      <c r="H115" s="63">
        <f t="shared" si="202"/>
        <v>11908877.040000001</v>
      </c>
      <c r="I115" s="63">
        <f t="shared" ref="I115" si="203">J115+K115</f>
        <v>5400137.4699999997</v>
      </c>
      <c r="J115" s="63">
        <f>J116+J125+J117+J122+J124+J118+J119+J120+J121+J123</f>
        <v>1312678.99</v>
      </c>
      <c r="K115" s="63">
        <f>K116+K125+K117+K122+K124+K118+K119+K120+K121+K123</f>
        <v>4087458.48</v>
      </c>
      <c r="L115" s="63">
        <f>L116+L125+L117+L122+L124+L118+L119+L120+L121+L123</f>
        <v>4087458.48</v>
      </c>
      <c r="M115" s="61">
        <f t="shared" si="98"/>
        <v>0.42196618472991898</v>
      </c>
      <c r="N115" s="61">
        <f t="shared" si="99"/>
        <v>1.4771064472019164</v>
      </c>
      <c r="O115" s="61">
        <f t="shared" si="100"/>
        <v>0.34322786827598312</v>
      </c>
      <c r="P115" s="61">
        <f t="shared" si="101"/>
        <v>0.34322786827598312</v>
      </c>
      <c r="Q115" s="62">
        <f t="shared" si="102"/>
        <v>-7397422.3000000017</v>
      </c>
      <c r="R115" s="62">
        <f t="shared" si="103"/>
        <v>423996.26</v>
      </c>
      <c r="S115" s="62">
        <f t="shared" si="104"/>
        <v>-7821418.5600000005</v>
      </c>
      <c r="T115" s="62">
        <f t="shared" si="105"/>
        <v>-7821418.5600000005</v>
      </c>
    </row>
    <row r="116" spans="1:20" s="39" customFormat="1" ht="56.25">
      <c r="A116" s="23" t="s">
        <v>94</v>
      </c>
      <c r="B116" s="23" t="s">
        <v>58</v>
      </c>
      <c r="C116" s="23" t="s">
        <v>3</v>
      </c>
      <c r="D116" s="24" t="s">
        <v>227</v>
      </c>
      <c r="E116" s="64">
        <f t="shared" si="201"/>
        <v>858742.73</v>
      </c>
      <c r="F116" s="122">
        <v>858742.73</v>
      </c>
      <c r="G116" s="64"/>
      <c r="H116" s="64"/>
      <c r="I116" s="64">
        <f t="shared" si="96"/>
        <v>1292316.99</v>
      </c>
      <c r="J116" s="64">
        <v>1292316.99</v>
      </c>
      <c r="K116" s="64"/>
      <c r="L116" s="64"/>
      <c r="M116" s="65">
        <f t="shared" si="98"/>
        <v>1.5048942423070062</v>
      </c>
      <c r="N116" s="65">
        <f t="shared" si="99"/>
        <v>1.5048942423070062</v>
      </c>
      <c r="O116" s="65" t="str">
        <f t="shared" si="100"/>
        <v/>
      </c>
      <c r="P116" s="65" t="str">
        <f t="shared" si="101"/>
        <v/>
      </c>
      <c r="Q116" s="66">
        <f t="shared" si="102"/>
        <v>433574.26</v>
      </c>
      <c r="R116" s="66">
        <f t="shared" si="103"/>
        <v>433574.26</v>
      </c>
      <c r="S116" s="66">
        <f t="shared" si="104"/>
        <v>0</v>
      </c>
      <c r="T116" s="66">
        <f t="shared" si="105"/>
        <v>0</v>
      </c>
    </row>
    <row r="117" spans="1:20" s="39" customFormat="1" ht="37.5">
      <c r="A117" s="21" t="s">
        <v>254</v>
      </c>
      <c r="B117" s="21" t="s">
        <v>8</v>
      </c>
      <c r="C117" s="21" t="s">
        <v>6</v>
      </c>
      <c r="D117" s="49" t="s">
        <v>106</v>
      </c>
      <c r="E117" s="64">
        <f t="shared" si="201"/>
        <v>29940</v>
      </c>
      <c r="F117" s="122">
        <v>29940</v>
      </c>
      <c r="G117" s="64"/>
      <c r="H117" s="64"/>
      <c r="I117" s="64">
        <f t="shared" si="96"/>
        <v>0</v>
      </c>
      <c r="J117" s="64"/>
      <c r="K117" s="64"/>
      <c r="L117" s="64"/>
      <c r="M117" s="65">
        <f t="shared" si="98"/>
        <v>0</v>
      </c>
      <c r="N117" s="65">
        <f t="shared" si="99"/>
        <v>0</v>
      </c>
      <c r="O117" s="65" t="str">
        <f t="shared" si="100"/>
        <v/>
      </c>
      <c r="P117" s="65" t="str">
        <f t="shared" si="101"/>
        <v/>
      </c>
      <c r="Q117" s="66">
        <f t="shared" si="102"/>
        <v>-29940</v>
      </c>
      <c r="R117" s="66">
        <f t="shared" si="103"/>
        <v>-29940</v>
      </c>
      <c r="S117" s="66">
        <f t="shared" si="104"/>
        <v>0</v>
      </c>
      <c r="T117" s="66">
        <f t="shared" si="105"/>
        <v>0</v>
      </c>
    </row>
    <row r="118" spans="1:20" s="39" customFormat="1" ht="37.5">
      <c r="A118" s="22">
        <v>1512010</v>
      </c>
      <c r="B118" s="22">
        <v>2010</v>
      </c>
      <c r="C118" s="22" t="s">
        <v>29</v>
      </c>
      <c r="D118" s="49" t="s">
        <v>155</v>
      </c>
      <c r="E118" s="64">
        <f t="shared" si="201"/>
        <v>495522.15</v>
      </c>
      <c r="F118" s="64"/>
      <c r="G118" s="123">
        <v>495522.15</v>
      </c>
      <c r="H118" s="123">
        <v>495522.15</v>
      </c>
      <c r="I118" s="64">
        <f t="shared" si="96"/>
        <v>0</v>
      </c>
      <c r="J118" s="64"/>
      <c r="K118" s="64"/>
      <c r="L118" s="64"/>
      <c r="M118" s="65">
        <f t="shared" ref="M118" si="204">IFERROR((I118/E118),"")</f>
        <v>0</v>
      </c>
      <c r="N118" s="65" t="str">
        <f t="shared" ref="N118" si="205">IFERROR((J118/F118),"")</f>
        <v/>
      </c>
      <c r="O118" s="65">
        <f t="shared" ref="O118" si="206">IFERROR((K118/G118),"")</f>
        <v>0</v>
      </c>
      <c r="P118" s="65">
        <f t="shared" ref="P118" si="207">IFERROR((L118/H118),"")</f>
        <v>0</v>
      </c>
      <c r="Q118" s="66">
        <f t="shared" si="102"/>
        <v>-495522.15</v>
      </c>
      <c r="R118" s="66">
        <f t="shared" si="103"/>
        <v>0</v>
      </c>
      <c r="S118" s="66">
        <f t="shared" si="104"/>
        <v>-495522.15</v>
      </c>
      <c r="T118" s="66">
        <f t="shared" si="105"/>
        <v>-495522.15</v>
      </c>
    </row>
    <row r="119" spans="1:20" s="39" customFormat="1" ht="37.5">
      <c r="A119" s="22" t="s">
        <v>277</v>
      </c>
      <c r="B119" s="22" t="s">
        <v>104</v>
      </c>
      <c r="C119" s="22" t="s">
        <v>7</v>
      </c>
      <c r="D119" s="49" t="s">
        <v>105</v>
      </c>
      <c r="E119" s="64">
        <f t="shared" si="201"/>
        <v>382749.55</v>
      </c>
      <c r="F119" s="64"/>
      <c r="G119" s="124">
        <v>382749.55</v>
      </c>
      <c r="H119" s="124">
        <v>382749.55</v>
      </c>
      <c r="I119" s="64">
        <f t="shared" si="96"/>
        <v>0</v>
      </c>
      <c r="J119" s="64"/>
      <c r="K119" s="64"/>
      <c r="L119" s="64"/>
      <c r="M119" s="65">
        <f t="shared" si="98"/>
        <v>0</v>
      </c>
      <c r="N119" s="65" t="str">
        <f t="shared" si="99"/>
        <v/>
      </c>
      <c r="O119" s="65">
        <f t="shared" si="100"/>
        <v>0</v>
      </c>
      <c r="P119" s="65">
        <f t="shared" si="101"/>
        <v>0</v>
      </c>
      <c r="Q119" s="66">
        <f t="shared" si="102"/>
        <v>-382749.55</v>
      </c>
      <c r="R119" s="66">
        <f t="shared" si="103"/>
        <v>0</v>
      </c>
      <c r="S119" s="66">
        <f t="shared" si="104"/>
        <v>-382749.55</v>
      </c>
      <c r="T119" s="66">
        <f t="shared" si="105"/>
        <v>-382749.55</v>
      </c>
    </row>
    <row r="120" spans="1:20" s="39" customFormat="1" ht="37.5">
      <c r="A120" s="22" t="s">
        <v>278</v>
      </c>
      <c r="B120" s="22" t="s">
        <v>274</v>
      </c>
      <c r="C120" s="22" t="s">
        <v>7</v>
      </c>
      <c r="D120" s="49" t="s">
        <v>275</v>
      </c>
      <c r="E120" s="64">
        <f t="shared" si="201"/>
        <v>3666824.02</v>
      </c>
      <c r="F120" s="64"/>
      <c r="G120" s="124">
        <v>3666824.02</v>
      </c>
      <c r="H120" s="124">
        <v>3666824.02</v>
      </c>
      <c r="I120" s="64">
        <f>J120+K120</f>
        <v>0</v>
      </c>
      <c r="J120" s="64"/>
      <c r="K120" s="64"/>
      <c r="L120" s="64"/>
      <c r="M120" s="65">
        <f t="shared" ref="M120" si="208">IFERROR((I120/E120),"")</f>
        <v>0</v>
      </c>
      <c r="N120" s="65" t="str">
        <f t="shared" ref="N120" si="209">IFERROR((J120/F120),"")</f>
        <v/>
      </c>
      <c r="O120" s="65">
        <f t="shared" ref="O120" si="210">IFERROR((K120/G120),"")</f>
        <v>0</v>
      </c>
      <c r="P120" s="65">
        <f t="shared" ref="P120" si="211">IFERROR((L120/H120),"")</f>
        <v>0</v>
      </c>
      <c r="Q120" s="66">
        <f t="shared" si="102"/>
        <v>-3666824.02</v>
      </c>
      <c r="R120" s="66">
        <f t="shared" si="103"/>
        <v>0</v>
      </c>
      <c r="S120" s="66">
        <f t="shared" si="104"/>
        <v>-3666824.02</v>
      </c>
      <c r="T120" s="66">
        <f t="shared" si="105"/>
        <v>-3666824.02</v>
      </c>
    </row>
    <row r="121" spans="1:20" s="39" customFormat="1" ht="37.5">
      <c r="A121" s="22" t="s">
        <v>293</v>
      </c>
      <c r="B121" s="22" t="s">
        <v>294</v>
      </c>
      <c r="C121" s="22" t="s">
        <v>20</v>
      </c>
      <c r="D121" s="55" t="s">
        <v>295</v>
      </c>
      <c r="E121" s="64">
        <f t="shared" ref="E121" si="212">F121+G121</f>
        <v>0</v>
      </c>
      <c r="F121" s="64"/>
      <c r="G121" s="64"/>
      <c r="H121" s="64"/>
      <c r="I121" s="64">
        <f t="shared" ref="I121" si="213">J121+K121</f>
        <v>3667373.17</v>
      </c>
      <c r="J121" s="64"/>
      <c r="K121" s="64">
        <v>3667373.17</v>
      </c>
      <c r="L121" s="64">
        <v>3667373.17</v>
      </c>
      <c r="M121" s="65" t="str">
        <f t="shared" ref="M121" si="214">IFERROR((I121/E121),"")</f>
        <v/>
      </c>
      <c r="N121" s="65" t="str">
        <f t="shared" ref="N121" si="215">IFERROR((J121/F121),"")</f>
        <v/>
      </c>
      <c r="O121" s="65" t="str">
        <f t="shared" ref="O121" si="216">IFERROR((K121/G121),"")</f>
        <v/>
      </c>
      <c r="P121" s="65" t="str">
        <f t="shared" ref="P121" si="217">IFERROR((L121/H121),"")</f>
        <v/>
      </c>
      <c r="Q121" s="66">
        <f t="shared" ref="Q121" si="218">I121-E121</f>
        <v>3667373.17</v>
      </c>
      <c r="R121" s="66">
        <f t="shared" ref="R121" si="219">J121-F121</f>
        <v>0</v>
      </c>
      <c r="S121" s="66">
        <f t="shared" ref="S121" si="220">K121-G121</f>
        <v>3667373.17</v>
      </c>
      <c r="T121" s="66">
        <f t="shared" ref="T121" si="221">L121-H121</f>
        <v>3667373.17</v>
      </c>
    </row>
    <row r="122" spans="1:20" s="39" customFormat="1" ht="37.5">
      <c r="A122" s="47">
        <v>1517370</v>
      </c>
      <c r="B122" s="47">
        <v>7370</v>
      </c>
      <c r="C122" s="48" t="s">
        <v>20</v>
      </c>
      <c r="D122" s="42" t="s">
        <v>283</v>
      </c>
      <c r="E122" s="64">
        <f t="shared" si="201"/>
        <v>0</v>
      </c>
      <c r="F122" s="64"/>
      <c r="G122" s="64"/>
      <c r="H122" s="64"/>
      <c r="I122" s="64">
        <f t="shared" si="96"/>
        <v>420085.31</v>
      </c>
      <c r="J122" s="64"/>
      <c r="K122" s="64">
        <v>420085.31</v>
      </c>
      <c r="L122" s="64">
        <v>420085.31</v>
      </c>
      <c r="M122" s="65"/>
      <c r="N122" s="65" t="str">
        <f t="shared" ref="N122:N144" si="222">IFERROR((J122/F122),"")</f>
        <v/>
      </c>
      <c r="O122" s="65"/>
      <c r="P122" s="65"/>
      <c r="Q122" s="66">
        <f t="shared" ref="Q122:Q144" si="223">I122-E122</f>
        <v>420085.31</v>
      </c>
      <c r="R122" s="66">
        <f t="shared" ref="R122:R144" si="224">J122-F122</f>
        <v>0</v>
      </c>
      <c r="S122" s="66">
        <f t="shared" ref="S122:S144" si="225">K122-G122</f>
        <v>420085.31</v>
      </c>
      <c r="T122" s="66">
        <f t="shared" ref="T122:T144" si="226">L122-H122</f>
        <v>420085.31</v>
      </c>
    </row>
    <row r="123" spans="1:20" s="39" customFormat="1" ht="33.75" customHeight="1">
      <c r="A123" s="139" t="s">
        <v>319</v>
      </c>
      <c r="B123" s="139" t="s">
        <v>317</v>
      </c>
      <c r="C123" s="139" t="s">
        <v>297</v>
      </c>
      <c r="D123" s="138" t="s">
        <v>298</v>
      </c>
      <c r="E123" s="64">
        <f t="shared" ref="E123" si="227">F123+G123</f>
        <v>0</v>
      </c>
      <c r="F123" s="64"/>
      <c r="G123" s="64"/>
      <c r="H123" s="64"/>
      <c r="I123" s="64">
        <f t="shared" ref="I123" si="228">J123+K123</f>
        <v>20362</v>
      </c>
      <c r="J123" s="64">
        <v>20362</v>
      </c>
      <c r="K123" s="64"/>
      <c r="L123" s="64"/>
      <c r="M123" s="65" t="str">
        <f t="shared" ref="M123" si="229">IFERROR((I123/E123),"")</f>
        <v/>
      </c>
      <c r="N123" s="65" t="str">
        <f t="shared" ref="N123" si="230">IFERROR((J123/F123),"")</f>
        <v/>
      </c>
      <c r="O123" s="65" t="str">
        <f t="shared" ref="O123" si="231">IFERROR((K123/G123),"")</f>
        <v/>
      </c>
      <c r="P123" s="65" t="str">
        <f t="shared" ref="P123" si="232">IFERROR((L123/H123),"")</f>
        <v/>
      </c>
      <c r="Q123" s="66">
        <f t="shared" ref="Q123" si="233">I123-E123</f>
        <v>20362</v>
      </c>
      <c r="R123" s="66">
        <f t="shared" ref="R123" si="234">J123-F123</f>
        <v>20362</v>
      </c>
      <c r="S123" s="66">
        <f t="shared" ref="S123" si="235">K123-G123</f>
        <v>0</v>
      </c>
      <c r="T123" s="66">
        <f t="shared" ref="T123" si="236">L123-H123</f>
        <v>0</v>
      </c>
    </row>
    <row r="124" spans="1:20" s="39" customFormat="1">
      <c r="A124" s="22" t="s">
        <v>257</v>
      </c>
      <c r="B124" s="22" t="s">
        <v>258</v>
      </c>
      <c r="C124" s="22" t="s">
        <v>259</v>
      </c>
      <c r="D124" s="49" t="s">
        <v>260</v>
      </c>
      <c r="E124" s="64">
        <f t="shared" si="201"/>
        <v>2061516.82</v>
      </c>
      <c r="F124" s="64"/>
      <c r="G124" s="125">
        <v>2061516.82</v>
      </c>
      <c r="H124" s="125">
        <v>2061516.82</v>
      </c>
      <c r="I124" s="64">
        <f t="shared" si="96"/>
        <v>0</v>
      </c>
      <c r="J124" s="64"/>
      <c r="K124" s="64"/>
      <c r="L124" s="64"/>
      <c r="M124" s="65">
        <f t="shared" ref="M124:M144" si="237">IFERROR((I124/E124),"")</f>
        <v>0</v>
      </c>
      <c r="N124" s="65" t="str">
        <f t="shared" si="222"/>
        <v/>
      </c>
      <c r="O124" s="65">
        <f t="shared" ref="O124:O144" si="238">IFERROR((K124/G124),"")</f>
        <v>0</v>
      </c>
      <c r="P124" s="65">
        <f t="shared" ref="P124:P144" si="239">IFERROR((L124/H124),"")</f>
        <v>0</v>
      </c>
      <c r="Q124" s="66">
        <f t="shared" si="223"/>
        <v>-2061516.82</v>
      </c>
      <c r="R124" s="66">
        <f t="shared" si="224"/>
        <v>0</v>
      </c>
      <c r="S124" s="66">
        <f t="shared" si="225"/>
        <v>-2061516.82</v>
      </c>
      <c r="T124" s="66">
        <f t="shared" si="226"/>
        <v>-2061516.82</v>
      </c>
    </row>
    <row r="125" spans="1:20" s="39" customFormat="1" ht="56.25">
      <c r="A125" s="22" t="s">
        <v>235</v>
      </c>
      <c r="B125" s="21">
        <v>8110</v>
      </c>
      <c r="C125" s="22" t="s">
        <v>5</v>
      </c>
      <c r="D125" s="49" t="s">
        <v>131</v>
      </c>
      <c r="E125" s="64">
        <f t="shared" si="201"/>
        <v>5302264.5</v>
      </c>
      <c r="F125" s="64"/>
      <c r="G125" s="125">
        <v>5302264.5</v>
      </c>
      <c r="H125" s="125">
        <v>5302264.5</v>
      </c>
      <c r="I125" s="64">
        <f t="shared" si="96"/>
        <v>0</v>
      </c>
      <c r="J125" s="64"/>
      <c r="K125" s="64"/>
      <c r="L125" s="64"/>
      <c r="M125" s="65">
        <f t="shared" si="237"/>
        <v>0</v>
      </c>
      <c r="N125" s="65" t="str">
        <f t="shared" si="222"/>
        <v/>
      </c>
      <c r="O125" s="65">
        <f t="shared" si="238"/>
        <v>0</v>
      </c>
      <c r="P125" s="65">
        <f t="shared" si="239"/>
        <v>0</v>
      </c>
      <c r="Q125" s="66">
        <f t="shared" si="223"/>
        <v>-5302264.5</v>
      </c>
      <c r="R125" s="66">
        <f t="shared" si="224"/>
        <v>0</v>
      </c>
      <c r="S125" s="66">
        <f t="shared" si="225"/>
        <v>-5302264.5</v>
      </c>
      <c r="T125" s="66">
        <f t="shared" si="226"/>
        <v>-5302264.5</v>
      </c>
    </row>
    <row r="126" spans="1:20" s="30" customFormat="1" ht="75">
      <c r="A126" s="25" t="s">
        <v>95</v>
      </c>
      <c r="B126" s="25"/>
      <c r="C126" s="25"/>
      <c r="D126" s="10" t="s">
        <v>208</v>
      </c>
      <c r="E126" s="63">
        <f t="shared" ref="E126:L126" si="240">E127</f>
        <v>4417983.4899999993</v>
      </c>
      <c r="F126" s="63">
        <f t="shared" si="240"/>
        <v>4417983.4899999993</v>
      </c>
      <c r="G126" s="63">
        <f t="shared" si="240"/>
        <v>0</v>
      </c>
      <c r="H126" s="63">
        <f t="shared" si="240"/>
        <v>0</v>
      </c>
      <c r="I126" s="63">
        <f t="shared" si="240"/>
        <v>5697774.21</v>
      </c>
      <c r="J126" s="63">
        <f t="shared" si="240"/>
        <v>5697774.21</v>
      </c>
      <c r="K126" s="63">
        <f t="shared" si="240"/>
        <v>0</v>
      </c>
      <c r="L126" s="63">
        <f t="shared" si="240"/>
        <v>0</v>
      </c>
      <c r="M126" s="61">
        <f t="shared" si="237"/>
        <v>1.2896775696189848</v>
      </c>
      <c r="N126" s="61">
        <f t="shared" si="222"/>
        <v>1.2896775696189848</v>
      </c>
      <c r="O126" s="61" t="str">
        <f t="shared" si="238"/>
        <v/>
      </c>
      <c r="P126" s="61" t="str">
        <f t="shared" si="239"/>
        <v/>
      </c>
      <c r="Q126" s="62">
        <f t="shared" si="223"/>
        <v>1279790.7200000007</v>
      </c>
      <c r="R126" s="62">
        <f t="shared" si="224"/>
        <v>1279790.7200000007</v>
      </c>
      <c r="S126" s="62">
        <f t="shared" si="225"/>
        <v>0</v>
      </c>
      <c r="T126" s="62">
        <f t="shared" si="226"/>
        <v>0</v>
      </c>
    </row>
    <row r="127" spans="1:20" s="30" customFormat="1" ht="75">
      <c r="A127" s="25" t="s">
        <v>96</v>
      </c>
      <c r="B127" s="25"/>
      <c r="C127" s="25"/>
      <c r="D127" s="10" t="s">
        <v>208</v>
      </c>
      <c r="E127" s="63">
        <f t="shared" ref="E127:E135" si="241">F127+G127</f>
        <v>4417983.4899999993</v>
      </c>
      <c r="F127" s="63">
        <f>F128+F133+F129+F131+F135+F134+F130+F132</f>
        <v>4417983.4899999993</v>
      </c>
      <c r="G127" s="63">
        <f t="shared" ref="G127:H127" si="242">G128+G133+G129+G131+G135+G134+G130+G132</f>
        <v>0</v>
      </c>
      <c r="H127" s="63">
        <f t="shared" si="242"/>
        <v>0</v>
      </c>
      <c r="I127" s="63">
        <f t="shared" ref="I127" si="243">J127+K127</f>
        <v>5697774.21</v>
      </c>
      <c r="J127" s="63">
        <f>J128+J133+J129+J131+J135+J134+J130+J132</f>
        <v>5697774.21</v>
      </c>
      <c r="K127" s="63">
        <f>K128+K133+K129+K131+K135+K134+K130+K132</f>
        <v>0</v>
      </c>
      <c r="L127" s="63">
        <f>L128+L133+L129+L131+L135+L134+L130+L132</f>
        <v>0</v>
      </c>
      <c r="M127" s="61">
        <f t="shared" si="237"/>
        <v>1.2896775696189848</v>
      </c>
      <c r="N127" s="61">
        <f t="shared" si="222"/>
        <v>1.2896775696189848</v>
      </c>
      <c r="O127" s="61" t="str">
        <f t="shared" si="238"/>
        <v/>
      </c>
      <c r="P127" s="61" t="str">
        <f t="shared" si="239"/>
        <v/>
      </c>
      <c r="Q127" s="62">
        <f t="shared" si="223"/>
        <v>1279790.7200000007</v>
      </c>
      <c r="R127" s="62">
        <f t="shared" si="224"/>
        <v>1279790.7200000007</v>
      </c>
      <c r="S127" s="62">
        <f t="shared" si="225"/>
        <v>0</v>
      </c>
      <c r="T127" s="62">
        <f t="shared" si="226"/>
        <v>0</v>
      </c>
    </row>
    <row r="128" spans="1:20" s="39" customFormat="1" ht="56.25">
      <c r="A128" s="23" t="s">
        <v>97</v>
      </c>
      <c r="B128" s="23" t="s">
        <v>58</v>
      </c>
      <c r="C128" s="23" t="s">
        <v>3</v>
      </c>
      <c r="D128" s="24" t="s">
        <v>227</v>
      </c>
      <c r="E128" s="64">
        <f t="shared" si="241"/>
        <v>745548.09</v>
      </c>
      <c r="F128" s="126">
        <v>745548.09</v>
      </c>
      <c r="G128" s="64"/>
      <c r="H128" s="64"/>
      <c r="I128" s="64">
        <f t="shared" ref="I128:I144" si="244">J128+K128</f>
        <v>1271619.57</v>
      </c>
      <c r="J128" s="64">
        <v>1271619.57</v>
      </c>
      <c r="K128" s="64"/>
      <c r="L128" s="64"/>
      <c r="M128" s="65">
        <f t="shared" si="237"/>
        <v>1.7056170984221823</v>
      </c>
      <c r="N128" s="65">
        <f t="shared" si="222"/>
        <v>1.7056170984221823</v>
      </c>
      <c r="O128" s="65" t="str">
        <f t="shared" si="238"/>
        <v/>
      </c>
      <c r="P128" s="65" t="str">
        <f t="shared" si="239"/>
        <v/>
      </c>
      <c r="Q128" s="66">
        <f t="shared" si="223"/>
        <v>526071.4800000001</v>
      </c>
      <c r="R128" s="66">
        <f t="shared" si="224"/>
        <v>526071.4800000001</v>
      </c>
      <c r="S128" s="66">
        <f t="shared" si="225"/>
        <v>0</v>
      </c>
      <c r="T128" s="66">
        <f t="shared" si="226"/>
        <v>0</v>
      </c>
    </row>
    <row r="129" spans="1:20" s="39" customFormat="1" ht="56.25">
      <c r="A129" s="21" t="s">
        <v>236</v>
      </c>
      <c r="B129" s="21" t="s">
        <v>150</v>
      </c>
      <c r="C129" s="21" t="s">
        <v>7</v>
      </c>
      <c r="D129" s="49" t="s">
        <v>237</v>
      </c>
      <c r="E129" s="64">
        <f t="shared" si="241"/>
        <v>41534.74</v>
      </c>
      <c r="F129" s="127">
        <v>41534.74</v>
      </c>
      <c r="G129" s="64"/>
      <c r="H129" s="64"/>
      <c r="I129" s="64">
        <f t="shared" si="244"/>
        <v>52714.25</v>
      </c>
      <c r="J129" s="64">
        <v>52714.25</v>
      </c>
      <c r="K129" s="64"/>
      <c r="L129" s="64"/>
      <c r="M129" s="65">
        <f t="shared" si="237"/>
        <v>1.2691604666358813</v>
      </c>
      <c r="N129" s="65">
        <f t="shared" si="222"/>
        <v>1.2691604666358813</v>
      </c>
      <c r="O129" s="65" t="str">
        <f t="shared" si="238"/>
        <v/>
      </c>
      <c r="P129" s="65" t="str">
        <f t="shared" si="239"/>
        <v/>
      </c>
      <c r="Q129" s="66">
        <f t="shared" si="223"/>
        <v>11179.510000000002</v>
      </c>
      <c r="R129" s="66">
        <f t="shared" si="224"/>
        <v>11179.510000000002</v>
      </c>
      <c r="S129" s="66">
        <f t="shared" si="225"/>
        <v>0</v>
      </c>
      <c r="T129" s="66">
        <f t="shared" si="226"/>
        <v>0</v>
      </c>
    </row>
    <row r="130" spans="1:20" s="39" customFormat="1" ht="31.5">
      <c r="A130" s="142" t="s">
        <v>320</v>
      </c>
      <c r="B130" s="140">
        <v>6090</v>
      </c>
      <c r="C130" s="142" t="s">
        <v>309</v>
      </c>
      <c r="D130" s="141" t="s">
        <v>321</v>
      </c>
      <c r="E130" s="64">
        <f t="shared" ref="E130" si="245">F130+G130</f>
        <v>0</v>
      </c>
      <c r="F130" s="130"/>
      <c r="G130" s="64"/>
      <c r="H130" s="64"/>
      <c r="I130" s="64">
        <f t="shared" ref="I130" si="246">J130+K130</f>
        <v>321640</v>
      </c>
      <c r="J130" s="64">
        <v>321640</v>
      </c>
      <c r="K130" s="64"/>
      <c r="L130" s="64"/>
      <c r="M130" s="65" t="str">
        <f t="shared" ref="M130" si="247">IFERROR((I130/E130),"")</f>
        <v/>
      </c>
      <c r="N130" s="65" t="str">
        <f t="shared" ref="N130" si="248">IFERROR((J130/F130),"")</f>
        <v/>
      </c>
      <c r="O130" s="65" t="str">
        <f t="shared" ref="O130" si="249">IFERROR((K130/G130),"")</f>
        <v/>
      </c>
      <c r="P130" s="65" t="str">
        <f t="shared" ref="P130" si="250">IFERROR((L130/H130),"")</f>
        <v/>
      </c>
      <c r="Q130" s="66">
        <f t="shared" ref="Q130" si="251">I130-E130</f>
        <v>321640</v>
      </c>
      <c r="R130" s="66">
        <f t="shared" ref="R130" si="252">J130-F130</f>
        <v>321640</v>
      </c>
      <c r="S130" s="66">
        <f t="shared" ref="S130" si="253">K130-G130</f>
        <v>0</v>
      </c>
      <c r="T130" s="66">
        <f t="shared" ref="T130" si="254">L130-H130</f>
        <v>0</v>
      </c>
    </row>
    <row r="131" spans="1:20" s="39" customFormat="1" ht="37.5">
      <c r="A131" s="21">
        <v>3117350</v>
      </c>
      <c r="B131" s="21">
        <v>7350</v>
      </c>
      <c r="C131" s="22" t="s">
        <v>255</v>
      </c>
      <c r="D131" s="49" t="s">
        <v>256</v>
      </c>
      <c r="E131" s="64">
        <f t="shared" si="241"/>
        <v>353622.2</v>
      </c>
      <c r="F131" s="128">
        <v>353622.2</v>
      </c>
      <c r="G131" s="64"/>
      <c r="H131" s="64"/>
      <c r="I131" s="64">
        <f t="shared" si="244"/>
        <v>0</v>
      </c>
      <c r="J131" s="64"/>
      <c r="K131" s="64"/>
      <c r="L131" s="64"/>
      <c r="M131" s="65">
        <f t="shared" si="237"/>
        <v>0</v>
      </c>
      <c r="N131" s="65">
        <f t="shared" si="222"/>
        <v>0</v>
      </c>
      <c r="O131" s="65" t="str">
        <f t="shared" si="238"/>
        <v/>
      </c>
      <c r="P131" s="65" t="str">
        <f t="shared" si="239"/>
        <v/>
      </c>
      <c r="Q131" s="66">
        <f t="shared" si="223"/>
        <v>-353622.2</v>
      </c>
      <c r="R131" s="66">
        <f t="shared" si="224"/>
        <v>-353622.2</v>
      </c>
      <c r="S131" s="66">
        <f t="shared" si="225"/>
        <v>0</v>
      </c>
      <c r="T131" s="66">
        <f t="shared" si="226"/>
        <v>0</v>
      </c>
    </row>
    <row r="132" spans="1:20" s="39" customFormat="1">
      <c r="A132" s="144" t="s">
        <v>322</v>
      </c>
      <c r="B132" s="144" t="s">
        <v>317</v>
      </c>
      <c r="C132" s="144" t="s">
        <v>297</v>
      </c>
      <c r="D132" s="143" t="s">
        <v>298</v>
      </c>
      <c r="E132" s="64">
        <f t="shared" ref="E132" si="255">F132+G132</f>
        <v>0</v>
      </c>
      <c r="F132" s="130"/>
      <c r="G132" s="64"/>
      <c r="H132" s="64"/>
      <c r="I132" s="64">
        <f t="shared" ref="I132" si="256">J132+K132</f>
        <v>40000</v>
      </c>
      <c r="J132" s="64">
        <v>40000</v>
      </c>
      <c r="K132" s="64"/>
      <c r="L132" s="64"/>
      <c r="M132" s="65" t="str">
        <f t="shared" ref="M132" si="257">IFERROR((I132/E132),"")</f>
        <v/>
      </c>
      <c r="N132" s="65" t="str">
        <f t="shared" ref="N132" si="258">IFERROR((J132/F132),"")</f>
        <v/>
      </c>
      <c r="O132" s="65" t="str">
        <f t="shared" ref="O132" si="259">IFERROR((K132/G132),"")</f>
        <v/>
      </c>
      <c r="P132" s="65" t="str">
        <f t="shared" ref="P132" si="260">IFERROR((L132/H132),"")</f>
        <v/>
      </c>
      <c r="Q132" s="66">
        <f t="shared" ref="Q132" si="261">I132-E132</f>
        <v>40000</v>
      </c>
      <c r="R132" s="66">
        <f t="shared" ref="R132" si="262">J132-F132</f>
        <v>40000</v>
      </c>
      <c r="S132" s="66">
        <f t="shared" ref="S132" si="263">K132-G132</f>
        <v>0</v>
      </c>
      <c r="T132" s="66">
        <f t="shared" ref="T132" si="264">L132-H132</f>
        <v>0</v>
      </c>
    </row>
    <row r="133" spans="1:20" s="39" customFormat="1" ht="37.5">
      <c r="A133" s="23" t="s">
        <v>173</v>
      </c>
      <c r="B133" s="23" t="s">
        <v>129</v>
      </c>
      <c r="C133" s="23" t="s">
        <v>20</v>
      </c>
      <c r="D133" s="24" t="s">
        <v>130</v>
      </c>
      <c r="E133" s="64">
        <f t="shared" si="241"/>
        <v>3255202.9899999998</v>
      </c>
      <c r="F133" s="129">
        <v>3255202.9899999998</v>
      </c>
      <c r="G133" s="64"/>
      <c r="H133" s="64"/>
      <c r="I133" s="64">
        <f t="shared" si="244"/>
        <v>3990093.08</v>
      </c>
      <c r="J133" s="64">
        <f>565148.02+3424945.06</f>
        <v>3990093.08</v>
      </c>
      <c r="K133" s="64"/>
      <c r="L133" s="64"/>
      <c r="M133" s="65">
        <f t="shared" si="237"/>
        <v>1.225758606224431</v>
      </c>
      <c r="N133" s="65">
        <f t="shared" si="222"/>
        <v>1.225758606224431</v>
      </c>
      <c r="O133" s="65" t="str">
        <f t="shared" si="238"/>
        <v/>
      </c>
      <c r="P133" s="65" t="str">
        <f t="shared" si="239"/>
        <v/>
      </c>
      <c r="Q133" s="66">
        <f t="shared" si="223"/>
        <v>734890.09000000032</v>
      </c>
      <c r="R133" s="66">
        <f t="shared" si="224"/>
        <v>734890.09000000032</v>
      </c>
      <c r="S133" s="66">
        <f t="shared" si="225"/>
        <v>0</v>
      </c>
      <c r="T133" s="66">
        <f t="shared" si="226"/>
        <v>0</v>
      </c>
    </row>
    <row r="134" spans="1:20" s="39" customFormat="1" ht="56.25">
      <c r="A134" s="21">
        <v>3118110</v>
      </c>
      <c r="B134" s="21">
        <v>8110</v>
      </c>
      <c r="C134" s="22" t="s">
        <v>5</v>
      </c>
      <c r="D134" s="49" t="s">
        <v>131</v>
      </c>
      <c r="E134" s="64">
        <f t="shared" si="241"/>
        <v>22075.47</v>
      </c>
      <c r="F134" s="129">
        <v>22075.47</v>
      </c>
      <c r="G134" s="64"/>
      <c r="H134" s="64"/>
      <c r="I134" s="64">
        <f t="shared" si="244"/>
        <v>0</v>
      </c>
      <c r="J134" s="64"/>
      <c r="K134" s="64"/>
      <c r="L134" s="64"/>
      <c r="M134" s="65">
        <f t="shared" si="237"/>
        <v>0</v>
      </c>
      <c r="N134" s="65">
        <f t="shared" si="222"/>
        <v>0</v>
      </c>
      <c r="O134" s="65" t="str">
        <f t="shared" si="238"/>
        <v/>
      </c>
      <c r="P134" s="65" t="str">
        <f t="shared" si="239"/>
        <v/>
      </c>
      <c r="Q134" s="66">
        <f t="shared" si="223"/>
        <v>-22075.47</v>
      </c>
      <c r="R134" s="66">
        <f t="shared" si="224"/>
        <v>-22075.47</v>
      </c>
      <c r="S134" s="66">
        <f t="shared" si="225"/>
        <v>0</v>
      </c>
      <c r="T134" s="66">
        <f t="shared" si="226"/>
        <v>0</v>
      </c>
    </row>
    <row r="135" spans="1:20" s="39" customFormat="1" ht="30" customHeight="1">
      <c r="A135" s="48" t="s">
        <v>284</v>
      </c>
      <c r="B135" s="48" t="s">
        <v>238</v>
      </c>
      <c r="C135" s="48" t="s">
        <v>216</v>
      </c>
      <c r="D135" s="43" t="s">
        <v>234</v>
      </c>
      <c r="E135" s="64">
        <f t="shared" si="241"/>
        <v>0</v>
      </c>
      <c r="F135" s="64"/>
      <c r="G135" s="64"/>
      <c r="H135" s="64"/>
      <c r="I135" s="64">
        <f t="shared" si="244"/>
        <v>21707.31</v>
      </c>
      <c r="J135" s="64">
        <v>21707.31</v>
      </c>
      <c r="K135" s="64"/>
      <c r="L135" s="64"/>
      <c r="M135" s="65" t="str">
        <f t="shared" si="237"/>
        <v/>
      </c>
      <c r="N135" s="65" t="str">
        <f t="shared" si="222"/>
        <v/>
      </c>
      <c r="O135" s="65" t="str">
        <f t="shared" si="238"/>
        <v/>
      </c>
      <c r="P135" s="65" t="str">
        <f t="shared" si="239"/>
        <v/>
      </c>
      <c r="Q135" s="66">
        <f t="shared" si="223"/>
        <v>21707.31</v>
      </c>
      <c r="R135" s="66">
        <f t="shared" si="224"/>
        <v>21707.31</v>
      </c>
      <c r="S135" s="66">
        <f t="shared" si="225"/>
        <v>0</v>
      </c>
      <c r="T135" s="66">
        <f t="shared" si="226"/>
        <v>0</v>
      </c>
    </row>
    <row r="136" spans="1:20" s="30" customFormat="1" ht="56.25">
      <c r="A136" s="25" t="s">
        <v>98</v>
      </c>
      <c r="B136" s="25"/>
      <c r="C136" s="25"/>
      <c r="D136" s="10" t="s">
        <v>209</v>
      </c>
      <c r="E136" s="63">
        <f t="shared" ref="E136:L136" si="265">E137</f>
        <v>22866702.509999998</v>
      </c>
      <c r="F136" s="63">
        <f t="shared" si="265"/>
        <v>8976702.5099999998</v>
      </c>
      <c r="G136" s="63">
        <f t="shared" si="265"/>
        <v>13890000</v>
      </c>
      <c r="H136" s="63">
        <f t="shared" si="265"/>
        <v>13890000</v>
      </c>
      <c r="I136" s="63">
        <f t="shared" si="265"/>
        <v>49477670.269999996</v>
      </c>
      <c r="J136" s="63">
        <f t="shared" si="265"/>
        <v>40372670.269999996</v>
      </c>
      <c r="K136" s="63">
        <f t="shared" si="265"/>
        <v>9105000</v>
      </c>
      <c r="L136" s="63">
        <f t="shared" si="265"/>
        <v>9105000</v>
      </c>
      <c r="M136" s="61">
        <f t="shared" si="237"/>
        <v>2.1637431216137339</v>
      </c>
      <c r="N136" s="61" t="s">
        <v>289</v>
      </c>
      <c r="O136" s="61">
        <f t="shared" si="238"/>
        <v>0.65550755939524841</v>
      </c>
      <c r="P136" s="61">
        <f t="shared" si="239"/>
        <v>0.65550755939524841</v>
      </c>
      <c r="Q136" s="62">
        <f t="shared" si="223"/>
        <v>26610967.759999998</v>
      </c>
      <c r="R136" s="62">
        <f t="shared" si="224"/>
        <v>31395967.759999998</v>
      </c>
      <c r="S136" s="62">
        <f t="shared" si="225"/>
        <v>-4785000</v>
      </c>
      <c r="T136" s="62">
        <f t="shared" si="226"/>
        <v>-4785000</v>
      </c>
    </row>
    <row r="137" spans="1:20" s="30" customFormat="1" ht="56.25">
      <c r="A137" s="25" t="s">
        <v>99</v>
      </c>
      <c r="B137" s="25"/>
      <c r="C137" s="25"/>
      <c r="D137" s="10" t="s">
        <v>210</v>
      </c>
      <c r="E137" s="63">
        <f t="shared" ref="E137:E143" si="266">F137+G137</f>
        <v>22866702.509999998</v>
      </c>
      <c r="F137" s="63">
        <f>F138+F139+F141+F143+F142+F140</f>
        <v>8976702.5099999998</v>
      </c>
      <c r="G137" s="63">
        <f t="shared" ref="G137:H137" si="267">G138+G139+G141+G143+G142+G140</f>
        <v>13890000</v>
      </c>
      <c r="H137" s="63">
        <f t="shared" si="267"/>
        <v>13890000</v>
      </c>
      <c r="I137" s="63">
        <f t="shared" ref="I137" si="268">J137+K137</f>
        <v>49477670.269999996</v>
      </c>
      <c r="J137" s="63">
        <f>J138+J139+J141+J143+J142+J140</f>
        <v>40372670.269999996</v>
      </c>
      <c r="K137" s="63">
        <f>K138+K139+K141+K143+K142+K140</f>
        <v>9105000</v>
      </c>
      <c r="L137" s="63">
        <f>L138+L139+L141+L143+L142+L140</f>
        <v>9105000</v>
      </c>
      <c r="M137" s="61">
        <f t="shared" si="237"/>
        <v>2.1637431216137339</v>
      </c>
      <c r="N137" s="61" t="s">
        <v>289</v>
      </c>
      <c r="O137" s="61">
        <f t="shared" ref="O137" si="269">IFERROR((K137/G137),"")</f>
        <v>0.65550755939524841</v>
      </c>
      <c r="P137" s="61">
        <f t="shared" ref="P137" si="270">IFERROR((L137/H137),"")</f>
        <v>0.65550755939524841</v>
      </c>
      <c r="Q137" s="62">
        <f t="shared" si="223"/>
        <v>26610967.759999998</v>
      </c>
      <c r="R137" s="62">
        <f t="shared" si="224"/>
        <v>31395967.759999998</v>
      </c>
      <c r="S137" s="62">
        <f t="shared" si="225"/>
        <v>-4785000</v>
      </c>
      <c r="T137" s="62">
        <f t="shared" si="226"/>
        <v>-4785000</v>
      </c>
    </row>
    <row r="138" spans="1:20" s="39" customFormat="1" ht="56.25">
      <c r="A138" s="23" t="s">
        <v>100</v>
      </c>
      <c r="B138" s="23" t="s">
        <v>58</v>
      </c>
      <c r="C138" s="23" t="s">
        <v>3</v>
      </c>
      <c r="D138" s="24" t="s">
        <v>227</v>
      </c>
      <c r="E138" s="64">
        <f t="shared" si="266"/>
        <v>1415352.51</v>
      </c>
      <c r="F138" s="130">
        <v>1415352.51</v>
      </c>
      <c r="G138" s="130"/>
      <c r="H138" s="130"/>
      <c r="I138" s="64">
        <f t="shared" si="244"/>
        <v>1974166.27</v>
      </c>
      <c r="J138" s="64">
        <v>1974166.27</v>
      </c>
      <c r="K138" s="64"/>
      <c r="L138" s="64"/>
      <c r="M138" s="65">
        <f t="shared" si="237"/>
        <v>1.3948230253959841</v>
      </c>
      <c r="N138" s="65">
        <f t="shared" si="222"/>
        <v>1.3948230253959841</v>
      </c>
      <c r="O138" s="65" t="str">
        <f t="shared" si="238"/>
        <v/>
      </c>
      <c r="P138" s="65" t="str">
        <f t="shared" si="239"/>
        <v/>
      </c>
      <c r="Q138" s="66">
        <f t="shared" si="223"/>
        <v>558813.76</v>
      </c>
      <c r="R138" s="66">
        <f t="shared" si="224"/>
        <v>558813.76</v>
      </c>
      <c r="S138" s="66">
        <f t="shared" si="225"/>
        <v>0</v>
      </c>
      <c r="T138" s="66">
        <f t="shared" si="226"/>
        <v>0</v>
      </c>
    </row>
    <row r="139" spans="1:20" s="39" customFormat="1" ht="37.5">
      <c r="A139" s="23" t="s">
        <v>107</v>
      </c>
      <c r="B139" s="23" t="s">
        <v>8</v>
      </c>
      <c r="C139" s="23" t="s">
        <v>6</v>
      </c>
      <c r="D139" s="24" t="s">
        <v>106</v>
      </c>
      <c r="E139" s="64">
        <f t="shared" si="266"/>
        <v>10650</v>
      </c>
      <c r="F139" s="130">
        <v>10650</v>
      </c>
      <c r="G139" s="130"/>
      <c r="H139" s="130"/>
      <c r="I139" s="64">
        <f t="shared" si="244"/>
        <v>0</v>
      </c>
      <c r="J139" s="64"/>
      <c r="K139" s="64"/>
      <c r="L139" s="64"/>
      <c r="M139" s="65">
        <f t="shared" si="237"/>
        <v>0</v>
      </c>
      <c r="N139" s="65">
        <f t="shared" si="222"/>
        <v>0</v>
      </c>
      <c r="O139" s="65" t="str">
        <f t="shared" si="238"/>
        <v/>
      </c>
      <c r="P139" s="65" t="str">
        <f t="shared" si="239"/>
        <v/>
      </c>
      <c r="Q139" s="66">
        <f t="shared" si="223"/>
        <v>-10650</v>
      </c>
      <c r="R139" s="66">
        <f t="shared" si="224"/>
        <v>-10650</v>
      </c>
      <c r="S139" s="66">
        <f t="shared" si="225"/>
        <v>0</v>
      </c>
      <c r="T139" s="66">
        <f t="shared" si="226"/>
        <v>0</v>
      </c>
    </row>
    <row r="140" spans="1:20" s="39" customFormat="1">
      <c r="A140" s="146" t="s">
        <v>323</v>
      </c>
      <c r="B140" s="146" t="s">
        <v>317</v>
      </c>
      <c r="C140" s="146" t="s">
        <v>297</v>
      </c>
      <c r="D140" s="145" t="s">
        <v>298</v>
      </c>
      <c r="E140" s="64">
        <f t="shared" ref="E140" si="271">F140+G140</f>
        <v>0</v>
      </c>
      <c r="F140" s="130"/>
      <c r="G140" s="130"/>
      <c r="H140" s="130"/>
      <c r="I140" s="64">
        <f t="shared" ref="I140" si="272">J140+K140</f>
        <v>13104</v>
      </c>
      <c r="J140" s="64">
        <v>13104</v>
      </c>
      <c r="K140" s="64"/>
      <c r="L140" s="64"/>
      <c r="M140" s="65" t="str">
        <f t="shared" ref="M140" si="273">IFERROR((I140/E140),"")</f>
        <v/>
      </c>
      <c r="N140" s="65" t="str">
        <f t="shared" ref="N140" si="274">IFERROR((J140/F140),"")</f>
        <v/>
      </c>
      <c r="O140" s="65" t="str">
        <f t="shared" ref="O140" si="275">IFERROR((K140/G140),"")</f>
        <v/>
      </c>
      <c r="P140" s="65" t="str">
        <f t="shared" ref="P140" si="276">IFERROR((L140/H140),"")</f>
        <v/>
      </c>
      <c r="Q140" s="66">
        <f t="shared" ref="Q140" si="277">I140-E140</f>
        <v>13104</v>
      </c>
      <c r="R140" s="66">
        <f t="shared" ref="R140" si="278">J140-F140</f>
        <v>13104</v>
      </c>
      <c r="S140" s="66">
        <f t="shared" ref="S140" si="279">K140-G140</f>
        <v>0</v>
      </c>
      <c r="T140" s="66">
        <f t="shared" ref="T140" si="280">L140-H140</f>
        <v>0</v>
      </c>
    </row>
    <row r="141" spans="1:20" s="39" customFormat="1">
      <c r="A141" s="23" t="s">
        <v>109</v>
      </c>
      <c r="B141" s="23" t="s">
        <v>108</v>
      </c>
      <c r="C141" s="23" t="s">
        <v>8</v>
      </c>
      <c r="D141" s="24" t="s">
        <v>2</v>
      </c>
      <c r="E141" s="64">
        <f t="shared" si="266"/>
        <v>0</v>
      </c>
      <c r="F141" s="130"/>
      <c r="G141" s="130"/>
      <c r="H141" s="130"/>
      <c r="I141" s="64">
        <f t="shared" si="244"/>
        <v>15968700</v>
      </c>
      <c r="J141" s="64">
        <v>15968700</v>
      </c>
      <c r="K141" s="64"/>
      <c r="L141" s="64"/>
      <c r="M141" s="65" t="str">
        <f t="shared" si="237"/>
        <v/>
      </c>
      <c r="N141" s="65" t="str">
        <f t="shared" si="222"/>
        <v/>
      </c>
      <c r="O141" s="65" t="str">
        <f t="shared" si="238"/>
        <v/>
      </c>
      <c r="P141" s="65" t="str">
        <f t="shared" si="239"/>
        <v/>
      </c>
      <c r="Q141" s="66">
        <f t="shared" si="223"/>
        <v>15968700</v>
      </c>
      <c r="R141" s="66">
        <f t="shared" si="224"/>
        <v>15968700</v>
      </c>
      <c r="S141" s="66">
        <f t="shared" si="225"/>
        <v>0</v>
      </c>
      <c r="T141" s="66">
        <f t="shared" si="226"/>
        <v>0</v>
      </c>
    </row>
    <row r="142" spans="1:20" s="39" customFormat="1">
      <c r="A142" s="23" t="s">
        <v>158</v>
      </c>
      <c r="B142" s="23" t="s">
        <v>156</v>
      </c>
      <c r="C142" s="23" t="s">
        <v>8</v>
      </c>
      <c r="D142" s="16" t="s">
        <v>157</v>
      </c>
      <c r="E142" s="64">
        <f t="shared" si="266"/>
        <v>2120700</v>
      </c>
      <c r="F142" s="130">
        <v>2120700</v>
      </c>
      <c r="G142" s="130"/>
      <c r="H142" s="130"/>
      <c r="I142" s="64">
        <f t="shared" si="244"/>
        <v>2532100</v>
      </c>
      <c r="J142" s="64">
        <v>2532100</v>
      </c>
      <c r="K142" s="64"/>
      <c r="L142" s="64"/>
      <c r="M142" s="65">
        <f t="shared" si="237"/>
        <v>1.1939925496298391</v>
      </c>
      <c r="N142" s="65">
        <f t="shared" si="222"/>
        <v>1.1939925496298391</v>
      </c>
      <c r="O142" s="65" t="str">
        <f t="shared" si="238"/>
        <v/>
      </c>
      <c r="P142" s="65" t="str">
        <f t="shared" si="239"/>
        <v/>
      </c>
      <c r="Q142" s="66">
        <f t="shared" si="223"/>
        <v>411400</v>
      </c>
      <c r="R142" s="66">
        <f t="shared" si="224"/>
        <v>411400</v>
      </c>
      <c r="S142" s="66">
        <f t="shared" si="225"/>
        <v>0</v>
      </c>
      <c r="T142" s="66">
        <f t="shared" si="226"/>
        <v>0</v>
      </c>
    </row>
    <row r="143" spans="1:20" s="39" customFormat="1" ht="75">
      <c r="A143" s="23" t="s">
        <v>154</v>
      </c>
      <c r="B143" s="23" t="s">
        <v>152</v>
      </c>
      <c r="C143" s="37" t="s">
        <v>8</v>
      </c>
      <c r="D143" s="15" t="s">
        <v>153</v>
      </c>
      <c r="E143" s="64">
        <f t="shared" si="266"/>
        <v>19320000</v>
      </c>
      <c r="F143" s="130">
        <v>5430000</v>
      </c>
      <c r="G143" s="130">
        <v>13890000</v>
      </c>
      <c r="H143" s="130">
        <v>13890000</v>
      </c>
      <c r="I143" s="64">
        <f t="shared" si="244"/>
        <v>28989600</v>
      </c>
      <c r="J143" s="64">
        <v>19884600</v>
      </c>
      <c r="K143" s="64">
        <v>9105000</v>
      </c>
      <c r="L143" s="64">
        <v>9105000</v>
      </c>
      <c r="M143" s="65">
        <f t="shared" si="237"/>
        <v>1.5004968944099379</v>
      </c>
      <c r="N143" s="65" t="s">
        <v>289</v>
      </c>
      <c r="O143" s="65">
        <f t="shared" ref="O143" si="281">IFERROR((K143/G143),"")</f>
        <v>0.65550755939524841</v>
      </c>
      <c r="P143" s="65">
        <f t="shared" ref="P143" si="282">IFERROR((L143/H143),"")</f>
        <v>0.65550755939524841</v>
      </c>
      <c r="Q143" s="66">
        <f t="shared" si="223"/>
        <v>9669600</v>
      </c>
      <c r="R143" s="66">
        <f t="shared" si="224"/>
        <v>14454600</v>
      </c>
      <c r="S143" s="66">
        <f t="shared" si="225"/>
        <v>-4785000</v>
      </c>
      <c r="T143" s="66">
        <f t="shared" si="226"/>
        <v>-4785000</v>
      </c>
    </row>
    <row r="144" spans="1:20" s="30" customFormat="1">
      <c r="A144" s="25"/>
      <c r="B144" s="25"/>
      <c r="C144" s="25"/>
      <c r="D144" s="17" t="s">
        <v>1</v>
      </c>
      <c r="E144" s="63">
        <f t="shared" ref="E144" si="283">F144+G144</f>
        <v>250632456.31</v>
      </c>
      <c r="F144" s="63">
        <f>F8+F33+F55+F77+F88+F97+F114+F126+F136+F72</f>
        <v>213314937.33000001</v>
      </c>
      <c r="G144" s="63">
        <f>G8+G33+G55+G77+G88+G97+G114+G126+G136+G72</f>
        <v>37317518.980000004</v>
      </c>
      <c r="H144" s="63">
        <f>H8+H33+H55+H77+H88+H97+H114+H126+H136+H72</f>
        <v>28854321.530000001</v>
      </c>
      <c r="I144" s="63">
        <f t="shared" si="244"/>
        <v>308655611.38000011</v>
      </c>
      <c r="J144" s="63">
        <f>J8+J33+J55+J77+J88+J97+J114+J126+J136+J72</f>
        <v>284754935.60000008</v>
      </c>
      <c r="K144" s="63">
        <f>K8+K33+K55+K77+K88+K97+K114+K126+K136+K72</f>
        <v>23900675.780000001</v>
      </c>
      <c r="L144" s="63">
        <f>L8+L33+L55+L77+L88+L97+L114+L126+L136+L72</f>
        <v>15074575.99</v>
      </c>
      <c r="M144" s="61">
        <f t="shared" si="237"/>
        <v>1.2315069481593117</v>
      </c>
      <c r="N144" s="61">
        <f t="shared" si="222"/>
        <v>1.3349038710752907</v>
      </c>
      <c r="O144" s="61">
        <f t="shared" si="238"/>
        <v>0.64046797411182022</v>
      </c>
      <c r="P144" s="61">
        <f t="shared" si="239"/>
        <v>0.52243737473871554</v>
      </c>
      <c r="Q144" s="62">
        <f t="shared" si="223"/>
        <v>58023155.070000112</v>
      </c>
      <c r="R144" s="62">
        <f t="shared" si="224"/>
        <v>71439998.27000007</v>
      </c>
      <c r="S144" s="62">
        <f t="shared" si="225"/>
        <v>-13416843.200000003</v>
      </c>
      <c r="T144" s="62">
        <f t="shared" si="226"/>
        <v>-13779745.540000001</v>
      </c>
    </row>
    <row r="145" spans="1:20" s="30" customFormat="1">
      <c r="A145" s="50"/>
      <c r="B145" s="50"/>
      <c r="C145" s="50"/>
      <c r="D145" s="51"/>
      <c r="E145" s="52"/>
      <c r="F145" s="52"/>
      <c r="G145" s="52"/>
      <c r="H145" s="52"/>
      <c r="I145" s="52"/>
      <c r="J145" s="52"/>
      <c r="K145" s="52"/>
      <c r="L145" s="52"/>
      <c r="M145" s="53"/>
      <c r="N145" s="53"/>
      <c r="O145" s="53"/>
      <c r="P145" s="53"/>
      <c r="Q145" s="54"/>
      <c r="R145" s="54"/>
      <c r="S145" s="54"/>
      <c r="T145" s="54"/>
    </row>
    <row r="146" spans="1:20">
      <c r="A146" s="29"/>
      <c r="B146" s="1"/>
      <c r="C146" s="1"/>
      <c r="D146" s="1" t="s">
        <v>179</v>
      </c>
      <c r="E146" s="2"/>
      <c r="F146" s="2"/>
      <c r="G146" s="5"/>
      <c r="H146" s="3"/>
      <c r="J146" s="6"/>
      <c r="K146" s="4" t="s">
        <v>214</v>
      </c>
      <c r="L146" s="7"/>
      <c r="M146" s="3"/>
      <c r="N146" s="4"/>
      <c r="O146" s="4"/>
      <c r="P146" s="4"/>
      <c r="Q146" s="5"/>
      <c r="R146" s="5"/>
      <c r="S146" s="5"/>
      <c r="T146" s="5"/>
    </row>
    <row r="147" spans="1:20">
      <c r="E147" s="33"/>
      <c r="F147" s="33"/>
      <c r="G147" s="5"/>
      <c r="J147" s="5"/>
      <c r="K147" s="34"/>
      <c r="Q147" s="34"/>
      <c r="R147" s="34"/>
      <c r="S147" s="34"/>
      <c r="T147" s="34"/>
    </row>
    <row r="148" spans="1:20">
      <c r="I148" s="34"/>
      <c r="J148" s="34"/>
      <c r="K148" s="34"/>
      <c r="L148" s="34"/>
    </row>
    <row r="149" spans="1:20">
      <c r="I149" s="34"/>
      <c r="J149" s="34"/>
      <c r="K149" s="34"/>
      <c r="L149" s="34"/>
    </row>
    <row r="151" spans="1:20">
      <c r="H151" s="34"/>
    </row>
    <row r="152" spans="1:20">
      <c r="H152" s="34"/>
    </row>
    <row r="153" spans="1:20">
      <c r="H153" s="34"/>
    </row>
  </sheetData>
  <mergeCells count="29">
    <mergeCell ref="A1:T1"/>
    <mergeCell ref="K4:L4"/>
    <mergeCell ref="N4:N6"/>
    <mergeCell ref="O4:P4"/>
    <mergeCell ref="K5:K6"/>
    <mergeCell ref="I2:L2"/>
    <mergeCell ref="I3:I6"/>
    <mergeCell ref="J3:L3"/>
    <mergeCell ref="J4:J6"/>
    <mergeCell ref="A2:A6"/>
    <mergeCell ref="B2:B6"/>
    <mergeCell ref="C2:C6"/>
    <mergeCell ref="D2:D6"/>
    <mergeCell ref="F4:F6"/>
    <mergeCell ref="Q2:T2"/>
    <mergeCell ref="Q3:Q6"/>
    <mergeCell ref="R3:T3"/>
    <mergeCell ref="R4:R6"/>
    <mergeCell ref="S4:T4"/>
    <mergeCell ref="S5:S6"/>
    <mergeCell ref="E2:H2"/>
    <mergeCell ref="E3:E6"/>
    <mergeCell ref="F3:H3"/>
    <mergeCell ref="M2:P2"/>
    <mergeCell ref="M3:M6"/>
    <mergeCell ref="N3:P3"/>
    <mergeCell ref="G5:G6"/>
    <mergeCell ref="O5:O6"/>
    <mergeCell ref="G4:H4"/>
  </mergeCells>
  <pageMargins left="0.35433070866141736" right="0.35433070866141736" top="0.55118110236220474" bottom="0.31496062992125984" header="0.15748031496062992" footer="0.11811023622047245"/>
  <pageSetup paperSize="9" scale="35" fitToHeight="1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2025-01-19T14:21:41Z</cp:lastPrinted>
  <dcterms:created xsi:type="dcterms:W3CDTF">2012-12-15T07:44:03Z</dcterms:created>
  <dcterms:modified xsi:type="dcterms:W3CDTF">2025-04-24T12:52:25Z</dcterms:modified>
</cp:coreProperties>
</file>