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HARE\0-Старые данные\SHARE\Бюджет 2025\ПРОГРАМА ЦИВІЛЬНИЙ ЗАХИСТ\5.НАСТУПНЕ\"/>
    </mc:Choice>
  </mc:AlternateContent>
  <bookViews>
    <workbookView xWindow="-108" yWindow="-108" windowWidth="23256" windowHeight="12576"/>
  </bookViews>
  <sheets>
    <sheet name="Лист1" sheetId="1" r:id="rId1"/>
  </sheets>
  <definedNames>
    <definedName name="_xlnm.Print_Titles" localSheetId="0">Лист1!$6:$8</definedName>
    <definedName name="_xlnm.Print_Area" localSheetId="0">Лист1!$A$1:$K$136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3" i="1" l="1"/>
  <c r="K41" i="1"/>
  <c r="H74" i="1" l="1"/>
  <c r="I74" i="1"/>
  <c r="J74" i="1"/>
  <c r="G74" i="1"/>
  <c r="F70" i="1"/>
  <c r="K51" i="1" l="1"/>
  <c r="J51" i="1"/>
  <c r="I51" i="1"/>
  <c r="H51" i="1"/>
  <c r="G51" i="1"/>
  <c r="F35" i="1"/>
  <c r="K29" i="1" l="1"/>
  <c r="K27" i="1"/>
  <c r="K22" i="1"/>
  <c r="K44" i="1" l="1"/>
  <c r="K53" i="1" l="1"/>
  <c r="K69" i="1" l="1"/>
  <c r="K31" i="1"/>
  <c r="K19" i="1" l="1"/>
  <c r="K117" i="1"/>
  <c r="K72" i="1" l="1"/>
  <c r="K74" i="1" s="1"/>
  <c r="K20" i="1" l="1"/>
  <c r="K32" i="1"/>
  <c r="F32" i="1" s="1"/>
  <c r="K130" i="1" l="1"/>
  <c r="K131" i="1"/>
  <c r="F50" i="1" l="1"/>
  <c r="J34" i="1" l="1"/>
  <c r="J22" i="1" l="1"/>
  <c r="K52" i="1" l="1"/>
  <c r="J100" i="1" l="1"/>
  <c r="K106" i="1" l="1"/>
  <c r="G106" i="1"/>
  <c r="F105" i="1"/>
  <c r="F104" i="1"/>
  <c r="F103" i="1"/>
  <c r="J106" i="1" l="1"/>
  <c r="J33" i="1" l="1"/>
  <c r="J131" i="1" l="1"/>
  <c r="F131" i="1" s="1"/>
  <c r="F34" i="1" l="1"/>
  <c r="F73" i="1" l="1"/>
  <c r="J72" i="1"/>
  <c r="F72" i="1" s="1"/>
  <c r="F74" i="1" s="1"/>
  <c r="J130" i="1" l="1"/>
  <c r="F130" i="1" s="1"/>
  <c r="J89" i="1" l="1"/>
  <c r="F46" i="1" l="1"/>
  <c r="F100" i="1"/>
  <c r="F101" i="1"/>
  <c r="F33" i="1"/>
  <c r="I110" i="1" l="1"/>
  <c r="J110" i="1"/>
  <c r="K110" i="1"/>
  <c r="G110" i="1"/>
  <c r="F126" i="1"/>
  <c r="F31" i="1" l="1"/>
  <c r="F29" i="1" l="1"/>
  <c r="F25" i="1" l="1"/>
  <c r="F26" i="1"/>
  <c r="F30" i="1"/>
  <c r="G89" i="1" l="1"/>
  <c r="K89" i="1"/>
  <c r="G92" i="1"/>
  <c r="F85" i="1"/>
  <c r="I61" i="1" l="1"/>
  <c r="I65" i="1" s="1"/>
  <c r="J61" i="1"/>
  <c r="J65" i="1" s="1"/>
  <c r="J49" i="1"/>
  <c r="F49" i="1" s="1"/>
  <c r="F44" i="1"/>
  <c r="F22" i="1" l="1"/>
  <c r="F48" i="1" l="1"/>
  <c r="G15" i="1"/>
  <c r="H15" i="1"/>
  <c r="J15" i="1"/>
  <c r="K15" i="1"/>
  <c r="F14" i="1"/>
  <c r="J52" i="1" l="1"/>
  <c r="F52" i="1" s="1"/>
  <c r="F27" i="1" l="1"/>
  <c r="F28" i="1"/>
  <c r="I69" i="1" l="1"/>
  <c r="I20" i="1" l="1"/>
  <c r="I113" i="1" l="1"/>
  <c r="I112" i="1"/>
  <c r="I96" i="1"/>
  <c r="I106" i="1" s="1"/>
  <c r="I9" i="1"/>
  <c r="I15" i="1" s="1"/>
  <c r="F53" i="1" l="1"/>
  <c r="F54" i="1"/>
  <c r="F71" i="1" l="1"/>
  <c r="H60" i="1" l="1"/>
  <c r="H62" i="1" l="1"/>
  <c r="H61" i="1" s="1"/>
  <c r="H65" i="1" s="1"/>
  <c r="G65" i="1"/>
  <c r="F57" i="1"/>
  <c r="F58" i="1"/>
  <c r="F59" i="1"/>
  <c r="F60" i="1"/>
  <c r="F63" i="1"/>
  <c r="F64" i="1"/>
  <c r="F62" i="1" l="1"/>
  <c r="F61" i="1"/>
  <c r="I83" i="1"/>
  <c r="I79" i="1" s="1"/>
  <c r="I120" i="1" l="1"/>
  <c r="F38" i="1"/>
  <c r="H108" i="1" l="1"/>
  <c r="H110" i="1" l="1"/>
  <c r="F110" i="1" s="1"/>
  <c r="F108" i="1"/>
  <c r="F19" i="1" l="1"/>
  <c r="F23" i="1" l="1"/>
  <c r="F69" i="1"/>
  <c r="F68" i="1" l="1"/>
  <c r="F45" i="1" l="1"/>
  <c r="F47" i="1"/>
  <c r="F43" i="1"/>
  <c r="F88" i="1" l="1"/>
  <c r="K125" i="1"/>
  <c r="J125" i="1"/>
  <c r="I125" i="1"/>
  <c r="H125" i="1"/>
  <c r="G125" i="1"/>
  <c r="F124" i="1"/>
  <c r="F123" i="1"/>
  <c r="F122" i="1"/>
  <c r="F121" i="1"/>
  <c r="K120" i="1"/>
  <c r="J120" i="1"/>
  <c r="H120" i="1"/>
  <c r="G120" i="1"/>
  <c r="G127" i="1" s="1"/>
  <c r="G129" i="1" s="1"/>
  <c r="F119" i="1"/>
  <c r="F118" i="1"/>
  <c r="F117" i="1"/>
  <c r="F116" i="1"/>
  <c r="F115" i="1"/>
  <c r="F114" i="1"/>
  <c r="F113" i="1"/>
  <c r="F112" i="1"/>
  <c r="F111" i="1"/>
  <c r="F107" i="1"/>
  <c r="F102" i="1"/>
  <c r="F99" i="1"/>
  <c r="F98" i="1"/>
  <c r="F97" i="1"/>
  <c r="H96" i="1"/>
  <c r="F95" i="1"/>
  <c r="H94" i="1"/>
  <c r="F93" i="1"/>
  <c r="K92" i="1"/>
  <c r="J92" i="1"/>
  <c r="I92" i="1"/>
  <c r="F91" i="1"/>
  <c r="H90" i="1"/>
  <c r="F90" i="1" s="1"/>
  <c r="H87" i="1"/>
  <c r="F87" i="1" s="1"/>
  <c r="H86" i="1"/>
  <c r="F84" i="1"/>
  <c r="H83" i="1"/>
  <c r="H82" i="1"/>
  <c r="F82" i="1" s="1"/>
  <c r="H81" i="1"/>
  <c r="F78" i="1"/>
  <c r="H77" i="1"/>
  <c r="F77" i="1" s="1"/>
  <c r="H76" i="1"/>
  <c r="F76" i="1" s="1"/>
  <c r="I75" i="1"/>
  <c r="I89" i="1" s="1"/>
  <c r="H75" i="1"/>
  <c r="F67" i="1"/>
  <c r="F66" i="1"/>
  <c r="F55" i="1"/>
  <c r="H42" i="1"/>
  <c r="F41" i="1"/>
  <c r="F40" i="1"/>
  <c r="F39" i="1"/>
  <c r="H37" i="1"/>
  <c r="F36" i="1"/>
  <c r="F24" i="1"/>
  <c r="F21" i="1"/>
  <c r="F18" i="1"/>
  <c r="F16" i="1"/>
  <c r="F13" i="1"/>
  <c r="F12" i="1"/>
  <c r="F10" i="1"/>
  <c r="F9" i="1"/>
  <c r="F96" i="1" l="1"/>
  <c r="H106" i="1"/>
  <c r="F106" i="1"/>
  <c r="J127" i="1"/>
  <c r="J129" i="1" s="1"/>
  <c r="I127" i="1"/>
  <c r="I129" i="1" s="1"/>
  <c r="K127" i="1"/>
  <c r="H79" i="1"/>
  <c r="F79" i="1" s="1"/>
  <c r="F20" i="1"/>
  <c r="F51" i="1" s="1"/>
  <c r="F75" i="1"/>
  <c r="F92" i="1"/>
  <c r="F125" i="1"/>
  <c r="F11" i="1"/>
  <c r="F15" i="1" s="1"/>
  <c r="F42" i="1"/>
  <c r="F56" i="1"/>
  <c r="F65" i="1" s="1"/>
  <c r="F120" i="1"/>
  <c r="H92" i="1"/>
  <c r="F37" i="1"/>
  <c r="F81" i="1"/>
  <c r="F83" i="1"/>
  <c r="F86" i="1"/>
  <c r="F94" i="1"/>
  <c r="F109" i="1"/>
  <c r="K129" i="1" l="1"/>
  <c r="F89" i="1"/>
  <c r="F127" i="1" s="1"/>
  <c r="H89" i="1"/>
  <c r="H127" i="1" s="1"/>
  <c r="H129" i="1" s="1"/>
  <c r="F129" i="1" l="1"/>
</calcChain>
</file>

<file path=xl/sharedStrings.xml><?xml version="1.0" encoding="utf-8"?>
<sst xmlns="http://schemas.openxmlformats.org/spreadsheetml/2006/main" count="299" uniqueCount="192">
  <si>
    <t xml:space="preserve">Додаток </t>
  </si>
  <si>
    <t>до рішення Чорноморської міської ради</t>
  </si>
  <si>
    <t xml:space="preserve">                                                                                                                                                                                          від                    р.  №     -VIIІ</t>
  </si>
  <si>
    <t>№ з/п</t>
  </si>
  <si>
    <t>Найменування завдань</t>
  </si>
  <si>
    <t>Найменування заходу</t>
  </si>
  <si>
    <t>Головний розпорядник коштів, відповідальний виконавець</t>
  </si>
  <si>
    <t>Джерела фінансування</t>
  </si>
  <si>
    <t>Прогнозований обсяг фінансових ресурсів для виконання завдань, 
тис. грн</t>
  </si>
  <si>
    <t>у тому числі за роками</t>
  </si>
  <si>
    <t>2022*</t>
  </si>
  <si>
    <t>1.</t>
  </si>
  <si>
    <t>Придбання паливно-мастильних матеріалів для 22-ДПРЧ 7 ДПРЗ</t>
  </si>
  <si>
    <t>Бюджет Чорноморської міської територіальної громади</t>
  </si>
  <si>
    <t>Придбання шин, запчастин та агрегатів, матеріалів та інструменту для ремонту пожежних (службових) автомобілів 22-ДПРЧ 7 ДПРЗ</t>
  </si>
  <si>
    <t>Придбання рятувального обладнання та пристроїв, форменого (спеціального) одягу і взуття особовому складу  22-ДПРЧ  7 ДПРЗ</t>
  </si>
  <si>
    <t>Придбання спеціалізованих автотранспортних засобів для 22 ДПРЧ 7 ДПРЗ ГУ ДСНС України в Одеській області, ГУ ДСНС України в Одеській області</t>
  </si>
  <si>
    <t>Всього за п. 1</t>
  </si>
  <si>
    <t>2.</t>
  </si>
  <si>
    <t>Технічне переоснащення оперативно-диспетчерських служб, органів управління та сил цивільного захисту</t>
  </si>
  <si>
    <t>Проведення капітального та поточного ремонтів службово-побутових приміщень  пожежного   депо 22-ДПРЧ 7 ДПРЗ</t>
  </si>
  <si>
    <t>3.</t>
  </si>
  <si>
    <t>Забезпечення ефективного управління у сфері цивільного захисту</t>
  </si>
  <si>
    <t>Розроблення та затвердження переліку документів з питань цивільного захисту обов'язкових  для використання на підприємствах, установах, організаціях</t>
  </si>
  <si>
    <t>Кошти підприємств</t>
  </si>
  <si>
    <t>Не потребує фінансування з бюджету</t>
  </si>
  <si>
    <t>4.</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</si>
  <si>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</si>
  <si>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Відділ культури Чорноморської міської ради Одеського району Одеської області</t>
  </si>
  <si>
    <t>Оплата інших енергоносіїв, які використовуються в процесі виробництва теплоенергії або іншого виду енергії (дрова) для обігріву найпростіших укриттів</t>
  </si>
  <si>
    <t>Капітальний ремонт вбудованої захисної споруди цивільного захисту (цивільної оборони)  (сховища) в будівлі поліклініки за адресою: Одеська область, м.Чорноморськ, вул.1 Травня,1</t>
  </si>
  <si>
    <t>Управління капітального будівництва Чорноморської міської ради Одеського району Одеської області</t>
  </si>
  <si>
    <t>Капітальний ремонт приміщень підвального поверху адміністративної будівлі виконавчого комітету Чорноморської міської ради Одеського району Одеської області для облаштування укриття за адресою: Одеська область, м.Чорноморськ, проспект Миру, 33</t>
  </si>
  <si>
    <t>Інженерно-геологічні вишукування будівлі (приміщення сховища) за адресою: Одеська область, Одеський район, м.Чорноморськ, вул.1 Травня, 2/198-Н</t>
  </si>
  <si>
    <t>Висновок про технічний стан і можливість експлуатації будівлі (приміщення сховища) за адресою: Одеська область, Одеський район, м.Чорноморськ, вул.1 Травня, 2/198-Н</t>
  </si>
  <si>
    <t>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вбудованої захисної споруди цивільного захисту (цивільної оборони) (сховища) в будівлі поліклініки за адресою: Одеська область, м.Чорноморськ, вул.1 Травня, 1</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</si>
  <si>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</si>
  <si>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Роботи з підсилення GSM сигналу в приміщенні захисної споруди цивільного захисту (сховища) будівлі  поліклініки за адресою: Одеська область, м.Чорноморськ, вул. 1 Травня, 1</t>
  </si>
  <si>
    <t>Всього за п. 4</t>
  </si>
  <si>
    <t>5.</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</si>
  <si>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</si>
  <si>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6.</t>
  </si>
  <si>
    <t>Створення безпечних умов для евакуації жителів Чорноморської міської територіальної громади</t>
  </si>
  <si>
    <t xml:space="preserve">Перевезення жителів Чорноморської міської територіальної громади шкільним автобусом </t>
  </si>
  <si>
    <t>7.</t>
  </si>
  <si>
    <t>Створення запасів будівельних і пально-мастильних матеріалів, лікарських засобів та виробів медичного призначення, продовольства, техніки, технічних засобів та інших матеріальних цінностей (далі - матеріальні цінності), призначених для запобігання і ліквідації наслідків надзвичайних ситуацій природного та воєнного характеру місцевого рівня, надання допомоги постраждалому населенню, проведення невідкладних відновлювальних робіт і заходів</t>
  </si>
  <si>
    <t>8.</t>
  </si>
  <si>
    <t>9.</t>
  </si>
  <si>
    <t>10.</t>
  </si>
  <si>
    <t>Відділ комунального господарства та благоустрою Чорноморської міської ради Одеського району Одеської області, всього -</t>
  </si>
  <si>
    <t>КП "Чорноморськводоканал" Чорноморської міської ради Одеського району Одеської області</t>
  </si>
  <si>
    <t>КП "Чорноморськтеплоенерго" Чорноморської міської ради Одеського району Одеської області</t>
  </si>
  <si>
    <t xml:space="preserve"> КП "МУЖКГ" Чорноморської міської ради Одеського району Одеської області</t>
  </si>
  <si>
    <t>КП "Зеленгосп" Чорноморської міської ради Одеського району Одеської області</t>
  </si>
  <si>
    <t>Всього за п. 10</t>
  </si>
  <si>
    <t>11.</t>
  </si>
  <si>
    <t>Безперешкодне управління виконавчими органами Чорноморської міської ради Одеського району Одеської області та об'єктами життєзабезпечення населення  Чорноморської міської територіальної громади в період дії правового режиму воєнного стану</t>
  </si>
  <si>
    <t>Придбання радіостанцій, акумуляторної батареї, оренда ретранслятора і базової станції, оплата послуг радіозв'язку</t>
  </si>
  <si>
    <t>Виконавчий комітет  Чорноморської міської ради Одеського району Одеської області</t>
  </si>
  <si>
    <t>Всього за п. 11</t>
  </si>
  <si>
    <t>12.</t>
  </si>
  <si>
    <t>Розробка та встановлення комплексу автоматичної дистанційної системи управління оповіщення населення Чорноморської міської територіальної громади про початок та відбій сигналу "ПОВІТРЯНА ТРИВОГА"</t>
  </si>
  <si>
    <t>13.</t>
  </si>
  <si>
    <t xml:space="preserve">Роботи з ліквідації та запобігання наслідків надзвичайних  ситуацій під час дії правового режиму воєнного стану </t>
  </si>
  <si>
    <t>Оплата праці та нарахування на фонд оплати праці</t>
  </si>
  <si>
    <t>Відділ комунального господарства та благоустрою Чорноморської міської ради Одеського району Одеської області;
КП "Зеленгосп" Чорноморської міської ради Одеського району Одеської області</t>
  </si>
  <si>
    <t>14.</t>
  </si>
  <si>
    <t xml:space="preserve">Заходи із цивільного захисту населення - забезпечення населення Чорноморської міської територіальної громади водопостачанням в умовах надзвичайної ситуації, які виникають під час збройної агресії російської федерації </t>
  </si>
  <si>
    <t xml:space="preserve">Придбання джерела резервного живлення  для забезпечення автономної роботи центральної насосної станції </t>
  </si>
  <si>
    <t>Відділ комунального господарства та благоустрою Чорноморської міської ради Одеського району Одеської області;
КП "Чорноморськводоканал" Чорноморської міської ради Одеського району Одеської області</t>
  </si>
  <si>
    <t>Придбання ємностей для прийому та роздачі води;
встановлення та обв'язка ємностей для прийому та роздачі води в с.Бурлача Балка, с.Малодолинське, сел.Олександрівка, на території Чорноморських ліцеїв №№ 1, 4, 6, 7;
улаштування системи відбору води в переносну тару з бювету в с.Бурлача Балка</t>
  </si>
  <si>
    <t xml:space="preserve">Монтування бювету в селі Бурлача Балка (улаштування системи відбору води в переносну тару), придбання насосу та комплектного обладнання для бювету в с. Бурлача Балка </t>
  </si>
  <si>
    <t xml:space="preserve">Придбання та монтаж тимчасового освітлення територій свердловин та бюветів </t>
  </si>
  <si>
    <t>Придбання джерел резервного живлення  (генератор) для забезпечення населення питною водою за рахунок артезіанських свердловин</t>
  </si>
  <si>
    <t>Всього по п. 14</t>
  </si>
  <si>
    <t>15.</t>
  </si>
  <si>
    <t>Придбання джерела резервного живлення для забезпечення опалення будинку за адресою: м.Чорноморськ, вул.Данченка, 3Б та частотного перетворювача обертів двигуна циркуляційного насосу</t>
  </si>
  <si>
    <t xml:space="preserve">Придбання джерел резервного живлення  та супутніх матеріалів (розетки, кабель, вимикачі) для забезпечення теплопостачанням  багатоквартирних будинків </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</si>
  <si>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</si>
  <si>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Всього по п. 15</t>
  </si>
  <si>
    <t>16.</t>
  </si>
  <si>
    <t>Всього по п.16</t>
  </si>
  <si>
    <t>Заходи із запобігання виникненню надзвичайних ситуацій</t>
  </si>
  <si>
    <t>Всього по п.17</t>
  </si>
  <si>
    <t>Разом</t>
  </si>
  <si>
    <t>Здійснення організаційних та спеціальних заходів щодо запобігання виникненню пожеж, надзвичайних ситуацій, надзвичайних подій, їх ліквідації, в тому числі проведення занять і навчань, відпрацювання документів оперативного реагування, перевірка джерел протипожежного водопостачання та виконання інших службових цілей і завдань підрозділу</t>
  </si>
  <si>
    <t>Забезпечення  утримання, збереження та розвитку фонду захисних споруд цивільного захисту, в тому числі, які використовуються для розгортання та функціонування "Пунктів Незламності" (пунктів обігріву)</t>
  </si>
  <si>
    <t>Управління соціальної політики Чорноморської міської ради Одеського району Одеської області, 
КУ "Територіальний центр соціального обслуговування  (надання соціальних послуг) Чорноморської міської ради Одеського району Одеської області"</t>
  </si>
  <si>
    <t>Накопичення продовольчих товарів, засобів гігієни, інших матеріальних цінностей з метою підтримки населення Чорноморської міської територіальної громади, в тому числі внутрішньо переміщених осіб,  в умовах правового режиму воєнного стану</t>
  </si>
  <si>
    <t>Оплата послуг з обслуговування автомобільним транспортом з доставки продовольчих товарів, засобів гігієни, інших матеріальних цінностей до місця зберігання</t>
  </si>
  <si>
    <t>Ліквідація наслідків вибуху, який стався 09.04.2022 року за адресою: Одеська область, Одеський район, м. Чорноморськ,  вул. Транспортна,10.</t>
  </si>
  <si>
    <t xml:space="preserve">у тому числі за відповідальними виконавцями: </t>
  </si>
  <si>
    <t xml:space="preserve">Відшкодування комунальних послуг за розгортання «Пункту Незламності» (стаціонарного пункту обігріву)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</si>
  <si>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 xml:space="preserve">Придбання пально-мастильних матеріалів для забезпечення роботи джерела резервного живлення в  «Пункті Незламності» (стаціонарного пункту обігріву), який розгорнуто для розміщення в ньому жителів Чорноморської міської територіальної громади, в тому числі внутрішньо переміщених осіб,  за адресою: м.Чорноморськ, вул.Паркова, 15 (існуючі будівлі та споруди концертно-розважального комплексу) </t>
  </si>
  <si>
    <t>Поточний ремонт зовнішніх вентиляційних шахт захисної споруди цивільного захисту (сховища) будівлі поліклініки за адресою: Одеський район, Одеської області, м.Чорноморськ, вул.1 Травня, 1</t>
  </si>
  <si>
    <t>Забезпечення роботи систем та засобів оповіщення та інформування населення, придбання запчастин та матеріалів для їх ремонту та модернізації, оплата послуг з їх впровадження (встановлення), ремонту та технічного обслуговування</t>
  </si>
  <si>
    <t>Капітальний ремонт системи протипожежного захисту будівлі поліклініки № 1 з вбудованою захисною спорудою цивільного захисту (цивільної оборони) сховища обліковий № 57620, розташованої за адресою: вул.1 Травня, буд.1, м.Чорноморськ, Одеський район, Одеська область (інв.номер № 101310011)</t>
  </si>
  <si>
    <t>Капітальний ремонт системи протипожежного захисту відділення сімейної медицини поліклініки № 1, розташована за адресою: Одеська область, Одеський район, м.Чорноморськ, селище Олександрівка, вулиця Перемоги, 64 літ. "А"; "Б" (інв.номера 101310012; 101310017)</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</si>
  <si>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 вул.1-го Травня, буд.3</t>
  </si>
  <si>
    <t>Будівництво (улаштування) системи пожежної сигналізації, системи керування евакуюванням (у частині системи оповіщення про пожежу і показників напрямку евакуювання; системи централізованого пожежного спостереження; автоматичної системи аерозольного пожежогасіння на об'єкті: адміністративна будівля виконавчого комітету Чорноморської міської ради Одеського району Одеської області за адресою: 68003, Одеська область, Одеський район, м.Чорноморськ, проспект Миру, буд.33</t>
  </si>
  <si>
    <t>Нове будівництво захисної споруди цивільного захисту подвійного призначення Чорноморського  ліцею №2 Чорноморської міської ради Одеського району Одеської області за адресою: м. Чорноморськ, проспект Миру, 17-А</t>
  </si>
  <si>
    <t>Нове будівництво захисної споруди цивільного захисту подвійного призначення Чорноморського ліцею №3 Чорноморської міської ради Одеського району Одеської області за адресою: м. Чорноморськ, вул. Паркова, 10-А</t>
  </si>
  <si>
    <t>Оплата послуг з оренди джерел резервного живлення (генераторів) (7 од.)  для забезпечення роботи водопровідних, каналізаційних насосних станцій та артезіанських свердловин при довготривалій відсутності електропостачання - січень-березень 2023 року</t>
  </si>
  <si>
    <t>Управління  освіти Чорноморської міської ради Одеського району Одеської області</t>
  </si>
  <si>
    <t>Управління освіти Чорноморської міської ради Одеського району Одеської області</t>
  </si>
  <si>
    <t xml:space="preserve">Управління освіти Чорноморської міської ради Одеського району Одеської області
</t>
  </si>
  <si>
    <t xml:space="preserve">Управління  освіти Чорноморської міської ради Одеського району Одеської області
</t>
  </si>
  <si>
    <t xml:space="preserve">Придбання лавок,  життєво необхідних предметів та  засобів, тощо для захисних споруд цивільного захисту (цивільної оборони) - укриттів </t>
  </si>
  <si>
    <t xml:space="preserve">Нове будівництво захисної споруди цивільного захисту подвійного призначення Бурлачобалківської гімназії Чорноморської міської ради Одеського району Одеської області за адресою:  м. Чорноморськ, с. Бурлача Балка, вул. Інститутська, 22 </t>
  </si>
  <si>
    <t>Ліквідація наслідків ракетних ударів на території Чорноморської міської територіальної громади в результаті збройної агресії Російської Федерації проти України - поточний ремонт вікон Олександрівської амбулаторії сімейної медицини за адресою: м. Чорноморськ, смт Олександрівка, вул. Перемоги, 64</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</si>
  <si>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</si>
  <si>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Всього за п.9</t>
  </si>
  <si>
    <t>Фінансове управління Чорноморської міської ради,   
ГУ ДСНС України в Одеській області, 
22 ДПРЧ 7 ДПРЗ ГУ ДСНС України в Одеській області</t>
  </si>
  <si>
    <t>ГУ ДСНС України в Одеській області, 
22 ДПРЧ 7 ДПРЗ ГУ ДСНС України в Одеській області, 
підприємства, установи та організації міста</t>
  </si>
  <si>
    <t>Управління комунальної власності та земельних відносин Чорноморської міської ради Одеського району Одеської області
КП - фірма "Райдуга"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</si>
  <si>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</si>
  <si>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</si>
  <si>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КП "Палац спорту "Юність" Чорноморської міської ради Одеського району Одеської області</t>
  </si>
  <si>
    <t>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</si>
  <si>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Олександрівська селищна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</si>
  <si>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Малодолинська сільська адміністрація Чорноморської міської ради Одеського району Одеської області</t>
  </si>
  <si>
    <t>Виконавчий комітет  Чорноморської міської ради Одеського району Одеської області
Бурлачобалківська сільська адміністрація Чорноморської міської ради Одеського району Одеської області</t>
  </si>
  <si>
    <t xml:space="preserve">Придбання матеріалів для ремонту тепло-, водо-, електромереж та придбання матеріалів, будівельних матеріалів, інвентарю та інструментів для проведення ремонтних робіт господарським способом,  ремонт та облаштування захисних споруд цивільного захисту (укриття, бомбосховища тощо), улаштування електронних замків на вхідних дверях в укриття, які увійшли до фонду захисних споруд цивільного захисту Чорноморської міської територіальної громади як найпростіші укриття, забезпечення їх джерелами резервного живлення та пально-мастильними матеріалами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</si>
  <si>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</si>
  <si>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 xml:space="preserve">Заходи із цивільного захисту населення - запобігання надзвичайних ситуацій та наслідків в період опалювального сезону 2022/2023 років, 2023/2024 років в умовах правового режиму воєнного стану </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</si>
  <si>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 Чорноморськ,  вул. Віталія  Шума, 4, літ.А</t>
  </si>
  <si>
    <t>Придбання продуктів харчування (печиво, локшина швидкого приготування, чай) та одноразового посуду (стакан пластиковий, ложка пластикова, мішалка для чаю),  ремонт та комплектація необхідними засобами (придбання засобів пожежогасіння, санобробки, засобів особистої гігієни, мережевих подовжувачів, комплектів освітлення приміщень, облаштування куточку матері та дитини)</t>
  </si>
  <si>
    <t xml:space="preserve">Реконструкція приміщення сховища в будівлі за адресою: Одеська область, Одеський район, м. Чорноморськ, вул. 1 Травня, 2/198-Н. </t>
  </si>
  <si>
    <t>Відділ комунального господарства та благоустрою Чорноморської міської ради Одеського району Одеської області</t>
  </si>
  <si>
    <t>Разом п.7</t>
  </si>
  <si>
    <t>Олександрівська селищна адміністрація  Чорноморської міської ради Одеського району Одеської області</t>
  </si>
  <si>
    <t>Бурлачобалківська сільська адміністрація  Чорноморської міської ради Одеського району Одеської області</t>
  </si>
  <si>
    <t>Малодолинська сільська адміністрація  Чорноморської міської ради Одеського району Одеської області</t>
  </si>
  <si>
    <t>КНП "Чорноморська лікарня" Чорноморської міської ради Одеського району Одеської області</t>
  </si>
  <si>
    <t>КП "МУЖКГ" Чорноморської міської ради Одеського району Одеської області</t>
  </si>
  <si>
    <t xml:space="preserve">Забезпечення  резервним  живленням  котельні  по вул. Садова,  буд. 1 в  м. Чорноморську  шляхом  приєднання  дизель-генератора  до  системи  електроживлення  котельні </t>
  </si>
  <si>
    <t xml:space="preserve">Начальник фінансового управління </t>
  </si>
  <si>
    <t>Ольга ЯКОВЕНКО</t>
  </si>
  <si>
    <t>Придбання  комп’ютерної техніки,  програмного забезпечення, телекомунікаційного обладнання та інше; канцтоварів, журналів, наочної агітації для 22-ДПРЧ 7 ДПРЗ</t>
  </si>
  <si>
    <t>Реалізація проектів (заходів) з відновлення освітніх установ та закладів, пошкоджених / знищених внаслідок збройної агресії</t>
  </si>
  <si>
    <t>Нове будівництво захисної споруди цивільного захисту подвійного призначення Чорноморського економіко-правового ліцею №1 Чорноморської міської ради Одеського району Одеської області за адресою: м. Чорноморськ, провулок Шкільний, 8</t>
  </si>
  <si>
    <t xml:space="preserve">К О Ш Т О Р И С
фінансування заходів, визначених Міською цільовою соціальною програмою розвитку цивільного захисту 
 Чорноморської міської територіальної громади на 2021-2025 роки </t>
  </si>
  <si>
    <t xml:space="preserve">Створення, поповнення та зберігання місцевого матеріального резерву для запобігання виникнення надзвичайних ситуацій і ліквідації наслідків надзвичайних ситуацій </t>
  </si>
  <si>
    <t>КП "ЧТЕ"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</si>
  <si>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всього -
в т.ч. за відповідальними виконавцями:</t>
  </si>
  <si>
    <t>2023*</t>
  </si>
  <si>
    <t>Утримання найпростіших укриттів, в тому числі, які використовуються для розгортання та функціонування "Пунктів Незламності" (пунктів обігріву)  (оплата праці, нарахування на оплату праці відповідальним особам; особам, залученим до чергування; особам, залученим до прибирання укриттів, відшкодування комунальних послуг)</t>
  </si>
  <si>
    <t>Субвенція з обласного бюджету Одеської області на виконання інвестиційних проектів</t>
  </si>
  <si>
    <t>Виконавчий комітет Чорноморської міської ради Одеського району Одеської області</t>
  </si>
  <si>
    <t>Заходи із запобігання виникнення надзвичайних ситуацій та ліквідації наслідків надзвичайних ситуацій та  стихійного лиха</t>
  </si>
  <si>
    <t>Відділ комунального господарства та благоустрою Чорноморської міської ради Одеського району Одеської області
КП "Чорноморськтеплоенерго" Чорноморської міської ради Одеського району Одеської області</t>
  </si>
  <si>
    <t>Заходи із цивільного захисту населення в частині розгортання та функціонування "Пунктів Незламності" (стаціонарних пунктів обігріву), в тому числі, що використовуються в якості найпростіших укриттів,  під час дії правового режиму воєнного стану на території Чорноморської міської територіальної громади Одеського району Одеської області - підготовка об'єктів до опалювального сезону 2022/2023 років, 2023/2024 років, 2024/2025 років</t>
  </si>
  <si>
    <t>Капітальний ремонт покрівлі будівлі  Пункту Незламності (ЦТП № 57) за адресою: вул.Паркова, буд.14-В, м.Чорноморськ Одеського району Одеської області</t>
  </si>
  <si>
    <t>Створення безпечних умов в захисних спорудах цивільного захисту (цивільної оборони)  - бомбосховищах, укриттях, тощо  для прийняття жителів Чорноморської міської територіальної громади  у разі такої необхідності.
Реалізація проектів, пов’язаних із будівництвом, реконструкцією, реставрацією та капітальним ремонтом захисних споруд цивільного захисту.
Створення належних і безпечних умов здобуття освіти та організації безпечного освітнього середовища в закладах загальної середньої  освіти Чорноморської міської ради Одеського району Одеської області</t>
  </si>
  <si>
    <t xml:space="preserve">Поточний ремонт системи вентиляції укриття Малодолинського закладу загальної середньої освіти, розташованого за адресою: Одеська область, місто Чорноморськ, селище  Малодолинське, вулиця Зелена, 2 </t>
  </si>
  <si>
    <t>Оплата послуг із встановлення джерел резервного живлення в найпростішому укритті Чорноморського ліцею № 3,  розташованого за адресою: місто Чорноморськ, проспект Паркова, 10-А</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</si>
  <si>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</si>
  <si>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Оплата послуг із встановлення джерел резервного живлення в найпростішому укритті Чорноморського ліцею № 2,  розташованого за адресою: місто Чорноморськ, проспект Миру, 17-А</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</si>
  <si>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</si>
  <si>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Відділ комунального господарства та благоустрою Чорноморської міської ради Одеського району Одеської області
КП "МУЖКГ" Чорноморської міської ради Одеського району Одеської області</t>
  </si>
  <si>
    <t>Створення безпечних умов для водіїв та пішоходів в межах Чорноморської міської територіальної громади шляхом забезпечення стабільної роботи об’єктів транспортної інфраструктури, зокрема світлофорних об’єктів на вулично-дорожній мережі Чорноморської міської територіальної громади у період довготривалого знеструмлення</t>
  </si>
  <si>
    <t>18.</t>
  </si>
  <si>
    <t xml:space="preserve">Оснащення світлофорних об'єктів вулично-дорожньої мережі Чорноморської міської територіальної громади системами резервного живлення на об'єктах:
- перехрестя вулиці 1 Травня - проспекту Миру;
- перехрестя вулиці 1 Травня - вулиці Олександрійська;
- перехрестя вулиці 1 Травня - вулиці Віталія Шума </t>
  </si>
  <si>
    <t>17.</t>
  </si>
  <si>
    <t>Придбання генераторів для забезпечення безперебійної роботи закладів освіти у період відключення електроенергії</t>
  </si>
  <si>
    <t>Придбання генераторів для забезпечення безперебійної роботи підприємства у період відключення електроенергії</t>
  </si>
  <si>
    <t>в тому числі за рахунок коштів:</t>
  </si>
  <si>
    <t>бюджету Чорноморської міської територіальної громади</t>
  </si>
  <si>
    <t>Державного бюджету</t>
  </si>
  <si>
    <t xml:space="preserve">Забезпечення функціонування Пунктів Незламності </t>
  </si>
  <si>
    <t>Реалізація проектів (заходів) з відновлення медичних установ та закладів, пошкоджених / знищених внаслідок збройної агресії
разом, в т.ч.:</t>
  </si>
  <si>
    <t>обласного бюджету Одеської області</t>
  </si>
  <si>
    <t xml:space="preserve">Створення запасів харчових продуктів і напоїв в укриттях та сховищах закладів  освіти Чорноморської міської ради Одеського району Одеської області </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</si>
  <si>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вул.Перемоги, 35-а</t>
  </si>
  <si>
    <t xml:space="preserve">Управління капітального будівництва Чорноморської міської ради Одеського району Одеської області
</t>
  </si>
  <si>
    <t xml:space="preserve">Придбання та встановлення наметів, джерел резервного живлення, зарядних станцій, пально-мастильних матеріалів, інших супутніх матеріалів (кабель), придбання та встановлення печей ("буржуйок"), оплата інших енергоносіїв, які використовуються в процесі виробництва теплоенергії або іншого виду енергії (дрова) для створення пунктів обігріву,  в тому числі, що використовуються в якості найпростіших укриттів в особливий період, проведення ремонту будівель, що використовуються як "Пункти Незламності" </t>
  </si>
  <si>
    <t xml:space="preserve">Оплата послуг з оренди вантажних автомобілей вантажопідйомністю 3-6т (12 од) для забезпечення населення Чорноморської міської територіальної  громади водою </t>
  </si>
  <si>
    <t xml:space="preserve">Оплата послуг з оренди автоцистерн ємністю 5-8 куб (14 од) для забезпечення населення Чорноморської міської територіальної  громади водою </t>
  </si>
  <si>
    <t xml:space="preserve">Харчування учасників, які забезпечують життєдіяльність Чорноморської міської територіальної громади в період "блекауту"  (орієнтовно 100 ос) </t>
  </si>
  <si>
    <t xml:space="preserve">*2022-2024 роки - видатки зазначені відповідно до звіту про виконання бюджету Чорноморської міської територіальної громади за відповідний рік </t>
  </si>
  <si>
    <t>2024*</t>
  </si>
  <si>
    <t>Реконструкція будівлі теплодимокамери 22 ДПРЧ 7 ДПРЗ ГУ ДСНС України в Одеській області (літера "В") за адресою вул. Віталія Шума, буд.6-Б м. Чорноморськ, Одеського району, Одеської області</t>
  </si>
  <si>
    <t>від                      2025    №         -VIII</t>
  </si>
  <si>
    <t>Додаткова дотація з Державного бюджету</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</si>
  <si>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</si>
  <si>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 заходів гідроізоляції в найпростішому укритті Чорноморського ліцею № 6, розташованого за адресою: Одеська область, Одеський район, м. Чорноморськ, вулиця Спортивна, ЗА</t>
  </si>
  <si>
    <t>Капітальний ремонт підвального приміщення в будівлі закладу дошкільної освіти № 4 «Барвінок» Чорноморської міської ради Одеського району Одеської області, за адресою: Одеська область, Одеський район, м. Чорноморськ, вулиця Олександрійська, 19-А, з подальшою можливістю улаштування найпростішого укриття</t>
  </si>
  <si>
    <t>Капітальний ремонт підвальних приміщень житлового будинку з влаштуванням найпростішого укриття, розташованого за адресою: Одеська область, Одеський район, м.Чорноморськ, проспект Миру, 15-Б/52-Н (розробка проектно-кошторисної документації)</t>
  </si>
  <si>
    <t>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t>
  </si>
  <si>
    <t>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t>
  </si>
  <si>
    <t>Капітальний ремонт з заміною вікон Малодолинського закладу загальної середньої освіти Чорноморської міської ради Одеського району Одеської області, пошкоджених внаслідок військової агресії, за адресою: Одеська область, Одеський район, м. Чорноморськ, вул. Зелена, 2</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</si>
  <si>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 за адресою: вул. Віталія Шума, буд. 4, м. Чорноморськ, Одеського району, Одеської області, пошкоджених внаслідок збройної агресії російської федерації"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</si>
</sst>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000"/>
    <numFmt numFmtId="167" formatCode="#,##0.000"/>
    <numFmt numFmtId="168" formatCode="#,##0.0000"/>
  </numFmts>
  <fonts count="19" x14ac:knownFonts="1">
    <font>
      <sz val="10"/>
      <color theme="1"/>
      <name val="Calibri"/>
      <charset val="204"/>
      <scheme val="minor"/>
    </font>
    <font>
      <sz val="10"/>
      <name val="Times New Roman"/>
      <family val="1"/>
      <charset val="204"/>
    </font>
    <font>
      <b/>
      <sz val="10"/>
      <name val="Calibri"/>
      <family val="2"/>
      <charset val="204"/>
      <scheme val="minor"/>
    </font>
    <font>
      <b/>
      <i/>
      <sz val="10"/>
      <name val="Calibri"/>
      <family val="2"/>
      <charset val="204"/>
      <scheme val="minor"/>
    </font>
    <font>
      <i/>
      <sz val="10"/>
      <name val="Calibri"/>
      <family val="2"/>
      <charset val="204"/>
      <scheme val="minor"/>
    </font>
    <font>
      <sz val="12"/>
      <name val="Times New Roman"/>
      <family val="1"/>
      <charset val="204"/>
    </font>
    <font>
      <sz val="12"/>
      <name val="Calibri"/>
      <family val="2"/>
      <charset val="204"/>
      <scheme val="minor"/>
    </font>
    <font>
      <b/>
      <sz val="14"/>
      <name val="Calibri"/>
      <family val="2"/>
      <charset val="204"/>
      <scheme val="minor"/>
    </font>
    <font>
      <sz val="10"/>
      <name val="Calibri"/>
      <family val="2"/>
      <charset val="204"/>
      <scheme val="minor"/>
    </font>
    <font>
      <sz val="11"/>
      <name val="Times New Roman"/>
      <family val="1"/>
      <charset val="204"/>
    </font>
    <font>
      <i/>
      <sz val="10"/>
      <name val="Times New Roman"/>
      <family val="1"/>
      <charset val="204"/>
    </font>
    <font>
      <b/>
      <sz val="10"/>
      <name val="Times New Roman"/>
      <family val="1"/>
      <charset val="204"/>
    </font>
    <font>
      <sz val="11"/>
      <name val="Calibri"/>
      <family val="2"/>
      <charset val="204"/>
      <scheme val="minor"/>
    </font>
    <font>
      <i/>
      <sz val="11"/>
      <name val="Calibri"/>
      <family val="2"/>
      <charset val="204"/>
      <scheme val="minor"/>
    </font>
    <font>
      <sz val="14"/>
      <name val="Calibri"/>
      <family val="2"/>
      <charset val="204"/>
      <scheme val="minor"/>
    </font>
    <font>
      <sz val="26"/>
      <name val="Calibri"/>
      <family val="2"/>
      <charset val="204"/>
      <scheme val="minor"/>
    </font>
    <font>
      <sz val="11"/>
      <color theme="1"/>
      <name val="Calibri"/>
      <family val="2"/>
      <charset val="204"/>
      <scheme val="minor"/>
    </font>
    <font>
      <sz val="10"/>
      <color rgb="FFFF0000"/>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s>
  <cellStyleXfs count="2">
    <xf numFmtId="0" fontId="0" fillId="0" borderId="0"/>
    <xf numFmtId="0" fontId="16" fillId="0" borderId="0"/>
  </cellStyleXfs>
  <cellXfs count="92">
    <xf numFmtId="0" fontId="0" fillId="0" borderId="0" xfId="0"/>
    <xf numFmtId="0" fontId="1" fillId="2" borderId="0" xfId="0" applyFont="1" applyFill="1" applyAlignment="1">
      <alignment vertical="center"/>
    </xf>
    <xf numFmtId="0" fontId="2" fillId="2" borderId="0" xfId="0" applyFont="1" applyFill="1"/>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1" fillId="2" borderId="0" xfId="0" applyFont="1" applyFill="1"/>
    <xf numFmtId="0" fontId="1" fillId="2" borderId="0" xfId="0" applyFont="1" applyFill="1" applyAlignment="1">
      <alignment horizontal="center" vertical="center"/>
    </xf>
    <xf numFmtId="0" fontId="1" fillId="2" borderId="1" xfId="0" applyFont="1" applyFill="1" applyBorder="1" applyAlignment="1">
      <alignment horizontal="center" vertical="center" textRotation="90" wrapText="1"/>
    </xf>
    <xf numFmtId="0" fontId="1" fillId="2" borderId="1" xfId="1" applyFont="1" applyFill="1" applyBorder="1" applyAlignment="1">
      <alignment horizontal="left" vertical="center" wrapText="1"/>
    </xf>
    <xf numFmtId="166" fontId="10" fillId="2" borderId="1" xfId="0" applyNumberFormat="1" applyFont="1" applyFill="1" applyBorder="1" applyAlignment="1">
      <alignment horizontal="center" vertical="center" wrapText="1"/>
    </xf>
    <xf numFmtId="0" fontId="2" fillId="2" borderId="0" xfId="0" applyFont="1" applyFill="1" applyAlignment="1">
      <alignment wrapText="1"/>
    </xf>
    <xf numFmtId="0" fontId="3" fillId="2" borderId="0" xfId="0" applyFont="1" applyFill="1" applyAlignment="1">
      <alignment vertical="center"/>
    </xf>
    <xf numFmtId="166" fontId="11" fillId="2" borderId="1" xfId="0" applyNumberFormat="1" applyFont="1" applyFill="1" applyBorder="1" applyAlignment="1">
      <alignment horizontal="center" vertical="center" wrapText="1"/>
    </xf>
    <xf numFmtId="0" fontId="9" fillId="2" borderId="0" xfId="0" applyFont="1" applyFill="1"/>
    <xf numFmtId="0" fontId="12" fillId="2" borderId="0" xfId="0" applyFont="1" applyFill="1"/>
    <xf numFmtId="166" fontId="12" fillId="2" borderId="0" xfId="0" applyNumberFormat="1"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2" fillId="2" borderId="0" xfId="0" applyNumberFormat="1" applyFont="1" applyFill="1"/>
    <xf numFmtId="4" fontId="12" fillId="2" borderId="0" xfId="0" applyNumberFormat="1" applyFont="1" applyFill="1"/>
    <xf numFmtId="4" fontId="13" fillId="2" borderId="0" xfId="0" applyNumberFormat="1" applyFont="1" applyFill="1"/>
    <xf numFmtId="167" fontId="13" fillId="2" borderId="0" xfId="0" applyNumberFormat="1" applyFont="1" applyFill="1"/>
    <xf numFmtId="167" fontId="12" fillId="2" borderId="0" xfId="0" applyNumberFormat="1" applyFont="1" applyFill="1"/>
    <xf numFmtId="0" fontId="14" fillId="2" borderId="0" xfId="0" applyFont="1" applyFill="1"/>
    <xf numFmtId="0" fontId="15" fillId="2" borderId="0" xfId="0" applyFont="1" applyFill="1"/>
    <xf numFmtId="167" fontId="11" fillId="2" borderId="0" xfId="0" applyNumberFormat="1" applyFont="1" applyFill="1" applyAlignment="1">
      <alignment horizontal="center" vertical="center" wrapText="1"/>
    </xf>
    <xf numFmtId="0" fontId="1" fillId="2" borderId="1" xfId="0" quotePrefix="1" applyFont="1" applyFill="1" applyBorder="1" applyAlignment="1">
      <alignment vertical="center" wrapText="1"/>
    </xf>
    <xf numFmtId="0" fontId="1" fillId="2" borderId="1" xfId="0" quotePrefix="1" applyFont="1" applyFill="1" applyBorder="1" applyAlignment="1">
      <alignment horizontal="left" vertical="center" wrapText="1"/>
    </xf>
    <xf numFmtId="0" fontId="10" fillId="2" borderId="1" xfId="0" applyFont="1" applyFill="1" applyBorder="1" applyAlignment="1">
      <alignment horizontal="center" vertical="center" wrapText="1"/>
    </xf>
    <xf numFmtId="0" fontId="3" fillId="2" borderId="0" xfId="0" applyFont="1" applyFill="1" applyAlignment="1">
      <alignment wrapText="1"/>
    </xf>
    <xf numFmtId="168" fontId="1" fillId="2" borderId="1" xfId="0" applyNumberFormat="1" applyFont="1" applyFill="1" applyBorder="1" applyAlignment="1">
      <alignment horizontal="center" vertical="center" wrapText="1"/>
    </xf>
    <xf numFmtId="166" fontId="13" fillId="2" borderId="0" xfId="0" applyNumberFormat="1" applyFont="1" applyFill="1"/>
    <xf numFmtId="0" fontId="8" fillId="2" borderId="2" xfId="0" applyFont="1" applyFill="1" applyBorder="1"/>
    <xf numFmtId="166" fontId="17" fillId="2" borderId="1" xfId="0" applyNumberFormat="1" applyFont="1" applyFill="1" applyBorder="1" applyAlignment="1">
      <alignment horizontal="center" vertical="center" wrapText="1"/>
    </xf>
    <xf numFmtId="0" fontId="18" fillId="2" borderId="6" xfId="0" quotePrefix="1" applyFont="1" applyFill="1" applyBorder="1" applyAlignment="1">
      <alignment vertical="center" wrapText="1"/>
    </xf>
    <xf numFmtId="0" fontId="10" fillId="2" borderId="1" xfId="0" applyFont="1" applyFill="1" applyBorder="1"/>
    <xf numFmtId="166" fontId="10" fillId="2" borderId="1" xfId="0" applyNumberFormat="1" applyFont="1" applyFill="1" applyBorder="1"/>
    <xf numFmtId="0" fontId="10" fillId="2" borderId="0" xfId="0" applyFont="1" applyFill="1"/>
    <xf numFmtId="166" fontId="10" fillId="2" borderId="0" xfId="0" applyNumberFormat="1" applyFont="1" applyFill="1"/>
    <xf numFmtId="0" fontId="10" fillId="2" borderId="1" xfId="1" applyFont="1" applyFill="1" applyBorder="1" applyAlignment="1">
      <alignment horizontal="left" vertical="center" wrapText="1"/>
    </xf>
    <xf numFmtId="0" fontId="1" fillId="2" borderId="9" xfId="0" applyFont="1" applyFill="1" applyBorder="1" applyAlignment="1">
      <alignment horizontal="center" vertical="center" wrapText="1"/>
    </xf>
    <xf numFmtId="166" fontId="1" fillId="2" borderId="0" xfId="0" applyNumberFormat="1" applyFont="1" applyFill="1"/>
    <xf numFmtId="0" fontId="10" fillId="2" borderId="1" xfId="0" applyFont="1" applyFill="1" applyBorder="1" applyAlignment="1">
      <alignment horizontal="left"/>
    </xf>
    <xf numFmtId="0" fontId="10" fillId="2" borderId="0" xfId="0" applyFont="1" applyFill="1" applyAlignment="1">
      <alignment horizontal="left"/>
    </xf>
    <xf numFmtId="0" fontId="9" fillId="2" borderId="0" xfId="0" applyFont="1" applyFill="1" applyAlignment="1">
      <alignment horizontal="left"/>
    </xf>
    <xf numFmtId="0" fontId="6" fillId="2" borderId="0" xfId="0" applyFont="1" applyFill="1" applyAlignment="1">
      <alignment horizontal="left"/>
    </xf>
    <xf numFmtId="0" fontId="8" fillId="2" borderId="0" xfId="0" applyFont="1" applyFill="1" applyAlignment="1">
      <alignment horizontal="left"/>
    </xf>
    <xf numFmtId="0" fontId="4" fillId="2" borderId="0" xfId="0" applyFont="1" applyFill="1" applyAlignment="1">
      <alignment horizontal="left"/>
    </xf>
    <xf numFmtId="0" fontId="14" fillId="2" borderId="0" xfId="0" applyFont="1" applyFill="1" applyAlignment="1">
      <alignment horizontal="left"/>
    </xf>
    <xf numFmtId="0" fontId="1" fillId="2" borderId="6" xfId="0" quotePrefix="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0" xfId="0" applyFont="1" applyFill="1" applyAlignment="1">
      <alignment horizontal="left"/>
    </xf>
    <xf numFmtId="166" fontId="1" fillId="2" borderId="1"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vertical="center" wrapText="1"/>
    </xf>
    <xf numFmtId="16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left" vertical="center" wrapText="1"/>
    </xf>
    <xf numFmtId="166" fontId="1"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1" xfId="0" applyFont="1" applyFill="1" applyBorder="1" applyAlignment="1">
      <alignment vertical="center" wrapText="1"/>
    </xf>
    <xf numFmtId="0" fontId="11"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0" xfId="0" applyFont="1" applyFill="1" applyAlignment="1">
      <alignment horizontal="left"/>
    </xf>
    <xf numFmtId="0" fontId="9" fillId="2" borderId="0" xfId="0" applyFont="1" applyFill="1" applyAlignment="1">
      <alignment horizontal="center" vertical="center"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166" fontId="1" fillId="2" borderId="1" xfId="0" applyNumberFormat="1" applyFont="1" applyFill="1" applyBorder="1" applyAlignment="1">
      <alignment horizontal="center" vertical="center" wrapText="1"/>
    </xf>
  </cellXfs>
  <cellStyles count="2">
    <cellStyle name="Звичайний" xfId="0" builtinId="0"/>
    <cellStyle name="Обычный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8"/>
  <sheetViews>
    <sheetView tabSelected="1" view="pageBreakPreview" zoomScale="60" zoomScaleNormal="86" workbookViewId="0">
      <pane xSplit="5" ySplit="8" topLeftCell="F70" activePane="bottomRight" state="frozen"/>
      <selection pane="topRight" activeCell="F1" sqref="F1"/>
      <selection pane="bottomLeft" activeCell="A9" sqref="A9"/>
      <selection pane="bottomRight" activeCell="C73" sqref="C73"/>
    </sheetView>
  </sheetViews>
  <sheetFormatPr defaultColWidth="9.109375" defaultRowHeight="13.8" x14ac:dyDescent="0.3"/>
  <cols>
    <col min="1" max="1" width="3.88671875" style="8" customWidth="1"/>
    <col min="2" max="2" width="50.109375" style="51" customWidth="1"/>
    <col min="3" max="3" width="57.44140625" style="8" customWidth="1"/>
    <col min="4" max="4" width="54" style="8" customWidth="1"/>
    <col min="5" max="5" width="29.33203125" style="8" customWidth="1"/>
    <col min="6" max="6" width="18.33203125" style="8" customWidth="1"/>
    <col min="7" max="7" width="16.88671875" style="8" customWidth="1"/>
    <col min="8" max="8" width="17.88671875" style="8" customWidth="1"/>
    <col min="9" max="9" width="18.109375" style="8" customWidth="1"/>
    <col min="10" max="10" width="16.5546875" style="8" customWidth="1"/>
    <col min="11" max="11" width="15.109375" style="8" customWidth="1"/>
    <col min="12" max="12" width="16.44140625" style="8" customWidth="1"/>
    <col min="13" max="16384" width="9.109375" style="8"/>
  </cols>
  <sheetData>
    <row r="1" spans="1:11" x14ac:dyDescent="0.3">
      <c r="A1" s="9"/>
      <c r="B1" s="61"/>
      <c r="C1" s="9"/>
      <c r="D1" s="9"/>
      <c r="E1" s="9"/>
      <c r="F1" s="9"/>
      <c r="G1" s="10"/>
      <c r="H1" s="9" t="s">
        <v>0</v>
      </c>
      <c r="I1" s="9"/>
      <c r="J1" s="9"/>
      <c r="K1" s="9"/>
    </row>
    <row r="2" spans="1:11" x14ac:dyDescent="0.3">
      <c r="A2" s="9"/>
      <c r="B2" s="61"/>
      <c r="C2" s="9"/>
      <c r="D2" s="10"/>
      <c r="E2" s="9"/>
      <c r="F2" s="9"/>
      <c r="G2" s="9"/>
      <c r="H2" s="9" t="s">
        <v>1</v>
      </c>
      <c r="I2" s="9"/>
      <c r="J2" s="9"/>
      <c r="K2" s="9"/>
    </row>
    <row r="3" spans="1:11" x14ac:dyDescent="0.3">
      <c r="A3" s="9"/>
      <c r="B3" s="61"/>
      <c r="C3" s="9"/>
      <c r="D3" s="9"/>
      <c r="E3" s="9"/>
      <c r="F3" s="9"/>
      <c r="G3" s="1" t="s">
        <v>2</v>
      </c>
      <c r="H3" s="86" t="s">
        <v>182</v>
      </c>
      <c r="I3" s="86"/>
      <c r="J3" s="86"/>
      <c r="K3" s="9"/>
    </row>
    <row r="4" spans="1:11" s="1" customFormat="1" x14ac:dyDescent="0.3">
      <c r="A4" s="87" t="s">
        <v>141</v>
      </c>
      <c r="B4" s="87"/>
      <c r="C4" s="87"/>
      <c r="D4" s="87"/>
      <c r="E4" s="87"/>
      <c r="F4" s="87"/>
      <c r="G4" s="87"/>
      <c r="H4" s="87"/>
      <c r="I4" s="87"/>
      <c r="J4" s="87"/>
      <c r="K4" s="87"/>
    </row>
    <row r="5" spans="1:11" x14ac:dyDescent="0.3">
      <c r="A5" s="9"/>
      <c r="B5" s="61"/>
      <c r="C5" s="9"/>
      <c r="D5" s="9"/>
      <c r="E5" s="9"/>
      <c r="F5" s="9"/>
      <c r="G5" s="9"/>
      <c r="H5" s="9"/>
      <c r="I5" s="9"/>
      <c r="J5" s="9"/>
      <c r="K5" s="9"/>
    </row>
    <row r="6" spans="1:11" ht="30" customHeight="1" x14ac:dyDescent="0.3">
      <c r="A6" s="75" t="s">
        <v>3</v>
      </c>
      <c r="B6" s="75" t="s">
        <v>4</v>
      </c>
      <c r="C6" s="75" t="s">
        <v>5</v>
      </c>
      <c r="D6" s="75" t="s">
        <v>6</v>
      </c>
      <c r="E6" s="75" t="s">
        <v>7</v>
      </c>
      <c r="F6" s="75" t="s">
        <v>8</v>
      </c>
      <c r="G6" s="75" t="s">
        <v>9</v>
      </c>
      <c r="H6" s="75"/>
      <c r="I6" s="75"/>
      <c r="J6" s="75"/>
      <c r="K6" s="75"/>
    </row>
    <row r="7" spans="1:11" ht="36.75" customHeight="1" x14ac:dyDescent="0.3">
      <c r="A7" s="75"/>
      <c r="B7" s="75"/>
      <c r="C7" s="75"/>
      <c r="D7" s="75"/>
      <c r="E7" s="75"/>
      <c r="F7" s="75"/>
      <c r="G7" s="11">
        <v>2021</v>
      </c>
      <c r="H7" s="11" t="s">
        <v>10</v>
      </c>
      <c r="I7" s="11" t="s">
        <v>145</v>
      </c>
      <c r="J7" s="11" t="s">
        <v>180</v>
      </c>
      <c r="K7" s="11">
        <v>2025</v>
      </c>
    </row>
    <row r="8" spans="1:11" x14ac:dyDescent="0.3">
      <c r="A8" s="55">
        <v>1</v>
      </c>
      <c r="B8" s="55">
        <v>2</v>
      </c>
      <c r="C8" s="55">
        <v>3</v>
      </c>
      <c r="D8" s="55">
        <v>4</v>
      </c>
      <c r="E8" s="55">
        <v>5</v>
      </c>
      <c r="F8" s="55">
        <v>6</v>
      </c>
      <c r="G8" s="55">
        <v>7</v>
      </c>
      <c r="H8" s="55">
        <v>8</v>
      </c>
      <c r="I8" s="55">
        <v>9</v>
      </c>
      <c r="J8" s="55">
        <v>10</v>
      </c>
      <c r="K8" s="68">
        <v>11</v>
      </c>
    </row>
    <row r="9" spans="1:11" x14ac:dyDescent="0.3">
      <c r="A9" s="85" t="s">
        <v>11</v>
      </c>
      <c r="B9" s="85" t="s">
        <v>85</v>
      </c>
      <c r="C9" s="60" t="s">
        <v>12</v>
      </c>
      <c r="D9" s="75" t="s">
        <v>112</v>
      </c>
      <c r="E9" s="75" t="s">
        <v>13</v>
      </c>
      <c r="F9" s="62">
        <f>G9+H9+I9+J9+K9</f>
        <v>1971.8678</v>
      </c>
      <c r="G9" s="62">
        <v>400</v>
      </c>
      <c r="H9" s="62">
        <v>400</v>
      </c>
      <c r="I9" s="35">
        <f>1171.877-0.0092</f>
        <v>1171.8678</v>
      </c>
      <c r="J9" s="62"/>
      <c r="K9" s="67"/>
    </row>
    <row r="10" spans="1:11" ht="49.5" customHeight="1" x14ac:dyDescent="0.3">
      <c r="A10" s="77"/>
      <c r="B10" s="77"/>
      <c r="C10" s="60" t="s">
        <v>14</v>
      </c>
      <c r="D10" s="75"/>
      <c r="E10" s="75"/>
      <c r="F10" s="62">
        <f t="shared" ref="F10:F16" si="0">G10+H10+I10+J10+K10</f>
        <v>265.5</v>
      </c>
      <c r="G10" s="62">
        <v>200</v>
      </c>
      <c r="H10" s="62">
        <v>50</v>
      </c>
      <c r="I10" s="62">
        <v>15.5</v>
      </c>
      <c r="J10" s="62"/>
      <c r="K10" s="67"/>
    </row>
    <row r="11" spans="1:11" ht="51" customHeight="1" x14ac:dyDescent="0.3">
      <c r="A11" s="77"/>
      <c r="B11" s="77"/>
      <c r="C11" s="60" t="s">
        <v>15</v>
      </c>
      <c r="D11" s="75"/>
      <c r="E11" s="75"/>
      <c r="F11" s="62">
        <f t="shared" si="0"/>
        <v>1943.4515900000001</v>
      </c>
      <c r="G11" s="62">
        <v>500</v>
      </c>
      <c r="H11" s="62">
        <v>500</v>
      </c>
      <c r="I11" s="62">
        <v>943.45159000000001</v>
      </c>
      <c r="J11" s="62"/>
      <c r="K11" s="67"/>
    </row>
    <row r="12" spans="1:11" ht="51.75" customHeight="1" x14ac:dyDescent="0.3">
      <c r="A12" s="77"/>
      <c r="B12" s="77"/>
      <c r="C12" s="60" t="s">
        <v>138</v>
      </c>
      <c r="D12" s="75"/>
      <c r="E12" s="75"/>
      <c r="F12" s="62">
        <f t="shared" si="0"/>
        <v>180.93</v>
      </c>
      <c r="G12" s="62">
        <v>50</v>
      </c>
      <c r="H12" s="62">
        <v>50</v>
      </c>
      <c r="I12" s="62">
        <v>80.930000000000007</v>
      </c>
      <c r="J12" s="62"/>
      <c r="K12" s="67"/>
    </row>
    <row r="13" spans="1:11" ht="60.75" customHeight="1" x14ac:dyDescent="0.3">
      <c r="A13" s="77"/>
      <c r="B13" s="77"/>
      <c r="C13" s="60" t="s">
        <v>16</v>
      </c>
      <c r="D13" s="75"/>
      <c r="E13" s="75"/>
      <c r="F13" s="62">
        <f t="shared" si="0"/>
        <v>2208</v>
      </c>
      <c r="G13" s="62"/>
      <c r="H13" s="62">
        <v>2208</v>
      </c>
      <c r="I13" s="62"/>
      <c r="J13" s="62"/>
      <c r="K13" s="67"/>
    </row>
    <row r="14" spans="1:11" ht="65.25" customHeight="1" x14ac:dyDescent="0.3">
      <c r="A14" s="78"/>
      <c r="B14" s="78"/>
      <c r="C14" s="60" t="s">
        <v>181</v>
      </c>
      <c r="D14" s="75"/>
      <c r="E14" s="75"/>
      <c r="F14" s="62">
        <f t="shared" si="0"/>
        <v>950</v>
      </c>
      <c r="G14" s="62"/>
      <c r="H14" s="62"/>
      <c r="I14" s="62"/>
      <c r="J14" s="62">
        <v>950</v>
      </c>
      <c r="K14" s="67"/>
    </row>
    <row r="15" spans="1:11" x14ac:dyDescent="0.3">
      <c r="A15" s="72" t="s">
        <v>17</v>
      </c>
      <c r="B15" s="73"/>
      <c r="C15" s="73"/>
      <c r="D15" s="73"/>
      <c r="E15" s="74"/>
      <c r="F15" s="62">
        <f>F9+++F10+F11+F12+F13+F14</f>
        <v>7519.7493900000009</v>
      </c>
      <c r="G15" s="62">
        <f t="shared" ref="G15:K15" si="1">G9+++G10+G11+G12+G13+G14</f>
        <v>1150</v>
      </c>
      <c r="H15" s="62">
        <f t="shared" si="1"/>
        <v>3208</v>
      </c>
      <c r="I15" s="62">
        <f t="shared" si="1"/>
        <v>2211.7493899999999</v>
      </c>
      <c r="J15" s="62">
        <f t="shared" si="1"/>
        <v>950</v>
      </c>
      <c r="K15" s="67">
        <f t="shared" si="1"/>
        <v>0</v>
      </c>
    </row>
    <row r="16" spans="1:11" ht="39.6" x14ac:dyDescent="0.3">
      <c r="A16" s="60" t="s">
        <v>18</v>
      </c>
      <c r="B16" s="56" t="s">
        <v>19</v>
      </c>
      <c r="C16" s="60" t="s">
        <v>20</v>
      </c>
      <c r="D16" s="55" t="s">
        <v>112</v>
      </c>
      <c r="E16" s="55" t="s">
        <v>13</v>
      </c>
      <c r="F16" s="62">
        <f t="shared" si="0"/>
        <v>200</v>
      </c>
      <c r="G16" s="62">
        <v>200</v>
      </c>
      <c r="H16" s="62"/>
      <c r="I16" s="62"/>
      <c r="J16" s="62"/>
      <c r="K16" s="67"/>
    </row>
    <row r="17" spans="1:12" ht="54.75" customHeight="1" x14ac:dyDescent="0.3">
      <c r="A17" s="60" t="s">
        <v>21</v>
      </c>
      <c r="B17" s="56" t="s">
        <v>22</v>
      </c>
      <c r="C17" s="60" t="s">
        <v>23</v>
      </c>
      <c r="D17" s="55" t="s">
        <v>113</v>
      </c>
      <c r="E17" s="55" t="s">
        <v>24</v>
      </c>
      <c r="F17" s="91" t="s">
        <v>25</v>
      </c>
      <c r="G17" s="91"/>
      <c r="H17" s="91"/>
      <c r="I17" s="91"/>
      <c r="J17" s="91"/>
      <c r="K17" s="91"/>
    </row>
    <row r="18" spans="1:12" ht="66" x14ac:dyDescent="0.3">
      <c r="A18" s="79" t="s">
        <v>26</v>
      </c>
      <c r="B18" s="85" t="s">
        <v>153</v>
      </c>
      <c r="C18" s="60" t="s">
        <v>107</v>
      </c>
      <c r="D18" s="55" t="s">
        <v>27</v>
      </c>
      <c r="E18" s="55" t="s">
        <v>13</v>
      </c>
      <c r="F18" s="62">
        <f t="shared" ref="F18:F91" si="2">G18+H18+I18+J18+K18</f>
        <v>200</v>
      </c>
      <c r="G18" s="62"/>
      <c r="H18" s="62">
        <v>200</v>
      </c>
      <c r="I18" s="62"/>
      <c r="J18" s="62"/>
      <c r="K18" s="67"/>
    </row>
    <row r="19" spans="1:12" ht="66" customHeight="1" x14ac:dyDescent="0.3">
      <c r="A19" s="80"/>
      <c r="B19" s="77"/>
      <c r="C19" s="88" t="s">
        <v>122</v>
      </c>
      <c r="D19" s="55" t="s">
        <v>27</v>
      </c>
      <c r="E19" s="79" t="s">
        <v>13</v>
      </c>
      <c r="F19" s="62">
        <f>G19+H19+I19+J19+K19</f>
        <v>5586.3577900000009</v>
      </c>
      <c r="G19" s="62"/>
      <c r="H19" s="62">
        <v>3839.4790600000001</v>
      </c>
      <c r="I19" s="62">
        <v>921.74980000000005</v>
      </c>
      <c r="J19" s="62">
        <v>214.02893</v>
      </c>
      <c r="K19" s="67">
        <f>91.1+520</f>
        <v>611.1</v>
      </c>
      <c r="L19" s="2"/>
    </row>
    <row r="20" spans="1:12" ht="26.4" x14ac:dyDescent="0.3">
      <c r="A20" s="80"/>
      <c r="B20" s="77"/>
      <c r="C20" s="89"/>
      <c r="D20" s="55" t="s">
        <v>104</v>
      </c>
      <c r="E20" s="80"/>
      <c r="F20" s="62">
        <f t="shared" si="2"/>
        <v>6355.5742100000007</v>
      </c>
      <c r="G20" s="62"/>
      <c r="H20" s="62">
        <v>5276.7935200000002</v>
      </c>
      <c r="I20" s="62">
        <f>380.27569+91.8+106.705</f>
        <v>578.78069000000005</v>
      </c>
      <c r="J20" s="62"/>
      <c r="K20" s="67">
        <f>500</f>
        <v>500</v>
      </c>
    </row>
    <row r="21" spans="1:12" ht="26.4" x14ac:dyDescent="0.3">
      <c r="A21" s="80"/>
      <c r="B21" s="77"/>
      <c r="C21" s="89"/>
      <c r="D21" s="55" t="s">
        <v>28</v>
      </c>
      <c r="E21" s="80"/>
      <c r="F21" s="62">
        <f t="shared" si="2"/>
        <v>159.6</v>
      </c>
      <c r="G21" s="62"/>
      <c r="H21" s="62">
        <v>159.6</v>
      </c>
      <c r="I21" s="62"/>
      <c r="J21" s="62"/>
      <c r="K21" s="67"/>
    </row>
    <row r="22" spans="1:12" ht="45" customHeight="1" x14ac:dyDescent="0.3">
      <c r="A22" s="81"/>
      <c r="B22" s="78"/>
      <c r="C22" s="89"/>
      <c r="D22" s="55" t="s">
        <v>148</v>
      </c>
      <c r="E22" s="80"/>
      <c r="F22" s="62">
        <f t="shared" si="2"/>
        <v>46.442099999999996</v>
      </c>
      <c r="G22" s="62"/>
      <c r="H22" s="62"/>
      <c r="I22" s="62"/>
      <c r="J22" s="62">
        <f>16.4421</f>
        <v>16.4421</v>
      </c>
      <c r="K22" s="67">
        <f>30</f>
        <v>30</v>
      </c>
    </row>
    <row r="23" spans="1:12" ht="93" customHeight="1" x14ac:dyDescent="0.3">
      <c r="A23" s="60"/>
      <c r="B23" s="56"/>
      <c r="C23" s="90"/>
      <c r="D23" s="55" t="s">
        <v>114</v>
      </c>
      <c r="E23" s="81"/>
      <c r="F23" s="62">
        <f t="shared" si="2"/>
        <v>17.076000000000001</v>
      </c>
      <c r="G23" s="62"/>
      <c r="H23" s="62"/>
      <c r="I23" s="62">
        <v>17.076000000000001</v>
      </c>
      <c r="J23" s="62"/>
      <c r="K23" s="67"/>
    </row>
    <row r="24" spans="1:12" ht="56.25" customHeight="1" x14ac:dyDescent="0.3">
      <c r="A24" s="60"/>
      <c r="B24" s="56"/>
      <c r="C24" s="56" t="s">
        <v>29</v>
      </c>
      <c r="D24" s="55" t="s">
        <v>105</v>
      </c>
      <c r="E24" s="55" t="s">
        <v>13</v>
      </c>
      <c r="F24" s="62">
        <f t="shared" si="2"/>
        <v>99.99</v>
      </c>
      <c r="G24" s="62"/>
      <c r="H24" s="62">
        <v>99.99</v>
      </c>
      <c r="I24" s="62"/>
      <c r="J24" s="62"/>
      <c r="K24" s="67"/>
    </row>
    <row r="25" spans="1:12" ht="81" customHeight="1" x14ac:dyDescent="0.3">
      <c r="A25" s="60"/>
      <c r="B25" s="56"/>
      <c r="C25" s="39" t="s">
        <v>157</v>
      </c>
      <c r="D25" s="55" t="s">
        <v>105</v>
      </c>
      <c r="E25" s="55" t="s">
        <v>13</v>
      </c>
      <c r="F25" s="62">
        <f t="shared" si="2"/>
        <v>86.625079999999997</v>
      </c>
      <c r="G25" s="62"/>
      <c r="H25" s="62"/>
      <c r="I25" s="62"/>
      <c r="J25" s="62">
        <v>86.625079999999997</v>
      </c>
      <c r="K25" s="67"/>
    </row>
    <row r="26" spans="1:12" ht="73.5" customHeight="1" x14ac:dyDescent="0.3">
      <c r="A26" s="60"/>
      <c r="B26" s="56"/>
      <c r="C26" s="39" t="s">
        <v>155</v>
      </c>
      <c r="D26" s="55" t="s">
        <v>105</v>
      </c>
      <c r="E26" s="55" t="s">
        <v>13</v>
      </c>
      <c r="F26" s="62">
        <f t="shared" si="2"/>
        <v>84.605959999999996</v>
      </c>
      <c r="G26" s="62"/>
      <c r="H26" s="62"/>
      <c r="I26" s="62"/>
      <c r="J26" s="62">
        <v>84.605959999999996</v>
      </c>
      <c r="K26" s="67"/>
    </row>
    <row r="27" spans="1:12" ht="92.25" customHeight="1" x14ac:dyDescent="0.3">
      <c r="A27" s="60"/>
      <c r="B27" s="56"/>
      <c r="C27" s="32" t="s">
        <v>184</v>
      </c>
      <c r="D27" s="55" t="s">
        <v>105</v>
      </c>
      <c r="E27" s="55" t="s">
        <v>13</v>
      </c>
      <c r="F27" s="62">
        <f t="shared" si="2"/>
        <v>3283.7973300000003</v>
      </c>
      <c r="G27" s="62"/>
      <c r="H27" s="62"/>
      <c r="I27" s="62"/>
      <c r="J27" s="62">
        <v>383.67833000000002</v>
      </c>
      <c r="K27" s="67">
        <f>2800.119+100</f>
        <v>2900.1190000000001</v>
      </c>
    </row>
    <row r="28" spans="1:12" ht="73.5" customHeight="1" x14ac:dyDescent="0.3">
      <c r="A28" s="60"/>
      <c r="B28" s="56"/>
      <c r="C28" s="32" t="s">
        <v>156</v>
      </c>
      <c r="D28" s="55" t="s">
        <v>105</v>
      </c>
      <c r="E28" s="55" t="s">
        <v>13</v>
      </c>
      <c r="F28" s="62">
        <f t="shared" si="2"/>
        <v>1500.36015</v>
      </c>
      <c r="G28" s="62"/>
      <c r="H28" s="62"/>
      <c r="I28" s="62"/>
      <c r="J28" s="62">
        <v>306.14415000000002</v>
      </c>
      <c r="K28" s="67">
        <v>1194.2159999999999</v>
      </c>
    </row>
    <row r="29" spans="1:12" ht="82.5" customHeight="1" x14ac:dyDescent="0.3">
      <c r="A29" s="60"/>
      <c r="B29" s="56"/>
      <c r="C29" s="39" t="s">
        <v>185</v>
      </c>
      <c r="D29" s="55" t="s">
        <v>105</v>
      </c>
      <c r="E29" s="55" t="s">
        <v>13</v>
      </c>
      <c r="F29" s="62">
        <f t="shared" si="2"/>
        <v>1537.4692700000001</v>
      </c>
      <c r="G29" s="62"/>
      <c r="H29" s="62"/>
      <c r="I29" s="62"/>
      <c r="J29" s="62">
        <v>168.45427000000001</v>
      </c>
      <c r="K29" s="67">
        <f>1400.315-211.3+180</f>
        <v>1369.0150000000001</v>
      </c>
    </row>
    <row r="30" spans="1:12" ht="75" customHeight="1" x14ac:dyDescent="0.3">
      <c r="A30" s="60"/>
      <c r="B30" s="56"/>
      <c r="C30" s="39" t="s">
        <v>154</v>
      </c>
      <c r="D30" s="55" t="s">
        <v>105</v>
      </c>
      <c r="E30" s="55" t="s">
        <v>13</v>
      </c>
      <c r="F30" s="62">
        <f t="shared" si="2"/>
        <v>0</v>
      </c>
      <c r="G30" s="62"/>
      <c r="H30" s="62"/>
      <c r="I30" s="62"/>
      <c r="J30" s="62">
        <v>0</v>
      </c>
      <c r="K30" s="67"/>
    </row>
    <row r="31" spans="1:12" ht="92.25" customHeight="1" x14ac:dyDescent="0.3">
      <c r="A31" s="60"/>
      <c r="B31" s="56"/>
      <c r="C31" s="39" t="s">
        <v>186</v>
      </c>
      <c r="D31" s="55" t="s">
        <v>105</v>
      </c>
      <c r="E31" s="55" t="s">
        <v>13</v>
      </c>
      <c r="F31" s="62">
        <f t="shared" si="2"/>
        <v>1462.41</v>
      </c>
      <c r="G31" s="62"/>
      <c r="H31" s="62"/>
      <c r="I31" s="62"/>
      <c r="J31" s="62">
        <v>0</v>
      </c>
      <c r="K31" s="67">
        <f>1500-37.59</f>
        <v>1462.41</v>
      </c>
    </row>
    <row r="32" spans="1:12" ht="63" customHeight="1" x14ac:dyDescent="0.3">
      <c r="A32" s="60"/>
      <c r="B32" s="56"/>
      <c r="C32" s="54" t="s">
        <v>187</v>
      </c>
      <c r="D32" s="55" t="s">
        <v>105</v>
      </c>
      <c r="E32" s="55" t="s">
        <v>13</v>
      </c>
      <c r="F32" s="62">
        <f t="shared" ref="F32" si="3">G32+H32+I32+J32+K32</f>
        <v>400</v>
      </c>
      <c r="G32" s="62"/>
      <c r="H32" s="62"/>
      <c r="I32" s="62"/>
      <c r="J32" s="62"/>
      <c r="K32" s="67">
        <f>200+200</f>
        <v>400</v>
      </c>
    </row>
    <row r="33" spans="1:11" ht="56.25" customHeight="1" x14ac:dyDescent="0.3">
      <c r="A33" s="60"/>
      <c r="B33" s="56"/>
      <c r="C33" s="39" t="s">
        <v>164</v>
      </c>
      <c r="D33" s="55" t="s">
        <v>105</v>
      </c>
      <c r="E33" s="55" t="s">
        <v>13</v>
      </c>
      <c r="F33" s="62">
        <f t="shared" si="2"/>
        <v>0</v>
      </c>
      <c r="G33" s="62"/>
      <c r="H33" s="62"/>
      <c r="I33" s="62"/>
      <c r="J33" s="62">
        <f>3250-3250</f>
        <v>0</v>
      </c>
      <c r="K33" s="67"/>
    </row>
    <row r="34" spans="1:11" ht="59.25" customHeight="1" x14ac:dyDescent="0.3">
      <c r="A34" s="60"/>
      <c r="B34" s="56"/>
      <c r="C34" s="39" t="s">
        <v>172</v>
      </c>
      <c r="D34" s="55" t="s">
        <v>105</v>
      </c>
      <c r="E34" s="55" t="s">
        <v>13</v>
      </c>
      <c r="F34" s="62">
        <f t="shared" si="2"/>
        <v>433.04640000000001</v>
      </c>
      <c r="G34" s="62"/>
      <c r="H34" s="62"/>
      <c r="I34" s="62"/>
      <c r="J34" s="62">
        <f>433.0464</f>
        <v>433.04640000000001</v>
      </c>
      <c r="K34" s="67"/>
    </row>
    <row r="35" spans="1:11" ht="59.25" customHeight="1" x14ac:dyDescent="0.3">
      <c r="A35" s="66"/>
      <c r="B35" s="65"/>
      <c r="C35" s="32" t="s">
        <v>189</v>
      </c>
      <c r="D35" s="64" t="s">
        <v>105</v>
      </c>
      <c r="E35" s="64" t="s">
        <v>13</v>
      </c>
      <c r="F35" s="63">
        <f t="shared" si="2"/>
        <v>500</v>
      </c>
      <c r="G35" s="63"/>
      <c r="H35" s="63"/>
      <c r="I35" s="63"/>
      <c r="J35" s="63"/>
      <c r="K35" s="67">
        <v>500</v>
      </c>
    </row>
    <row r="36" spans="1:11" ht="68.25" customHeight="1" x14ac:dyDescent="0.3">
      <c r="A36" s="60"/>
      <c r="B36" s="56"/>
      <c r="C36" s="60" t="s">
        <v>30</v>
      </c>
      <c r="D36" s="55" t="s">
        <v>31</v>
      </c>
      <c r="E36" s="55" t="s">
        <v>13</v>
      </c>
      <c r="F36" s="62">
        <f t="shared" si="2"/>
        <v>3549.7063800000001</v>
      </c>
      <c r="G36" s="62"/>
      <c r="H36" s="62">
        <v>2545.7080000000001</v>
      </c>
      <c r="I36" s="62">
        <v>1003.99838</v>
      </c>
      <c r="J36" s="62"/>
      <c r="K36" s="67"/>
    </row>
    <row r="37" spans="1:11" ht="83.25" customHeight="1" x14ac:dyDescent="0.3">
      <c r="A37" s="60"/>
      <c r="B37" s="56"/>
      <c r="C37" s="56" t="s">
        <v>32</v>
      </c>
      <c r="D37" s="55" t="s">
        <v>31</v>
      </c>
      <c r="E37" s="55" t="s">
        <v>13</v>
      </c>
      <c r="F37" s="62">
        <f t="shared" si="2"/>
        <v>4034.1009599999998</v>
      </c>
      <c r="G37" s="62"/>
      <c r="H37" s="62">
        <f>300+1169+2020.195-3265.656</f>
        <v>223.53899999999976</v>
      </c>
      <c r="I37" s="62">
        <v>3810.56196</v>
      </c>
      <c r="J37" s="62"/>
      <c r="K37" s="67"/>
    </row>
    <row r="38" spans="1:11" ht="86.25" customHeight="1" x14ac:dyDescent="0.3">
      <c r="A38" s="60"/>
      <c r="B38" s="56"/>
      <c r="C38" s="56" t="s">
        <v>125</v>
      </c>
      <c r="D38" s="55" t="s">
        <v>31</v>
      </c>
      <c r="E38" s="55" t="s">
        <v>13</v>
      </c>
      <c r="F38" s="62">
        <f t="shared" si="2"/>
        <v>7128.6854899999998</v>
      </c>
      <c r="G38" s="62"/>
      <c r="H38" s="62"/>
      <c r="I38" s="62">
        <v>22.8264</v>
      </c>
      <c r="J38" s="62">
        <v>5314.5590899999997</v>
      </c>
      <c r="K38" s="67">
        <v>1791.3</v>
      </c>
    </row>
    <row r="39" spans="1:11" ht="62.25" customHeight="1" x14ac:dyDescent="0.3">
      <c r="A39" s="60"/>
      <c r="B39" s="56"/>
      <c r="C39" s="12" t="s">
        <v>33</v>
      </c>
      <c r="D39" s="55" t="s">
        <v>31</v>
      </c>
      <c r="E39" s="55" t="s">
        <v>13</v>
      </c>
      <c r="F39" s="62">
        <f t="shared" si="2"/>
        <v>47</v>
      </c>
      <c r="G39" s="62"/>
      <c r="H39" s="62">
        <v>47</v>
      </c>
      <c r="I39" s="62"/>
      <c r="J39" s="62"/>
      <c r="K39" s="67"/>
    </row>
    <row r="40" spans="1:11" ht="53.25" customHeight="1" x14ac:dyDescent="0.3">
      <c r="A40" s="60"/>
      <c r="B40" s="56"/>
      <c r="C40" s="12" t="s">
        <v>34</v>
      </c>
      <c r="D40" s="55" t="s">
        <v>31</v>
      </c>
      <c r="E40" s="55" t="s">
        <v>13</v>
      </c>
      <c r="F40" s="62">
        <f t="shared" si="2"/>
        <v>48.562440000000002</v>
      </c>
      <c r="G40" s="62"/>
      <c r="H40" s="62">
        <v>48.562440000000002</v>
      </c>
      <c r="I40" s="62"/>
      <c r="J40" s="62"/>
      <c r="K40" s="67"/>
    </row>
    <row r="41" spans="1:11" ht="51" customHeight="1" x14ac:dyDescent="0.3">
      <c r="A41" s="60"/>
      <c r="B41" s="56"/>
      <c r="C41" s="60" t="s">
        <v>127</v>
      </c>
      <c r="D41" s="55" t="s">
        <v>31</v>
      </c>
      <c r="E41" s="55" t="s">
        <v>13</v>
      </c>
      <c r="F41" s="62">
        <f t="shared" si="2"/>
        <v>3941.3779999999997</v>
      </c>
      <c r="G41" s="62"/>
      <c r="H41" s="62">
        <v>329.48200000000003</v>
      </c>
      <c r="I41" s="62">
        <v>611.89599999999996</v>
      </c>
      <c r="J41" s="62">
        <v>0</v>
      </c>
      <c r="K41" s="67">
        <f>5000-2000</f>
        <v>3000</v>
      </c>
    </row>
    <row r="42" spans="1:11" ht="114" customHeight="1" x14ac:dyDescent="0.3">
      <c r="A42" s="60"/>
      <c r="B42" s="56"/>
      <c r="C42" s="60" t="s">
        <v>35</v>
      </c>
      <c r="D42" s="55" t="s">
        <v>36</v>
      </c>
      <c r="E42" s="55" t="s">
        <v>13</v>
      </c>
      <c r="F42" s="62">
        <f t="shared" si="2"/>
        <v>201.93868000000001</v>
      </c>
      <c r="G42" s="62"/>
      <c r="H42" s="62">
        <f>350-145.91132-2.15</f>
        <v>201.93868000000001</v>
      </c>
      <c r="I42" s="62"/>
      <c r="J42" s="62"/>
      <c r="K42" s="67"/>
    </row>
    <row r="43" spans="1:11" ht="52.8" x14ac:dyDescent="0.3">
      <c r="A43" s="60"/>
      <c r="B43" s="56"/>
      <c r="C43" s="60" t="s">
        <v>37</v>
      </c>
      <c r="D43" s="55" t="s">
        <v>36</v>
      </c>
      <c r="E43" s="55" t="s">
        <v>13</v>
      </c>
      <c r="F43" s="62">
        <f>G43+H43+I43+J43+K43</f>
        <v>49</v>
      </c>
      <c r="G43" s="62"/>
      <c r="H43" s="62">
        <v>49</v>
      </c>
      <c r="I43" s="62"/>
      <c r="J43" s="62"/>
      <c r="K43" s="67"/>
    </row>
    <row r="44" spans="1:11" s="37" customFormat="1" ht="75" customHeight="1" x14ac:dyDescent="0.3">
      <c r="A44" s="60"/>
      <c r="B44" s="56"/>
      <c r="C44" s="60" t="s">
        <v>140</v>
      </c>
      <c r="D44" s="55" t="s">
        <v>31</v>
      </c>
      <c r="E44" s="55" t="s">
        <v>13</v>
      </c>
      <c r="F44" s="62">
        <f>G44+H44+I44+J44+K44</f>
        <v>4668.2533800000001</v>
      </c>
      <c r="G44" s="62"/>
      <c r="H44" s="62"/>
      <c r="I44" s="62">
        <v>1168.2533800000001</v>
      </c>
      <c r="J44" s="62">
        <v>250</v>
      </c>
      <c r="K44" s="67">
        <f>3500-250</f>
        <v>3250</v>
      </c>
    </row>
    <row r="45" spans="1:11" ht="84" customHeight="1" x14ac:dyDescent="0.3">
      <c r="A45" s="60"/>
      <c r="B45" s="56"/>
      <c r="C45" s="60" t="s">
        <v>100</v>
      </c>
      <c r="D45" s="55" t="s">
        <v>31</v>
      </c>
      <c r="E45" s="55" t="s">
        <v>13</v>
      </c>
      <c r="F45" s="62">
        <f t="shared" ref="F45:F48" si="4">G45+H45+I45+J45+K45</f>
        <v>1198.60259</v>
      </c>
      <c r="G45" s="62"/>
      <c r="H45" s="62"/>
      <c r="I45" s="62">
        <v>1198.60259</v>
      </c>
      <c r="J45" s="62"/>
      <c r="K45" s="67"/>
    </row>
    <row r="46" spans="1:11" ht="43.5" customHeight="1" x14ac:dyDescent="0.3">
      <c r="A46" s="60"/>
      <c r="B46" s="56"/>
      <c r="C46" s="85" t="s">
        <v>101</v>
      </c>
      <c r="D46" s="75" t="s">
        <v>31</v>
      </c>
      <c r="E46" s="55" t="s">
        <v>183</v>
      </c>
      <c r="F46" s="62">
        <f t="shared" si="4"/>
        <v>83518.8</v>
      </c>
      <c r="G46" s="62"/>
      <c r="H46" s="62"/>
      <c r="I46" s="62"/>
      <c r="J46" s="62">
        <v>0</v>
      </c>
      <c r="K46" s="67">
        <v>83518.8</v>
      </c>
    </row>
    <row r="47" spans="1:11" ht="45" customHeight="1" x14ac:dyDescent="0.3">
      <c r="A47" s="60"/>
      <c r="B47" s="56"/>
      <c r="C47" s="78"/>
      <c r="D47" s="75"/>
      <c r="E47" s="55" t="s">
        <v>13</v>
      </c>
      <c r="F47" s="62">
        <f t="shared" si="4"/>
        <v>1304.85778</v>
      </c>
      <c r="G47" s="62"/>
      <c r="H47" s="62"/>
      <c r="I47" s="62">
        <v>1124.85778</v>
      </c>
      <c r="J47" s="62">
        <v>80</v>
      </c>
      <c r="K47" s="67">
        <v>100</v>
      </c>
    </row>
    <row r="48" spans="1:11" ht="39.6" x14ac:dyDescent="0.3">
      <c r="A48" s="60"/>
      <c r="B48" s="56"/>
      <c r="C48" s="76" t="s">
        <v>108</v>
      </c>
      <c r="D48" s="75" t="s">
        <v>31</v>
      </c>
      <c r="E48" s="55" t="s">
        <v>147</v>
      </c>
      <c r="F48" s="62">
        <f t="shared" si="4"/>
        <v>26491.441999999999</v>
      </c>
      <c r="G48" s="62"/>
      <c r="H48" s="62"/>
      <c r="I48" s="62"/>
      <c r="J48" s="62">
        <v>10675.714379999999</v>
      </c>
      <c r="K48" s="67">
        <v>15815.72762</v>
      </c>
    </row>
    <row r="49" spans="1:12" ht="49.5" customHeight="1" x14ac:dyDescent="0.3">
      <c r="A49" s="60"/>
      <c r="B49" s="56"/>
      <c r="C49" s="76"/>
      <c r="D49" s="75"/>
      <c r="E49" s="55" t="s">
        <v>13</v>
      </c>
      <c r="F49" s="62">
        <f>G49+H49+I49+J49+K49</f>
        <v>1294.25305</v>
      </c>
      <c r="G49" s="62"/>
      <c r="H49" s="62"/>
      <c r="I49" s="62">
        <v>944.25305000000003</v>
      </c>
      <c r="J49" s="62">
        <f>1000-1000+250</f>
        <v>250</v>
      </c>
      <c r="K49" s="67">
        <v>100</v>
      </c>
    </row>
    <row r="50" spans="1:12" ht="93" customHeight="1" x14ac:dyDescent="0.3">
      <c r="A50" s="55"/>
      <c r="B50" s="56"/>
      <c r="C50" s="56" t="s">
        <v>158</v>
      </c>
      <c r="D50" s="55" t="s">
        <v>159</v>
      </c>
      <c r="E50" s="55" t="s">
        <v>13</v>
      </c>
      <c r="F50" s="62">
        <f>G50+H50+I50+J50+K50</f>
        <v>418.68200000000002</v>
      </c>
      <c r="G50" s="62"/>
      <c r="H50" s="62"/>
      <c r="I50" s="62"/>
      <c r="J50" s="62">
        <v>39.761000000000003</v>
      </c>
      <c r="K50" s="67">
        <v>378.92099999999999</v>
      </c>
    </row>
    <row r="51" spans="1:12" s="2" customFormat="1" x14ac:dyDescent="0.3">
      <c r="A51" s="72" t="s">
        <v>38</v>
      </c>
      <c r="B51" s="73"/>
      <c r="C51" s="73"/>
      <c r="D51" s="73"/>
      <c r="E51" s="74"/>
      <c r="F51" s="62">
        <f>F18+F19+F20+F21+F22+F23+F24+F25+F26+F27+F28+F29+F30+F31+F32+F33+F34+F35+F36+F37+F38+F39+F40+F41+F42+F43+F44+F45+F46+F47+F48+F49+F50</f>
        <v>159648.61704000001</v>
      </c>
      <c r="G51" s="63">
        <f t="shared" ref="G51:K51" si="5">G18+G19+G20+G21+G22+G23+G24+G25+G26+G27+G28+G29+G30+G31+G32+G33+G34+G35+G36+G37+G38+G39+G40+G41+G42+G43+G44+G45+G46+G47+G48+G49+G50</f>
        <v>0</v>
      </c>
      <c r="H51" s="63">
        <f t="shared" si="5"/>
        <v>13021.092699999999</v>
      </c>
      <c r="I51" s="63">
        <f t="shared" si="5"/>
        <v>11402.856029999999</v>
      </c>
      <c r="J51" s="63">
        <f t="shared" si="5"/>
        <v>18303.059689999998</v>
      </c>
      <c r="K51" s="67">
        <f t="shared" si="5"/>
        <v>116921.60862000001</v>
      </c>
    </row>
    <row r="52" spans="1:12" ht="52.8" x14ac:dyDescent="0.3">
      <c r="A52" s="82" t="s">
        <v>39</v>
      </c>
      <c r="B52" s="76" t="s">
        <v>86</v>
      </c>
      <c r="C52" s="76" t="s">
        <v>146</v>
      </c>
      <c r="D52" s="55" t="s">
        <v>144</v>
      </c>
      <c r="E52" s="75" t="s">
        <v>13</v>
      </c>
      <c r="F52" s="62">
        <f>G52+H52+I52+J52+K52</f>
        <v>4723.0858099999996</v>
      </c>
      <c r="G52" s="62"/>
      <c r="H52" s="62">
        <v>282.21033999999997</v>
      </c>
      <c r="I52" s="62">
        <v>1103.7714900000001</v>
      </c>
      <c r="J52" s="62">
        <f>J53+J54</f>
        <v>1359.9039799999998</v>
      </c>
      <c r="K52" s="67">
        <f>K53+K54</f>
        <v>1977.1999999999998</v>
      </c>
    </row>
    <row r="53" spans="1:12" ht="26.4" x14ac:dyDescent="0.3">
      <c r="A53" s="82"/>
      <c r="B53" s="76"/>
      <c r="C53" s="76"/>
      <c r="D53" s="55" t="s">
        <v>134</v>
      </c>
      <c r="E53" s="75"/>
      <c r="F53" s="62">
        <f>G53+H53+I53+J53+K53</f>
        <v>4170.5844299999999</v>
      </c>
      <c r="G53" s="62"/>
      <c r="H53" s="62">
        <v>282.21033999999997</v>
      </c>
      <c r="I53" s="62">
        <v>1103.7714900000001</v>
      </c>
      <c r="J53" s="62">
        <v>1117.4025999999999</v>
      </c>
      <c r="K53" s="67">
        <f>2187.2-520</f>
        <v>1667.1999999999998</v>
      </c>
    </row>
    <row r="54" spans="1:12" ht="26.4" x14ac:dyDescent="0.3">
      <c r="A54" s="82"/>
      <c r="B54" s="76"/>
      <c r="C54" s="76"/>
      <c r="D54" s="55" t="s">
        <v>143</v>
      </c>
      <c r="E54" s="75"/>
      <c r="F54" s="62">
        <f>G54+H54+I54+J54+K54</f>
        <v>552.50138000000004</v>
      </c>
      <c r="G54" s="62"/>
      <c r="H54" s="62"/>
      <c r="I54" s="62"/>
      <c r="J54" s="62">
        <v>242.50138000000001</v>
      </c>
      <c r="K54" s="67">
        <v>310</v>
      </c>
    </row>
    <row r="55" spans="1:12" ht="34.5" customHeight="1" x14ac:dyDescent="0.3">
      <c r="A55" s="60" t="s">
        <v>41</v>
      </c>
      <c r="B55" s="56" t="s">
        <v>42</v>
      </c>
      <c r="C55" s="60" t="s">
        <v>43</v>
      </c>
      <c r="D55" s="55" t="s">
        <v>103</v>
      </c>
      <c r="E55" s="55" t="s">
        <v>13</v>
      </c>
      <c r="F55" s="62">
        <f t="shared" si="2"/>
        <v>100</v>
      </c>
      <c r="G55" s="62"/>
      <c r="H55" s="62">
        <v>100</v>
      </c>
      <c r="I55" s="62"/>
      <c r="J55" s="62"/>
      <c r="K55" s="67"/>
    </row>
    <row r="56" spans="1:12" ht="123.75" customHeight="1" x14ac:dyDescent="0.3">
      <c r="A56" s="60" t="s">
        <v>44</v>
      </c>
      <c r="B56" s="56" t="s">
        <v>142</v>
      </c>
      <c r="C56" s="60" t="s">
        <v>45</v>
      </c>
      <c r="D56" s="55" t="s">
        <v>58</v>
      </c>
      <c r="E56" s="79" t="s">
        <v>13</v>
      </c>
      <c r="F56" s="62">
        <f t="shared" si="2"/>
        <v>5353.0737399999998</v>
      </c>
      <c r="G56" s="62"/>
      <c r="H56" s="62">
        <v>5353.0737399999998</v>
      </c>
      <c r="I56" s="62"/>
      <c r="J56" s="62"/>
      <c r="K56" s="67"/>
      <c r="L56" s="14"/>
    </row>
    <row r="57" spans="1:12" ht="39" customHeight="1" x14ac:dyDescent="0.3">
      <c r="A57" s="60"/>
      <c r="B57" s="56"/>
      <c r="C57" s="60"/>
      <c r="D57" s="55" t="s">
        <v>130</v>
      </c>
      <c r="E57" s="80"/>
      <c r="F57" s="62">
        <f t="shared" si="2"/>
        <v>199.98697999999999</v>
      </c>
      <c r="G57" s="62"/>
      <c r="H57" s="62">
        <v>199.98697999999999</v>
      </c>
      <c r="I57" s="62"/>
      <c r="J57" s="62"/>
      <c r="K57" s="67"/>
      <c r="L57" s="14"/>
    </row>
    <row r="58" spans="1:12" ht="39" customHeight="1" x14ac:dyDescent="0.3">
      <c r="A58" s="60"/>
      <c r="B58" s="56"/>
      <c r="C58" s="60"/>
      <c r="D58" s="55" t="s">
        <v>131</v>
      </c>
      <c r="E58" s="80"/>
      <c r="F58" s="62">
        <f t="shared" si="2"/>
        <v>79.854659999999996</v>
      </c>
      <c r="G58" s="62"/>
      <c r="H58" s="62">
        <v>79.854659999999996</v>
      </c>
      <c r="I58" s="62"/>
      <c r="J58" s="62"/>
      <c r="K58" s="67"/>
      <c r="L58" s="14"/>
    </row>
    <row r="59" spans="1:12" ht="26.4" x14ac:dyDescent="0.3">
      <c r="A59" s="60"/>
      <c r="B59" s="56"/>
      <c r="C59" s="60"/>
      <c r="D59" s="55" t="s">
        <v>132</v>
      </c>
      <c r="E59" s="80"/>
      <c r="F59" s="62">
        <f t="shared" si="2"/>
        <v>149.86189999999999</v>
      </c>
      <c r="G59" s="62"/>
      <c r="H59" s="62">
        <v>149.86189999999999</v>
      </c>
      <c r="I59" s="62"/>
      <c r="J59" s="62"/>
      <c r="K59" s="67"/>
      <c r="L59" s="14"/>
    </row>
    <row r="60" spans="1:12" ht="26.4" x14ac:dyDescent="0.3">
      <c r="A60" s="60"/>
      <c r="B60" s="56"/>
      <c r="C60" s="60"/>
      <c r="D60" s="55" t="s">
        <v>133</v>
      </c>
      <c r="E60" s="80"/>
      <c r="F60" s="62">
        <f t="shared" si="2"/>
        <v>988.59371999999996</v>
      </c>
      <c r="G60" s="62"/>
      <c r="H60" s="62">
        <f>988.59442-0.0007</f>
        <v>988.59371999999996</v>
      </c>
      <c r="I60" s="62"/>
      <c r="J60" s="62"/>
      <c r="K60" s="67"/>
      <c r="L60" s="14"/>
    </row>
    <row r="61" spans="1:12" ht="39.6" x14ac:dyDescent="0.3">
      <c r="A61" s="60"/>
      <c r="B61" s="56"/>
      <c r="C61" s="60"/>
      <c r="D61" s="55" t="s">
        <v>128</v>
      </c>
      <c r="E61" s="80"/>
      <c r="F61" s="62">
        <f t="shared" si="2"/>
        <v>2632.7909200000004</v>
      </c>
      <c r="G61" s="62"/>
      <c r="H61" s="62">
        <f>H62+H63+H64</f>
        <v>1585.9616500000002</v>
      </c>
      <c r="I61" s="62">
        <f>I62+I63+I64</f>
        <v>123.4025</v>
      </c>
      <c r="J61" s="62">
        <f>J62+J63+J64</f>
        <v>923.42677000000003</v>
      </c>
      <c r="K61" s="67"/>
      <c r="L61" s="14"/>
    </row>
    <row r="62" spans="1:12" s="4" customFormat="1" ht="26.4" x14ac:dyDescent="0.3">
      <c r="A62" s="60"/>
      <c r="B62" s="56"/>
      <c r="C62" s="60"/>
      <c r="D62" s="33" t="s">
        <v>134</v>
      </c>
      <c r="E62" s="80"/>
      <c r="F62" s="13">
        <f t="shared" si="2"/>
        <v>636.04795000000001</v>
      </c>
      <c r="G62" s="13"/>
      <c r="H62" s="13">
        <f>262.685+49.9904</f>
        <v>312.67540000000002</v>
      </c>
      <c r="I62" s="13">
        <v>123.4025</v>
      </c>
      <c r="J62" s="13">
        <v>199.97004999999999</v>
      </c>
      <c r="K62" s="13"/>
      <c r="L62" s="34"/>
    </row>
    <row r="63" spans="1:12" s="4" customFormat="1" ht="26.4" x14ac:dyDescent="0.3">
      <c r="A63" s="60"/>
      <c r="B63" s="56"/>
      <c r="C63" s="60"/>
      <c r="D63" s="33" t="s">
        <v>53</v>
      </c>
      <c r="E63" s="80"/>
      <c r="F63" s="13">
        <f t="shared" si="2"/>
        <v>151.59825000000001</v>
      </c>
      <c r="G63" s="13"/>
      <c r="H63" s="13">
        <v>151.59825000000001</v>
      </c>
      <c r="I63" s="13"/>
      <c r="J63" s="13"/>
      <c r="K63" s="13"/>
      <c r="L63" s="34"/>
    </row>
    <row r="64" spans="1:12" s="4" customFormat="1" ht="37.5" customHeight="1" x14ac:dyDescent="0.3">
      <c r="A64" s="60"/>
      <c r="B64" s="56"/>
      <c r="C64" s="60"/>
      <c r="D64" s="33" t="s">
        <v>50</v>
      </c>
      <c r="E64" s="81"/>
      <c r="F64" s="13">
        <f t="shared" si="2"/>
        <v>1845.1447200000002</v>
      </c>
      <c r="G64" s="13"/>
      <c r="H64" s="13">
        <v>1121.6880000000001</v>
      </c>
      <c r="I64" s="13"/>
      <c r="J64" s="13">
        <v>723.45672000000002</v>
      </c>
      <c r="K64" s="13"/>
      <c r="L64" s="34"/>
    </row>
    <row r="65" spans="1:12" x14ac:dyDescent="0.3">
      <c r="A65" s="72" t="s">
        <v>129</v>
      </c>
      <c r="B65" s="73"/>
      <c r="C65" s="73"/>
      <c r="D65" s="73"/>
      <c r="E65" s="74"/>
      <c r="F65" s="62">
        <f>SUM(F56:F61)</f>
        <v>9404.1619199999986</v>
      </c>
      <c r="G65" s="62">
        <f t="shared" ref="G65" si="6">SUM(G56:G61)</f>
        <v>0</v>
      </c>
      <c r="H65" s="62">
        <f>SUM(H56:H61)</f>
        <v>8357.3326500000003</v>
      </c>
      <c r="I65" s="62">
        <f>SUM(I56:I61)</f>
        <v>123.4025</v>
      </c>
      <c r="J65" s="62">
        <f>SUM(J56:J61)</f>
        <v>923.42677000000003</v>
      </c>
      <c r="K65" s="67"/>
      <c r="L65" s="14"/>
    </row>
    <row r="66" spans="1:12" ht="98.25" customHeight="1" x14ac:dyDescent="0.3">
      <c r="A66" s="60" t="s">
        <v>46</v>
      </c>
      <c r="B66" s="56" t="s">
        <v>88</v>
      </c>
      <c r="C66" s="60" t="s">
        <v>89</v>
      </c>
      <c r="D66" s="55" t="s">
        <v>87</v>
      </c>
      <c r="E66" s="55" t="s">
        <v>13</v>
      </c>
      <c r="F66" s="62">
        <f t="shared" si="2"/>
        <v>141</v>
      </c>
      <c r="G66" s="62"/>
      <c r="H66" s="62">
        <v>45</v>
      </c>
      <c r="I66" s="62">
        <v>96</v>
      </c>
      <c r="J66" s="62"/>
      <c r="K66" s="67"/>
      <c r="L66" s="14"/>
    </row>
    <row r="67" spans="1:12" s="2" customFormat="1" ht="83.25" customHeight="1" x14ac:dyDescent="0.3">
      <c r="A67" s="85" t="s">
        <v>47</v>
      </c>
      <c r="B67" s="56" t="s">
        <v>149</v>
      </c>
      <c r="C67" s="60" t="s">
        <v>90</v>
      </c>
      <c r="D67" s="55" t="s">
        <v>40</v>
      </c>
      <c r="E67" s="55" t="s">
        <v>13</v>
      </c>
      <c r="F67" s="62">
        <f t="shared" si="2"/>
        <v>215.75</v>
      </c>
      <c r="G67" s="62"/>
      <c r="H67" s="62">
        <v>215.75</v>
      </c>
      <c r="I67" s="62"/>
      <c r="J67" s="62"/>
      <c r="K67" s="67"/>
    </row>
    <row r="68" spans="1:12" s="2" customFormat="1" ht="116.25" customHeight="1" x14ac:dyDescent="0.3">
      <c r="A68" s="77"/>
      <c r="B68" s="55"/>
      <c r="C68" s="31" t="s">
        <v>109</v>
      </c>
      <c r="D68" s="55" t="s">
        <v>123</v>
      </c>
      <c r="E68" s="55" t="s">
        <v>13</v>
      </c>
      <c r="F68" s="62">
        <f t="shared" si="2"/>
        <v>143.71799999999999</v>
      </c>
      <c r="G68" s="62"/>
      <c r="H68" s="62"/>
      <c r="I68" s="62">
        <v>143.71799999999999</v>
      </c>
      <c r="J68" s="62"/>
      <c r="K68" s="67"/>
    </row>
    <row r="69" spans="1:12" s="2" customFormat="1" ht="80.25" customHeight="1" x14ac:dyDescent="0.3">
      <c r="A69" s="77"/>
      <c r="B69" s="57"/>
      <c r="C69" s="31" t="s">
        <v>188</v>
      </c>
      <c r="D69" s="55" t="s">
        <v>40</v>
      </c>
      <c r="E69" s="55" t="s">
        <v>13</v>
      </c>
      <c r="F69" s="62">
        <f t="shared" si="2"/>
        <v>1668.5371599999999</v>
      </c>
      <c r="G69" s="62"/>
      <c r="H69" s="62"/>
      <c r="I69" s="62">
        <f>268.70412+297.59503+130</f>
        <v>696.29915000000005</v>
      </c>
      <c r="J69" s="62">
        <v>424.83801</v>
      </c>
      <c r="K69" s="67">
        <f>47.4+500</f>
        <v>547.4</v>
      </c>
    </row>
    <row r="70" spans="1:12" s="2" customFormat="1" ht="80.25" customHeight="1" x14ac:dyDescent="0.3">
      <c r="A70" s="77"/>
      <c r="B70" s="70"/>
      <c r="C70" s="31" t="s">
        <v>139</v>
      </c>
      <c r="D70" s="69" t="s">
        <v>104</v>
      </c>
      <c r="E70" s="69" t="s">
        <v>13</v>
      </c>
      <c r="F70" s="71">
        <f t="shared" si="2"/>
        <v>283.64999999999998</v>
      </c>
      <c r="G70" s="71"/>
      <c r="H70" s="71"/>
      <c r="I70" s="71">
        <v>283.64999999999998</v>
      </c>
      <c r="J70" s="71"/>
      <c r="K70" s="71"/>
    </row>
    <row r="71" spans="1:12" s="2" customFormat="1" ht="73.5" customHeight="1" x14ac:dyDescent="0.3">
      <c r="A71" s="77"/>
      <c r="B71" s="57"/>
      <c r="C71" s="31" t="s">
        <v>190</v>
      </c>
      <c r="D71" s="55" t="s">
        <v>104</v>
      </c>
      <c r="E71" s="55" t="s">
        <v>13</v>
      </c>
      <c r="F71" s="62">
        <f t="shared" si="2"/>
        <v>1400</v>
      </c>
      <c r="G71" s="62"/>
      <c r="H71" s="62"/>
      <c r="I71" s="62"/>
      <c r="J71" s="62"/>
      <c r="K71" s="67">
        <v>1400</v>
      </c>
    </row>
    <row r="72" spans="1:12" s="2" customFormat="1" ht="57.75" customHeight="1" x14ac:dyDescent="0.3">
      <c r="A72" s="77"/>
      <c r="B72" s="57"/>
      <c r="C72" s="31" t="s">
        <v>170</v>
      </c>
      <c r="D72" s="55"/>
      <c r="E72" s="55"/>
      <c r="F72" s="62">
        <f>SUM(G72:K72)</f>
        <v>2550</v>
      </c>
      <c r="G72" s="62"/>
      <c r="H72" s="62"/>
      <c r="I72" s="62"/>
      <c r="J72" s="62">
        <f>SUM(J73:J73)</f>
        <v>0</v>
      </c>
      <c r="K72" s="67">
        <f>K73</f>
        <v>2550</v>
      </c>
    </row>
    <row r="73" spans="1:12" s="3" customFormat="1" ht="96.6" customHeight="1" x14ac:dyDescent="0.3">
      <c r="A73" s="77"/>
      <c r="B73" s="57"/>
      <c r="C73" s="44" t="s">
        <v>191</v>
      </c>
      <c r="D73" s="55" t="s">
        <v>174</v>
      </c>
      <c r="E73" s="55" t="s">
        <v>13</v>
      </c>
      <c r="F73" s="13">
        <f t="shared" ref="F73" si="7">SUM(G73:K73)</f>
        <v>2550</v>
      </c>
      <c r="G73" s="13"/>
      <c r="H73" s="13"/>
      <c r="I73" s="13"/>
      <c r="J73" s="13">
        <v>0</v>
      </c>
      <c r="K73" s="13">
        <f>550+2000</f>
        <v>2550</v>
      </c>
    </row>
    <row r="74" spans="1:12" s="2" customFormat="1" x14ac:dyDescent="0.3">
      <c r="A74" s="84" t="s">
        <v>111</v>
      </c>
      <c r="B74" s="84"/>
      <c r="C74" s="84"/>
      <c r="D74" s="84"/>
      <c r="E74" s="84"/>
      <c r="F74" s="62">
        <f>F67+F68+F69+F70+F71+F72</f>
        <v>6261.6551600000003</v>
      </c>
      <c r="G74" s="62">
        <f>G67+G68+G69+G70+G71+G72</f>
        <v>0</v>
      </c>
      <c r="H74" s="71">
        <f t="shared" ref="H74:K74" si="8">H67+H68+H69+H70+H71+H72</f>
        <v>215.75</v>
      </c>
      <c r="I74" s="71">
        <f t="shared" si="8"/>
        <v>1123.66715</v>
      </c>
      <c r="J74" s="71">
        <f t="shared" si="8"/>
        <v>424.83801</v>
      </c>
      <c r="K74" s="71">
        <f t="shared" si="8"/>
        <v>4497.3999999999996</v>
      </c>
    </row>
    <row r="75" spans="1:12" s="2" customFormat="1" ht="26.4" x14ac:dyDescent="0.3">
      <c r="A75" s="75" t="s">
        <v>48</v>
      </c>
      <c r="B75" s="76" t="s">
        <v>151</v>
      </c>
      <c r="C75" s="75" t="s">
        <v>175</v>
      </c>
      <c r="D75" s="55" t="s">
        <v>31</v>
      </c>
      <c r="E75" s="55" t="s">
        <v>13</v>
      </c>
      <c r="F75" s="62">
        <f t="shared" si="2"/>
        <v>5056.6930000000002</v>
      </c>
      <c r="G75" s="62"/>
      <c r="H75" s="62">
        <f>5257.958-1169+96.6+7009.973-10149.631</f>
        <v>1045.8999999999996</v>
      </c>
      <c r="I75" s="62">
        <f>10141.431-6130.638</f>
        <v>4010.7930000000006</v>
      </c>
      <c r="J75" s="62"/>
      <c r="K75" s="67"/>
    </row>
    <row r="76" spans="1:12" s="2" customFormat="1" ht="106.5" customHeight="1" x14ac:dyDescent="0.3">
      <c r="A76" s="75"/>
      <c r="B76" s="76"/>
      <c r="C76" s="75"/>
      <c r="D76" s="55" t="s">
        <v>115</v>
      </c>
      <c r="E76" s="55" t="s">
        <v>13</v>
      </c>
      <c r="F76" s="62">
        <f t="shared" si="2"/>
        <v>112.97200000000001</v>
      </c>
      <c r="G76" s="62"/>
      <c r="H76" s="62">
        <f>49-28.028</f>
        <v>20.972000000000001</v>
      </c>
      <c r="I76" s="62"/>
      <c r="J76" s="62">
        <v>92</v>
      </c>
      <c r="K76" s="67"/>
    </row>
    <row r="77" spans="1:12" s="2" customFormat="1" ht="78" customHeight="1" x14ac:dyDescent="0.3">
      <c r="A77" s="60"/>
      <c r="B77" s="56"/>
      <c r="C77" s="60"/>
      <c r="D77" s="55" t="s">
        <v>116</v>
      </c>
      <c r="E77" s="55" t="s">
        <v>13</v>
      </c>
      <c r="F77" s="62">
        <f t="shared" si="2"/>
        <v>34.299999999999997</v>
      </c>
      <c r="G77" s="62"/>
      <c r="H77" s="62">
        <f>35-0.7</f>
        <v>34.299999999999997</v>
      </c>
      <c r="I77" s="62"/>
      <c r="J77" s="62"/>
      <c r="K77" s="67"/>
    </row>
    <row r="78" spans="1:12" s="2" customFormat="1" ht="39.6" x14ac:dyDescent="0.3">
      <c r="A78" s="60"/>
      <c r="B78" s="56"/>
      <c r="C78" s="60"/>
      <c r="D78" s="55" t="s">
        <v>105</v>
      </c>
      <c r="E78" s="55" t="s">
        <v>13</v>
      </c>
      <c r="F78" s="62">
        <f t="shared" si="2"/>
        <v>1104.39528</v>
      </c>
      <c r="G78" s="62"/>
      <c r="H78" s="62">
        <v>573.62248</v>
      </c>
      <c r="I78" s="62">
        <v>530.77279999999996</v>
      </c>
      <c r="J78" s="38"/>
      <c r="K78" s="67"/>
    </row>
    <row r="79" spans="1:12" s="2" customFormat="1" ht="39.6" x14ac:dyDescent="0.3">
      <c r="A79" s="60"/>
      <c r="B79" s="56"/>
      <c r="C79" s="60"/>
      <c r="D79" s="55" t="s">
        <v>49</v>
      </c>
      <c r="E79" s="75" t="s">
        <v>13</v>
      </c>
      <c r="F79" s="62">
        <f>G79+H79+I79+J79+K79</f>
        <v>1348.8074700000002</v>
      </c>
      <c r="G79" s="62"/>
      <c r="H79" s="62">
        <f>H81+H82+H83+H84</f>
        <v>957.57356000000004</v>
      </c>
      <c r="I79" s="62">
        <f>I81+I82+I83+I84</f>
        <v>391.23391000000004</v>
      </c>
      <c r="J79" s="62"/>
      <c r="K79" s="67"/>
    </row>
    <row r="80" spans="1:12" s="2" customFormat="1" x14ac:dyDescent="0.3">
      <c r="A80" s="60"/>
      <c r="B80" s="56"/>
      <c r="C80" s="60"/>
      <c r="D80" s="55" t="s">
        <v>91</v>
      </c>
      <c r="E80" s="75"/>
      <c r="F80" s="62"/>
      <c r="G80" s="62"/>
      <c r="H80" s="62"/>
      <c r="I80" s="62"/>
      <c r="J80" s="62"/>
      <c r="K80" s="67"/>
    </row>
    <row r="81" spans="1:12" s="3" customFormat="1" ht="49.5" customHeight="1" x14ac:dyDescent="0.3">
      <c r="A81" s="60"/>
      <c r="B81" s="56"/>
      <c r="C81" s="60"/>
      <c r="D81" s="55" t="s">
        <v>50</v>
      </c>
      <c r="E81" s="79" t="s">
        <v>13</v>
      </c>
      <c r="F81" s="13">
        <f t="shared" ref="F81" si="9">G81+H81+I81+J81+K81</f>
        <v>101</v>
      </c>
      <c r="G81" s="13"/>
      <c r="H81" s="13">
        <f>101+200-200</f>
        <v>101</v>
      </c>
      <c r="I81" s="13"/>
      <c r="J81" s="13"/>
      <c r="K81" s="13"/>
    </row>
    <row r="82" spans="1:12" s="3" customFormat="1" ht="48" customHeight="1" x14ac:dyDescent="0.3">
      <c r="A82" s="60"/>
      <c r="B82" s="56"/>
      <c r="C82" s="60"/>
      <c r="D82" s="55" t="s">
        <v>51</v>
      </c>
      <c r="E82" s="80"/>
      <c r="F82" s="13">
        <f>G82+H82+I82+J82+K82</f>
        <v>174.99</v>
      </c>
      <c r="G82" s="13"/>
      <c r="H82" s="13">
        <f>100+200-200-0.01</f>
        <v>99.99</v>
      </c>
      <c r="I82" s="13">
        <v>75</v>
      </c>
      <c r="J82" s="13"/>
      <c r="K82" s="13"/>
    </row>
    <row r="83" spans="1:12" s="3" customFormat="1" ht="43.5" customHeight="1" x14ac:dyDescent="0.3">
      <c r="A83" s="60"/>
      <c r="B83" s="56"/>
      <c r="C83" s="60"/>
      <c r="D83" s="55" t="s">
        <v>52</v>
      </c>
      <c r="E83" s="80"/>
      <c r="F83" s="13">
        <f t="shared" ref="F83" si="10">G83+H83+I83+J83+K83</f>
        <v>773.01747</v>
      </c>
      <c r="G83" s="13"/>
      <c r="H83" s="13">
        <f>176.84356+279.94</f>
        <v>456.78355999999997</v>
      </c>
      <c r="I83" s="13">
        <f>498.60068+37.5-37.5-182.36677</f>
        <v>316.23391000000004</v>
      </c>
      <c r="J83" s="13"/>
      <c r="K83" s="13"/>
    </row>
    <row r="84" spans="1:12" s="3" customFormat="1" ht="45" customHeight="1" x14ac:dyDescent="0.3">
      <c r="A84" s="60"/>
      <c r="B84" s="56"/>
      <c r="C84" s="60"/>
      <c r="D84" s="55" t="s">
        <v>53</v>
      </c>
      <c r="E84" s="81"/>
      <c r="F84" s="13">
        <f t="shared" si="2"/>
        <v>299.8</v>
      </c>
      <c r="G84" s="13"/>
      <c r="H84" s="13">
        <v>299.8</v>
      </c>
      <c r="I84" s="13"/>
      <c r="J84" s="13"/>
      <c r="K84" s="13"/>
    </row>
    <row r="85" spans="1:12" s="3" customFormat="1" ht="70.5" customHeight="1" x14ac:dyDescent="0.3">
      <c r="A85" s="60"/>
      <c r="B85" s="56"/>
      <c r="C85" s="56" t="s">
        <v>152</v>
      </c>
      <c r="D85" s="55" t="s">
        <v>150</v>
      </c>
      <c r="E85" s="55" t="s">
        <v>13</v>
      </c>
      <c r="F85" s="62">
        <f t="shared" si="2"/>
        <v>122.20583000000001</v>
      </c>
      <c r="G85" s="62"/>
      <c r="H85" s="62"/>
      <c r="I85" s="62"/>
      <c r="J85" s="62">
        <v>122.20583000000001</v>
      </c>
      <c r="K85" s="67"/>
    </row>
    <row r="86" spans="1:12" s="3" customFormat="1" ht="79.2" x14ac:dyDescent="0.3">
      <c r="A86" s="60"/>
      <c r="B86" s="56"/>
      <c r="C86" s="31" t="s">
        <v>92</v>
      </c>
      <c r="D86" s="55" t="s">
        <v>106</v>
      </c>
      <c r="E86" s="55" t="s">
        <v>13</v>
      </c>
      <c r="F86" s="62">
        <f t="shared" si="2"/>
        <v>135.14657</v>
      </c>
      <c r="G86" s="62"/>
      <c r="H86" s="62">
        <f>200-200</f>
        <v>0</v>
      </c>
      <c r="I86" s="62">
        <v>46.938569999999999</v>
      </c>
      <c r="J86" s="62">
        <v>8.2080000000000002</v>
      </c>
      <c r="K86" s="67">
        <v>80</v>
      </c>
    </row>
    <row r="87" spans="1:12" s="3" customFormat="1" ht="104.25" customHeight="1" x14ac:dyDescent="0.3">
      <c r="A87" s="60"/>
      <c r="B87" s="56"/>
      <c r="C87" s="31" t="s">
        <v>93</v>
      </c>
      <c r="D87" s="55" t="s">
        <v>106</v>
      </c>
      <c r="E87" s="55" t="s">
        <v>13</v>
      </c>
      <c r="F87" s="62">
        <f t="shared" si="2"/>
        <v>165</v>
      </c>
      <c r="G87" s="62"/>
      <c r="H87" s="62">
        <f>165-165</f>
        <v>0</v>
      </c>
      <c r="I87" s="62">
        <v>165</v>
      </c>
      <c r="J87" s="62"/>
      <c r="K87" s="67"/>
    </row>
    <row r="88" spans="1:12" s="3" customFormat="1" ht="66" x14ac:dyDescent="0.3">
      <c r="A88" s="60"/>
      <c r="B88" s="56"/>
      <c r="C88" s="31" t="s">
        <v>94</v>
      </c>
      <c r="D88" s="55" t="s">
        <v>110</v>
      </c>
      <c r="E88" s="55" t="s">
        <v>13</v>
      </c>
      <c r="F88" s="62">
        <f>SUM(G88:K88)</f>
        <v>199</v>
      </c>
      <c r="G88" s="62"/>
      <c r="H88" s="62"/>
      <c r="I88" s="62">
        <v>199</v>
      </c>
      <c r="J88" s="62"/>
      <c r="K88" s="67"/>
    </row>
    <row r="89" spans="1:12" s="3" customFormat="1" x14ac:dyDescent="0.3">
      <c r="A89" s="72" t="s">
        <v>54</v>
      </c>
      <c r="B89" s="73"/>
      <c r="C89" s="73"/>
      <c r="D89" s="73"/>
      <c r="E89" s="74"/>
      <c r="F89" s="62">
        <f>F75+F76+F77+F78+F79+F85+F86+F87+F88</f>
        <v>8278.5201500000003</v>
      </c>
      <c r="G89" s="62">
        <f>G75+G76+G77+G78+G79+G85+G86+G87+G88</f>
        <v>0</v>
      </c>
      <c r="H89" s="62">
        <f t="shared" ref="H89:K89" si="11">H75+H76+H77+H78+H79+H85+H86+H87+H88</f>
        <v>2632.3680399999994</v>
      </c>
      <c r="I89" s="62">
        <f t="shared" si="11"/>
        <v>5343.7382800000005</v>
      </c>
      <c r="J89" s="62">
        <f>J75+J76+J77+J78+J79+J85+J86+J87+J88</f>
        <v>222.41382999999999</v>
      </c>
      <c r="K89" s="67">
        <f t="shared" si="11"/>
        <v>80</v>
      </c>
    </row>
    <row r="90" spans="1:12" s="3" customFormat="1" ht="81.75" customHeight="1" x14ac:dyDescent="0.3">
      <c r="A90" s="82" t="s">
        <v>55</v>
      </c>
      <c r="B90" s="56" t="s">
        <v>56</v>
      </c>
      <c r="C90" s="55" t="s">
        <v>57</v>
      </c>
      <c r="D90" s="55" t="s">
        <v>58</v>
      </c>
      <c r="E90" s="60" t="s">
        <v>13</v>
      </c>
      <c r="F90" s="62">
        <f t="shared" si="2"/>
        <v>217.05</v>
      </c>
      <c r="G90" s="62"/>
      <c r="H90" s="62">
        <f>116.5-13.45</f>
        <v>103.05</v>
      </c>
      <c r="I90" s="62">
        <v>30</v>
      </c>
      <c r="J90" s="62">
        <v>42</v>
      </c>
      <c r="K90" s="67">
        <v>42</v>
      </c>
    </row>
    <row r="91" spans="1:12" s="3" customFormat="1" ht="66" x14ac:dyDescent="0.3">
      <c r="A91" s="82"/>
      <c r="B91" s="56"/>
      <c r="C91" s="55"/>
      <c r="D91" s="55" t="s">
        <v>27</v>
      </c>
      <c r="E91" s="60"/>
      <c r="F91" s="62">
        <f t="shared" si="2"/>
        <v>82.5</v>
      </c>
      <c r="G91" s="62"/>
      <c r="H91" s="62"/>
      <c r="I91" s="62">
        <v>22.5</v>
      </c>
      <c r="J91" s="62">
        <v>30</v>
      </c>
      <c r="K91" s="67">
        <v>30</v>
      </c>
    </row>
    <row r="92" spans="1:12" s="3" customFormat="1" x14ac:dyDescent="0.3">
      <c r="A92" s="82"/>
      <c r="B92" s="56"/>
      <c r="C92" s="75" t="s">
        <v>59</v>
      </c>
      <c r="D92" s="75"/>
      <c r="E92" s="55"/>
      <c r="F92" s="62">
        <f>F90+F91</f>
        <v>299.55</v>
      </c>
      <c r="G92" s="62">
        <f>G90+G91</f>
        <v>0</v>
      </c>
      <c r="H92" s="62">
        <f t="shared" ref="H92:K92" si="12">H90+H91</f>
        <v>103.05</v>
      </c>
      <c r="I92" s="62">
        <f t="shared" si="12"/>
        <v>52.5</v>
      </c>
      <c r="J92" s="62">
        <f t="shared" si="12"/>
        <v>72</v>
      </c>
      <c r="K92" s="67">
        <f t="shared" si="12"/>
        <v>72</v>
      </c>
    </row>
    <row r="93" spans="1:12" s="3" customFormat="1" ht="78.75" customHeight="1" x14ac:dyDescent="0.3">
      <c r="A93" s="60" t="s">
        <v>60</v>
      </c>
      <c r="B93" s="56" t="s">
        <v>95</v>
      </c>
      <c r="C93" s="56" t="s">
        <v>61</v>
      </c>
      <c r="D93" s="55" t="s">
        <v>27</v>
      </c>
      <c r="E93" s="55" t="s">
        <v>13</v>
      </c>
      <c r="F93" s="62">
        <f t="shared" ref="F93:F105" si="13">G93+H93+I93+J93+K93</f>
        <v>105.816</v>
      </c>
      <c r="G93" s="62"/>
      <c r="H93" s="62">
        <v>99.42</v>
      </c>
      <c r="I93" s="62">
        <v>6.3959999999999999</v>
      </c>
      <c r="J93" s="62"/>
      <c r="K93" s="67"/>
    </row>
    <row r="94" spans="1:12" s="3" customFormat="1" ht="66" x14ac:dyDescent="0.3">
      <c r="A94" s="60" t="s">
        <v>62</v>
      </c>
      <c r="B94" s="56" t="s">
        <v>63</v>
      </c>
      <c r="C94" s="56" t="s">
        <v>64</v>
      </c>
      <c r="D94" s="55" t="s">
        <v>65</v>
      </c>
      <c r="E94" s="55" t="s">
        <v>13</v>
      </c>
      <c r="F94" s="62">
        <f t="shared" si="13"/>
        <v>113.21601000000003</v>
      </c>
      <c r="G94" s="62"/>
      <c r="H94" s="62">
        <f>448.607-443.233</f>
        <v>5.3740000000000236</v>
      </c>
      <c r="I94" s="62">
        <v>107.84201</v>
      </c>
      <c r="J94" s="62"/>
      <c r="K94" s="67"/>
      <c r="L94" s="15"/>
    </row>
    <row r="95" spans="1:12" s="3" customFormat="1" ht="26.4" x14ac:dyDescent="0.3">
      <c r="A95" s="75" t="s">
        <v>66</v>
      </c>
      <c r="B95" s="76" t="s">
        <v>67</v>
      </c>
      <c r="C95" s="56" t="s">
        <v>68</v>
      </c>
      <c r="D95" s="75" t="s">
        <v>69</v>
      </c>
      <c r="E95" s="75" t="s">
        <v>13</v>
      </c>
      <c r="F95" s="62">
        <f t="shared" si="13"/>
        <v>946</v>
      </c>
      <c r="G95" s="62"/>
      <c r="H95" s="62">
        <v>946</v>
      </c>
      <c r="I95" s="62"/>
      <c r="J95" s="62"/>
      <c r="K95" s="67"/>
    </row>
    <row r="96" spans="1:12" s="3" customFormat="1" ht="79.2" x14ac:dyDescent="0.3">
      <c r="A96" s="75"/>
      <c r="B96" s="76"/>
      <c r="C96" s="56" t="s">
        <v>70</v>
      </c>
      <c r="D96" s="75"/>
      <c r="E96" s="75"/>
      <c r="F96" s="62">
        <f t="shared" si="13"/>
        <v>1215.1189999999999</v>
      </c>
      <c r="G96" s="62"/>
      <c r="H96" s="62">
        <f>1215.12-767.443</f>
        <v>447.67699999999991</v>
      </c>
      <c r="I96" s="62">
        <f>703.114+64.328</f>
        <v>767.44200000000001</v>
      </c>
      <c r="J96" s="62"/>
      <c r="K96" s="67"/>
    </row>
    <row r="97" spans="1:11" s="3" customFormat="1" ht="69.75" customHeight="1" x14ac:dyDescent="0.3">
      <c r="A97" s="75"/>
      <c r="B97" s="56"/>
      <c r="C97" s="56" t="s">
        <v>71</v>
      </c>
      <c r="D97" s="60"/>
      <c r="E97" s="60"/>
      <c r="F97" s="62">
        <f t="shared" si="13"/>
        <v>141.17389</v>
      </c>
      <c r="G97" s="62"/>
      <c r="H97" s="62">
        <v>100.4</v>
      </c>
      <c r="I97" s="62">
        <v>40.773890000000002</v>
      </c>
      <c r="J97" s="62"/>
      <c r="K97" s="67"/>
    </row>
    <row r="98" spans="1:11" s="3" customFormat="1" ht="42" customHeight="1" x14ac:dyDescent="0.3">
      <c r="A98" s="75"/>
      <c r="B98" s="56"/>
      <c r="C98" s="56" t="s">
        <v>72</v>
      </c>
      <c r="D98" s="60"/>
      <c r="E98" s="60"/>
      <c r="F98" s="62">
        <f t="shared" si="13"/>
        <v>37</v>
      </c>
      <c r="G98" s="62"/>
      <c r="H98" s="62">
        <v>37</v>
      </c>
      <c r="I98" s="62"/>
      <c r="J98" s="62"/>
      <c r="K98" s="67"/>
    </row>
    <row r="99" spans="1:11" s="3" customFormat="1" ht="62.25" customHeight="1" x14ac:dyDescent="0.3">
      <c r="A99" s="79"/>
      <c r="B99" s="56"/>
      <c r="C99" s="56" t="s">
        <v>73</v>
      </c>
      <c r="D99" s="55"/>
      <c r="E99" s="60"/>
      <c r="F99" s="62">
        <f t="shared" si="13"/>
        <v>670</v>
      </c>
      <c r="G99" s="62"/>
      <c r="H99" s="62"/>
      <c r="I99" s="62">
        <v>670</v>
      </c>
      <c r="J99" s="62"/>
      <c r="K99" s="67"/>
    </row>
    <row r="100" spans="1:11" s="3" customFormat="1" ht="71.25" customHeight="1" x14ac:dyDescent="0.3">
      <c r="A100" s="80"/>
      <c r="B100" s="58"/>
      <c r="C100" s="56" t="s">
        <v>173</v>
      </c>
      <c r="D100" s="55"/>
      <c r="E100" s="60"/>
      <c r="F100" s="62">
        <f t="shared" si="13"/>
        <v>252.5</v>
      </c>
      <c r="G100" s="62"/>
      <c r="H100" s="62"/>
      <c r="I100" s="62"/>
      <c r="J100" s="62">
        <f>270-17.5</f>
        <v>252.5</v>
      </c>
      <c r="K100" s="67"/>
    </row>
    <row r="101" spans="1:11" s="3" customFormat="1" ht="54" customHeight="1" x14ac:dyDescent="0.3">
      <c r="A101" s="80"/>
      <c r="B101" s="58"/>
      <c r="C101" s="56" t="s">
        <v>165</v>
      </c>
      <c r="D101" s="55"/>
      <c r="E101" s="60"/>
      <c r="F101" s="62">
        <f t="shared" si="13"/>
        <v>420</v>
      </c>
      <c r="G101" s="62"/>
      <c r="H101" s="62"/>
      <c r="I101" s="62"/>
      <c r="J101" s="62">
        <v>420</v>
      </c>
      <c r="K101" s="67"/>
    </row>
    <row r="102" spans="1:11" s="3" customFormat="1" ht="81" customHeight="1" x14ac:dyDescent="0.3">
      <c r="A102" s="81"/>
      <c r="B102" s="58"/>
      <c r="C102" s="32" t="s">
        <v>102</v>
      </c>
      <c r="D102" s="60"/>
      <c r="E102" s="60"/>
      <c r="F102" s="62">
        <f t="shared" si="13"/>
        <v>201.6</v>
      </c>
      <c r="G102" s="62"/>
      <c r="H102" s="62"/>
      <c r="I102" s="62">
        <v>201.6</v>
      </c>
      <c r="J102" s="62"/>
      <c r="K102" s="67"/>
    </row>
    <row r="103" spans="1:11" s="3" customFormat="1" ht="65.25" customHeight="1" x14ac:dyDescent="0.3">
      <c r="A103" s="45"/>
      <c r="B103" s="56"/>
      <c r="C103" s="32" t="s">
        <v>176</v>
      </c>
      <c r="D103" s="60"/>
      <c r="E103" s="60"/>
      <c r="F103" s="62">
        <f t="shared" si="13"/>
        <v>0</v>
      </c>
      <c r="G103" s="62"/>
      <c r="H103" s="62"/>
      <c r="I103" s="62"/>
      <c r="J103" s="62">
        <v>0</v>
      </c>
      <c r="K103" s="67"/>
    </row>
    <row r="104" spans="1:11" s="3" customFormat="1" ht="39.6" x14ac:dyDescent="0.3">
      <c r="A104" s="45"/>
      <c r="B104" s="56"/>
      <c r="C104" s="32" t="s">
        <v>177</v>
      </c>
      <c r="D104" s="60"/>
      <c r="E104" s="60"/>
      <c r="F104" s="62">
        <f t="shared" si="13"/>
        <v>0</v>
      </c>
      <c r="G104" s="62"/>
      <c r="H104" s="62"/>
      <c r="I104" s="62"/>
      <c r="J104" s="62">
        <v>0</v>
      </c>
      <c r="K104" s="67"/>
    </row>
    <row r="105" spans="1:11" s="3" customFormat="1" ht="39.6" x14ac:dyDescent="0.3">
      <c r="A105" s="45"/>
      <c r="B105" s="56"/>
      <c r="C105" s="32" t="s">
        <v>178</v>
      </c>
      <c r="D105" s="60"/>
      <c r="E105" s="60"/>
      <c r="F105" s="62">
        <f t="shared" si="13"/>
        <v>0</v>
      </c>
      <c r="G105" s="62"/>
      <c r="H105" s="62"/>
      <c r="I105" s="62"/>
      <c r="J105" s="62">
        <v>0</v>
      </c>
      <c r="K105" s="67"/>
    </row>
    <row r="106" spans="1:11" s="3" customFormat="1" x14ac:dyDescent="0.3">
      <c r="A106" s="72" t="s">
        <v>74</v>
      </c>
      <c r="B106" s="73"/>
      <c r="C106" s="73"/>
      <c r="D106" s="73"/>
      <c r="E106" s="74"/>
      <c r="F106" s="62">
        <f>F95+F96+F97+F98+F99+F100+F101+F102+F103+F104+F105</f>
        <v>3883.3928899999996</v>
      </c>
      <c r="G106" s="62">
        <f t="shared" ref="G106:I106" si="14">G95+G96+G97+G98+G99+G100+G101+G102+G103+G104+G105</f>
        <v>0</v>
      </c>
      <c r="H106" s="62">
        <f t="shared" si="14"/>
        <v>1531.077</v>
      </c>
      <c r="I106" s="62">
        <f t="shared" si="14"/>
        <v>1679.8158899999999</v>
      </c>
      <c r="J106" s="62">
        <f>J95+J96+J97+J98+J99+J100+J101+J102+J103+J104+J105</f>
        <v>672.5</v>
      </c>
      <c r="K106" s="67">
        <f>K95+K96+K97+K98+K99+K100+K101+K102+K103+K104+K105</f>
        <v>0</v>
      </c>
    </row>
    <row r="107" spans="1:11" s="4" customFormat="1" ht="66" x14ac:dyDescent="0.3">
      <c r="A107" s="79" t="s">
        <v>75</v>
      </c>
      <c r="B107" s="56" t="s">
        <v>124</v>
      </c>
      <c r="C107" s="56" t="s">
        <v>76</v>
      </c>
      <c r="D107" s="55" t="s">
        <v>27</v>
      </c>
      <c r="E107" s="55" t="s">
        <v>13</v>
      </c>
      <c r="F107" s="62">
        <f>G107+H107+I107+J107+K107</f>
        <v>119.94</v>
      </c>
      <c r="G107" s="62"/>
      <c r="H107" s="62">
        <v>119.94</v>
      </c>
      <c r="I107" s="62"/>
      <c r="J107" s="62"/>
      <c r="K107" s="67"/>
    </row>
    <row r="108" spans="1:11" s="4" customFormat="1" ht="66" x14ac:dyDescent="0.3">
      <c r="A108" s="80"/>
      <c r="B108" s="77"/>
      <c r="C108" s="56" t="s">
        <v>77</v>
      </c>
      <c r="D108" s="55" t="s">
        <v>78</v>
      </c>
      <c r="E108" s="55" t="s">
        <v>13</v>
      </c>
      <c r="F108" s="62">
        <f>G108+H108+I108+J108+K108</f>
        <v>1059.9999999999998</v>
      </c>
      <c r="G108" s="62"/>
      <c r="H108" s="62">
        <f>3000.2-1940.2</f>
        <v>1059.9999999999998</v>
      </c>
      <c r="I108" s="62"/>
      <c r="J108" s="62"/>
      <c r="K108" s="67"/>
    </row>
    <row r="109" spans="1:11" s="4" customFormat="1" ht="95.25" customHeight="1" x14ac:dyDescent="0.3">
      <c r="A109" s="81"/>
      <c r="B109" s="78"/>
      <c r="C109" s="56" t="s">
        <v>135</v>
      </c>
      <c r="D109" s="55" t="s">
        <v>78</v>
      </c>
      <c r="E109" s="55" t="s">
        <v>13</v>
      </c>
      <c r="F109" s="62">
        <f>G109+H109+I109+J109+K109</f>
        <v>764.97302999999999</v>
      </c>
      <c r="G109" s="62"/>
      <c r="H109" s="62"/>
      <c r="I109" s="62">
        <v>764.97302999999999</v>
      </c>
      <c r="J109" s="62"/>
      <c r="K109" s="67"/>
    </row>
    <row r="110" spans="1:11" s="4" customFormat="1" x14ac:dyDescent="0.3">
      <c r="A110" s="72" t="s">
        <v>79</v>
      </c>
      <c r="B110" s="73"/>
      <c r="C110" s="73"/>
      <c r="D110" s="73"/>
      <c r="E110" s="74"/>
      <c r="F110" s="62">
        <f>G110+H110+I110+J110+K110</f>
        <v>1944.9130299999997</v>
      </c>
      <c r="G110" s="62">
        <f>G107+G108+G109</f>
        <v>0</v>
      </c>
      <c r="H110" s="62">
        <f>H107+H108+H109</f>
        <v>1179.9399999999998</v>
      </c>
      <c r="I110" s="62">
        <f t="shared" ref="I110:K110" si="15">I107+I108+I109</f>
        <v>764.97302999999999</v>
      </c>
      <c r="J110" s="62">
        <f t="shared" si="15"/>
        <v>0</v>
      </c>
      <c r="K110" s="67">
        <f t="shared" si="15"/>
        <v>0</v>
      </c>
    </row>
    <row r="111" spans="1:11" s="4" customFormat="1" ht="25.5" customHeight="1" x14ac:dyDescent="0.3">
      <c r="A111" s="75" t="s">
        <v>80</v>
      </c>
      <c r="B111" s="79" t="s">
        <v>169</v>
      </c>
      <c r="C111" s="79" t="s">
        <v>126</v>
      </c>
      <c r="D111" s="55" t="s">
        <v>58</v>
      </c>
      <c r="E111" s="79" t="s">
        <v>13</v>
      </c>
      <c r="F111" s="62">
        <f t="shared" ref="F111:F119" si="16">SUM(G111:K111)</f>
        <v>84.150800000000004</v>
      </c>
      <c r="G111" s="62"/>
      <c r="H111" s="62"/>
      <c r="I111" s="62">
        <v>84.150800000000004</v>
      </c>
      <c r="J111" s="62"/>
      <c r="K111" s="67"/>
    </row>
    <row r="112" spans="1:11" s="4" customFormat="1" ht="66" x14ac:dyDescent="0.3">
      <c r="A112" s="75"/>
      <c r="B112" s="80"/>
      <c r="C112" s="80"/>
      <c r="D112" s="55" t="s">
        <v>27</v>
      </c>
      <c r="E112" s="80"/>
      <c r="F112" s="62">
        <f t="shared" si="16"/>
        <v>204.72230000000002</v>
      </c>
      <c r="G112" s="62"/>
      <c r="H112" s="62"/>
      <c r="I112" s="62">
        <f>33.64394+171.07836</f>
        <v>204.72230000000002</v>
      </c>
      <c r="J112" s="62">
        <v>0</v>
      </c>
      <c r="K112" s="67"/>
    </row>
    <row r="113" spans="1:12" s="4" customFormat="1" ht="26.4" x14ac:dyDescent="0.3">
      <c r="A113" s="75"/>
      <c r="B113" s="80"/>
      <c r="C113" s="80"/>
      <c r="D113" s="55" t="s">
        <v>104</v>
      </c>
      <c r="E113" s="80"/>
      <c r="F113" s="62">
        <f t="shared" si="16"/>
        <v>429.98900000000003</v>
      </c>
      <c r="G113" s="62"/>
      <c r="H113" s="62"/>
      <c r="I113" s="62">
        <f>43.467+76.512+110.01</f>
        <v>229.989</v>
      </c>
      <c r="J113" s="62"/>
      <c r="K113" s="67">
        <v>200</v>
      </c>
    </row>
    <row r="114" spans="1:12" s="4" customFormat="1" ht="66" x14ac:dyDescent="0.3">
      <c r="A114" s="75"/>
      <c r="B114" s="80"/>
      <c r="C114" s="80"/>
      <c r="D114" s="55" t="s">
        <v>117</v>
      </c>
      <c r="E114" s="80"/>
      <c r="F114" s="62">
        <f t="shared" si="16"/>
        <v>6.6816000000000004</v>
      </c>
      <c r="G114" s="62"/>
      <c r="H114" s="62"/>
      <c r="I114" s="62">
        <v>6.6816000000000004</v>
      </c>
      <c r="J114" s="62"/>
      <c r="K114" s="67"/>
    </row>
    <row r="115" spans="1:12" s="4" customFormat="1" ht="66" x14ac:dyDescent="0.3">
      <c r="A115" s="75"/>
      <c r="B115" s="81"/>
      <c r="C115" s="81"/>
      <c r="D115" s="55" t="s">
        <v>78</v>
      </c>
      <c r="E115" s="81"/>
      <c r="F115" s="62">
        <f t="shared" si="16"/>
        <v>47.464500000000001</v>
      </c>
      <c r="G115" s="62"/>
      <c r="H115" s="62"/>
      <c r="I115" s="62">
        <v>41.299399999999999</v>
      </c>
      <c r="J115" s="62">
        <v>6.1650999999999998</v>
      </c>
      <c r="K115" s="67"/>
    </row>
    <row r="116" spans="1:12" s="4" customFormat="1" ht="52.8" x14ac:dyDescent="0.3">
      <c r="A116" s="75"/>
      <c r="B116" s="60"/>
      <c r="C116" s="60"/>
      <c r="D116" s="55" t="s">
        <v>118</v>
      </c>
      <c r="E116" s="60"/>
      <c r="F116" s="62">
        <f t="shared" si="16"/>
        <v>0</v>
      </c>
      <c r="G116" s="62"/>
      <c r="H116" s="62"/>
      <c r="I116" s="62"/>
      <c r="J116" s="62"/>
      <c r="K116" s="67"/>
    </row>
    <row r="117" spans="1:12" s="4" customFormat="1" ht="52.8" x14ac:dyDescent="0.3">
      <c r="A117" s="75"/>
      <c r="B117" s="56"/>
      <c r="C117" s="60"/>
      <c r="D117" s="55" t="s">
        <v>119</v>
      </c>
      <c r="E117" s="60"/>
      <c r="F117" s="62">
        <f t="shared" si="16"/>
        <v>46.623699999999999</v>
      </c>
      <c r="G117" s="62"/>
      <c r="H117" s="62"/>
      <c r="I117" s="62">
        <v>16.806699999999999</v>
      </c>
      <c r="J117" s="62">
        <v>16.817</v>
      </c>
      <c r="K117" s="67">
        <f>13</f>
        <v>13</v>
      </c>
    </row>
    <row r="118" spans="1:12" s="4" customFormat="1" ht="52.8" x14ac:dyDescent="0.3">
      <c r="A118" s="60"/>
      <c r="B118" s="56"/>
      <c r="C118" s="60"/>
      <c r="D118" s="55" t="s">
        <v>120</v>
      </c>
      <c r="E118" s="60"/>
      <c r="F118" s="62">
        <f t="shared" si="16"/>
        <v>0</v>
      </c>
      <c r="G118" s="62"/>
      <c r="H118" s="62"/>
      <c r="I118" s="62"/>
      <c r="J118" s="62"/>
      <c r="K118" s="67"/>
    </row>
    <row r="119" spans="1:12" s="4" customFormat="1" ht="52.8" x14ac:dyDescent="0.3">
      <c r="A119" s="60"/>
      <c r="B119" s="56"/>
      <c r="C119" s="60"/>
      <c r="D119" s="55" t="s">
        <v>121</v>
      </c>
      <c r="E119" s="60"/>
      <c r="F119" s="62">
        <f t="shared" si="16"/>
        <v>16.806699999999999</v>
      </c>
      <c r="G119" s="62"/>
      <c r="H119" s="62"/>
      <c r="I119" s="62">
        <v>16.806699999999999</v>
      </c>
      <c r="J119" s="62"/>
      <c r="K119" s="67"/>
    </row>
    <row r="120" spans="1:12" s="4" customFormat="1" x14ac:dyDescent="0.3">
      <c r="A120" s="72" t="s">
        <v>81</v>
      </c>
      <c r="B120" s="73"/>
      <c r="C120" s="73"/>
      <c r="D120" s="73"/>
      <c r="E120" s="74"/>
      <c r="F120" s="62">
        <f t="shared" ref="F120:K120" si="17">SUM(F111:F119)</f>
        <v>836.43860000000006</v>
      </c>
      <c r="G120" s="62">
        <f t="shared" si="17"/>
        <v>0</v>
      </c>
      <c r="H120" s="62">
        <f t="shared" si="17"/>
        <v>0</v>
      </c>
      <c r="I120" s="62">
        <f t="shared" si="17"/>
        <v>600.45650000000001</v>
      </c>
      <c r="J120" s="62">
        <f t="shared" si="17"/>
        <v>22.982099999999999</v>
      </c>
      <c r="K120" s="67">
        <f t="shared" si="17"/>
        <v>213</v>
      </c>
    </row>
    <row r="121" spans="1:12" s="4" customFormat="1" ht="90.75" customHeight="1" x14ac:dyDescent="0.3">
      <c r="A121" s="76" t="s">
        <v>163</v>
      </c>
      <c r="B121" s="56" t="s">
        <v>82</v>
      </c>
      <c r="C121" s="60" t="s">
        <v>96</v>
      </c>
      <c r="D121" s="55" t="s">
        <v>31</v>
      </c>
      <c r="E121" s="55" t="s">
        <v>13</v>
      </c>
      <c r="F121" s="62">
        <f>SUM(G121:K121)</f>
        <v>8802.0701200000003</v>
      </c>
      <c r="G121" s="62"/>
      <c r="H121" s="62"/>
      <c r="I121" s="62">
        <v>5226.1314000000002</v>
      </c>
      <c r="J121" s="62">
        <v>3575.9387200000001</v>
      </c>
      <c r="K121" s="67"/>
    </row>
    <row r="122" spans="1:12" s="4" customFormat="1" ht="78.75" customHeight="1" x14ac:dyDescent="0.3">
      <c r="A122" s="76"/>
      <c r="B122" s="56"/>
      <c r="C122" s="60" t="s">
        <v>97</v>
      </c>
      <c r="D122" s="59" t="s">
        <v>31</v>
      </c>
      <c r="E122" s="55" t="s">
        <v>13</v>
      </c>
      <c r="F122" s="62">
        <f>SUM(G122:K122)</f>
        <v>796.99455</v>
      </c>
      <c r="G122" s="62"/>
      <c r="H122" s="62"/>
      <c r="I122" s="62">
        <v>796.99455</v>
      </c>
      <c r="J122" s="62"/>
      <c r="K122" s="67"/>
    </row>
    <row r="123" spans="1:12" s="4" customFormat="1" ht="82.5" customHeight="1" x14ac:dyDescent="0.3">
      <c r="A123" s="76"/>
      <c r="B123" s="56"/>
      <c r="C123" s="60" t="s">
        <v>98</v>
      </c>
      <c r="D123" s="59" t="s">
        <v>31</v>
      </c>
      <c r="E123" s="55" t="s">
        <v>13</v>
      </c>
      <c r="F123" s="62">
        <f>SUM(G123:K123)</f>
        <v>1880.3949499999999</v>
      </c>
      <c r="G123" s="62"/>
      <c r="H123" s="62"/>
      <c r="I123" s="62">
        <v>642.12316999999996</v>
      </c>
      <c r="J123" s="62">
        <v>1238.27178</v>
      </c>
      <c r="K123" s="67"/>
    </row>
    <row r="124" spans="1:12" s="4" customFormat="1" ht="133.5" customHeight="1" x14ac:dyDescent="0.3">
      <c r="A124" s="76"/>
      <c r="B124" s="56"/>
      <c r="C124" s="31" t="s">
        <v>99</v>
      </c>
      <c r="D124" s="59" t="s">
        <v>31</v>
      </c>
      <c r="E124" s="55" t="s">
        <v>13</v>
      </c>
      <c r="F124" s="62">
        <f>SUM(G124:K124)</f>
        <v>4684.4636899999996</v>
      </c>
      <c r="G124" s="62"/>
      <c r="H124" s="62"/>
      <c r="I124" s="62">
        <v>4684.4636899999996</v>
      </c>
      <c r="J124" s="62"/>
      <c r="K124" s="67"/>
    </row>
    <row r="125" spans="1:12" s="4" customFormat="1" x14ac:dyDescent="0.3">
      <c r="A125" s="72" t="s">
        <v>83</v>
      </c>
      <c r="B125" s="73"/>
      <c r="C125" s="73"/>
      <c r="D125" s="73"/>
      <c r="E125" s="74"/>
      <c r="F125" s="62">
        <f t="shared" ref="F125:K125" si="18">SUM(F121:F124)</f>
        <v>16163.923309999998</v>
      </c>
      <c r="G125" s="62">
        <f t="shared" si="18"/>
        <v>0</v>
      </c>
      <c r="H125" s="62">
        <f t="shared" si="18"/>
        <v>0</v>
      </c>
      <c r="I125" s="62">
        <f t="shared" si="18"/>
        <v>11349.712810000001</v>
      </c>
      <c r="J125" s="62">
        <f t="shared" si="18"/>
        <v>4814.2105000000001</v>
      </c>
      <c r="K125" s="67">
        <f t="shared" si="18"/>
        <v>0</v>
      </c>
    </row>
    <row r="126" spans="1:12" s="4" customFormat="1" ht="94.5" customHeight="1" x14ac:dyDescent="0.3">
      <c r="A126" s="56" t="s">
        <v>161</v>
      </c>
      <c r="B126" s="56" t="s">
        <v>160</v>
      </c>
      <c r="C126" s="56" t="s">
        <v>162</v>
      </c>
      <c r="D126" s="55" t="s">
        <v>27</v>
      </c>
      <c r="E126" s="55" t="s">
        <v>13</v>
      </c>
      <c r="F126" s="62">
        <f>G126+H126+I126+J126+K126</f>
        <v>589.86</v>
      </c>
      <c r="G126" s="62"/>
      <c r="H126" s="62"/>
      <c r="I126" s="62"/>
      <c r="J126" s="62">
        <v>589.86</v>
      </c>
      <c r="K126" s="67"/>
    </row>
    <row r="127" spans="1:12" s="2" customFormat="1" x14ac:dyDescent="0.3">
      <c r="A127" s="83" t="s">
        <v>84</v>
      </c>
      <c r="B127" s="83"/>
      <c r="C127" s="83"/>
      <c r="D127" s="83"/>
      <c r="E127" s="83"/>
      <c r="F127" s="16">
        <f t="shared" ref="F127:K127" si="19">F15+F16+F51+F52+F55+F65+F66+F74+F89+F92+F93+F94+F106+F110+F120+F125+F126</f>
        <v>220213.89930999995</v>
      </c>
      <c r="G127" s="16">
        <f t="shared" si="19"/>
        <v>1350</v>
      </c>
      <c r="H127" s="16">
        <f t="shared" si="19"/>
        <v>30780.614729999994</v>
      </c>
      <c r="I127" s="16">
        <f t="shared" si="19"/>
        <v>35966.881080000006</v>
      </c>
      <c r="J127" s="16">
        <f t="shared" si="19"/>
        <v>28355.194879999999</v>
      </c>
      <c r="K127" s="16">
        <f t="shared" si="19"/>
        <v>123761.20862</v>
      </c>
      <c r="L127" s="30"/>
    </row>
    <row r="128" spans="1:12" s="4" customFormat="1" x14ac:dyDescent="0.3">
      <c r="A128" s="40"/>
      <c r="B128" s="47"/>
      <c r="C128" s="40"/>
      <c r="D128" s="40" t="s">
        <v>166</v>
      </c>
      <c r="E128" s="40"/>
      <c r="F128" s="40"/>
      <c r="G128" s="40"/>
      <c r="H128" s="40"/>
      <c r="I128" s="40"/>
      <c r="J128" s="40"/>
      <c r="K128" s="40"/>
    </row>
    <row r="129" spans="1:11" s="4" customFormat="1" x14ac:dyDescent="0.3">
      <c r="A129" s="40"/>
      <c r="B129" s="47"/>
      <c r="C129" s="40"/>
      <c r="D129" s="40" t="s">
        <v>167</v>
      </c>
      <c r="E129" s="40"/>
      <c r="F129" s="41">
        <f>SUM(G129:K129)</f>
        <v>110203.65731000001</v>
      </c>
      <c r="G129" s="41">
        <f>G127</f>
        <v>1350</v>
      </c>
      <c r="H129" s="41">
        <f t="shared" ref="H129:I129" si="20">H127</f>
        <v>30780.614729999994</v>
      </c>
      <c r="I129" s="41">
        <f t="shared" si="20"/>
        <v>35966.881080000006</v>
      </c>
      <c r="J129" s="41">
        <f>J127-J46-J48</f>
        <v>17679.480499999998</v>
      </c>
      <c r="K129" s="41">
        <f>K127-K46-K48</f>
        <v>24426.681000000004</v>
      </c>
    </row>
    <row r="130" spans="1:11" s="4" customFormat="1" x14ac:dyDescent="0.3">
      <c r="A130" s="40"/>
      <c r="B130" s="47"/>
      <c r="C130" s="40"/>
      <c r="D130" s="40" t="s">
        <v>168</v>
      </c>
      <c r="E130" s="40"/>
      <c r="F130" s="41">
        <f>SUM(G130:K130)</f>
        <v>83518.8</v>
      </c>
      <c r="G130" s="40"/>
      <c r="H130" s="40"/>
      <c r="I130" s="40"/>
      <c r="J130" s="41">
        <f>J46</f>
        <v>0</v>
      </c>
      <c r="K130" s="41">
        <f>K46</f>
        <v>83518.8</v>
      </c>
    </row>
    <row r="131" spans="1:11" s="4" customFormat="1" x14ac:dyDescent="0.3">
      <c r="A131" s="40"/>
      <c r="B131" s="47"/>
      <c r="C131" s="40"/>
      <c r="D131" s="40" t="s">
        <v>171</v>
      </c>
      <c r="E131" s="40"/>
      <c r="F131" s="41">
        <f>SUM(G131:K131)</f>
        <v>26491.441999999999</v>
      </c>
      <c r="G131" s="40"/>
      <c r="H131" s="40"/>
      <c r="I131" s="40"/>
      <c r="J131" s="41">
        <f>J48</f>
        <v>10675.714379999999</v>
      </c>
      <c r="K131" s="41">
        <f>K48</f>
        <v>15815.72762</v>
      </c>
    </row>
    <row r="132" spans="1:11" s="4" customFormat="1" x14ac:dyDescent="0.3">
      <c r="A132" s="42"/>
      <c r="B132" s="48"/>
      <c r="C132" s="42"/>
      <c r="D132" s="42"/>
      <c r="E132" s="42"/>
      <c r="F132" s="43"/>
      <c r="G132" s="42"/>
      <c r="H132" s="42"/>
      <c r="I132" s="42"/>
      <c r="J132" s="43"/>
      <c r="K132" s="42"/>
    </row>
    <row r="133" spans="1:11" x14ac:dyDescent="0.3">
      <c r="A133" s="9"/>
      <c r="B133" s="61"/>
      <c r="C133" s="9"/>
      <c r="D133" s="9"/>
      <c r="E133" s="9"/>
      <c r="F133" s="9"/>
      <c r="G133" s="9"/>
      <c r="H133" s="9"/>
      <c r="I133" s="9"/>
      <c r="J133" s="9"/>
      <c r="K133" s="9"/>
    </row>
    <row r="134" spans="1:11" x14ac:dyDescent="0.3">
      <c r="A134" s="9"/>
      <c r="B134" s="61" t="s">
        <v>179</v>
      </c>
      <c r="C134" s="9"/>
      <c r="D134" s="9"/>
      <c r="E134" s="9"/>
      <c r="F134" s="9"/>
      <c r="G134" s="9"/>
      <c r="H134" s="9"/>
      <c r="I134" s="9"/>
      <c r="J134" s="9"/>
      <c r="K134" s="46"/>
    </row>
    <row r="135" spans="1:11" x14ac:dyDescent="0.3">
      <c r="A135" s="9"/>
      <c r="B135" s="61"/>
      <c r="C135" s="9"/>
      <c r="D135" s="9"/>
      <c r="E135" s="9"/>
      <c r="F135" s="9"/>
      <c r="G135" s="9"/>
      <c r="H135" s="9"/>
      <c r="I135" s="9"/>
      <c r="J135" s="9"/>
      <c r="K135" s="9"/>
    </row>
    <row r="136" spans="1:11" s="5" customFormat="1" ht="15.6" x14ac:dyDescent="0.3">
      <c r="A136" s="9"/>
      <c r="B136" s="49" t="s">
        <v>136</v>
      </c>
      <c r="C136" s="17"/>
      <c r="D136" s="17"/>
      <c r="E136" s="17"/>
      <c r="F136" s="17"/>
      <c r="G136" s="17" t="s">
        <v>137</v>
      </c>
      <c r="H136" s="9"/>
      <c r="I136" s="9"/>
      <c r="J136" s="9"/>
      <c r="K136" s="46"/>
    </row>
    <row r="137" spans="1:11" x14ac:dyDescent="0.3">
      <c r="A137" s="9"/>
      <c r="B137" s="61"/>
      <c r="C137" s="9"/>
      <c r="D137" s="9"/>
      <c r="E137" s="9"/>
      <c r="F137" s="9"/>
      <c r="G137" s="9"/>
      <c r="H137" s="9"/>
      <c r="I137" s="9"/>
      <c r="J137" s="9"/>
      <c r="K137" s="9"/>
    </row>
    <row r="138" spans="1:11" s="6" customFormat="1" ht="15.6" x14ac:dyDescent="0.3">
      <c r="B138" s="50"/>
      <c r="E138" s="18"/>
      <c r="F138" s="19"/>
      <c r="G138" s="19"/>
      <c r="H138" s="19"/>
      <c r="I138" s="19"/>
      <c r="J138" s="19"/>
      <c r="K138" s="19"/>
    </row>
    <row r="139" spans="1:11" s="6" customFormat="1" ht="15.6" x14ac:dyDescent="0.3">
      <c r="B139" s="50"/>
      <c r="E139" s="18"/>
      <c r="F139" s="19"/>
      <c r="G139" s="19"/>
      <c r="H139" s="19"/>
      <c r="I139" s="19"/>
      <c r="J139" s="19"/>
      <c r="K139" s="19"/>
    </row>
    <row r="140" spans="1:11" ht="14.4" x14ac:dyDescent="0.3">
      <c r="E140" s="18"/>
      <c r="F140" s="18"/>
      <c r="G140" s="18"/>
      <c r="H140" s="18"/>
      <c r="I140" s="18"/>
      <c r="J140" s="18"/>
      <c r="K140" s="18"/>
    </row>
    <row r="141" spans="1:11" ht="14.4" x14ac:dyDescent="0.3">
      <c r="E141" s="18"/>
      <c r="F141" s="19"/>
      <c r="G141" s="18"/>
      <c r="H141" s="18"/>
      <c r="I141" s="18"/>
      <c r="J141" s="19"/>
      <c r="K141" s="18"/>
    </row>
    <row r="142" spans="1:11" s="2" customFormat="1" ht="14.4" x14ac:dyDescent="0.3">
      <c r="A142" s="8"/>
      <c r="B142" s="51"/>
      <c r="C142" s="8"/>
      <c r="D142" s="8"/>
      <c r="E142" s="18"/>
      <c r="F142" s="18"/>
      <c r="G142" s="18"/>
      <c r="H142" s="20"/>
      <c r="I142" s="20"/>
      <c r="J142" s="18"/>
      <c r="K142" s="18"/>
    </row>
    <row r="143" spans="1:11" s="2" customFormat="1" ht="14.4" x14ac:dyDescent="0.3">
      <c r="A143" s="8"/>
      <c r="B143" s="51"/>
      <c r="C143" s="8"/>
      <c r="D143" s="8"/>
      <c r="E143" s="18"/>
      <c r="F143" s="18"/>
      <c r="G143" s="18"/>
      <c r="H143" s="20"/>
      <c r="I143" s="20"/>
      <c r="J143" s="18"/>
      <c r="K143" s="18"/>
    </row>
    <row r="144" spans="1:11" s="4" customFormat="1" ht="14.4" x14ac:dyDescent="0.3">
      <c r="B144" s="52"/>
      <c r="E144" s="21"/>
      <c r="F144" s="21"/>
      <c r="G144" s="21"/>
      <c r="H144" s="22"/>
      <c r="I144" s="22"/>
      <c r="J144" s="21"/>
      <c r="K144" s="21"/>
    </row>
    <row r="145" spans="1:11" s="4" customFormat="1" ht="14.4" x14ac:dyDescent="0.3">
      <c r="B145" s="52"/>
      <c r="E145" s="21"/>
      <c r="F145" s="21"/>
      <c r="G145" s="21"/>
      <c r="H145" s="22"/>
      <c r="I145" s="22"/>
      <c r="J145" s="21"/>
      <c r="K145" s="21"/>
    </row>
    <row r="146" spans="1:11" s="4" customFormat="1" ht="14.4" x14ac:dyDescent="0.3">
      <c r="B146" s="52"/>
      <c r="E146" s="21"/>
      <c r="F146" s="21"/>
      <c r="G146" s="21"/>
      <c r="H146" s="22"/>
      <c r="I146" s="22"/>
      <c r="J146" s="21"/>
      <c r="K146" s="21"/>
    </row>
    <row r="147" spans="1:11" s="4" customFormat="1" ht="14.4" x14ac:dyDescent="0.3">
      <c r="B147" s="52"/>
      <c r="E147" s="21"/>
      <c r="F147" s="21"/>
      <c r="G147" s="21"/>
      <c r="H147" s="22"/>
      <c r="I147" s="22"/>
      <c r="J147" s="21"/>
      <c r="K147" s="21"/>
    </row>
    <row r="148" spans="1:11" s="4" customFormat="1" ht="14.4" x14ac:dyDescent="0.3">
      <c r="B148" s="52"/>
      <c r="E148" s="21"/>
      <c r="F148" s="21"/>
      <c r="G148" s="21"/>
      <c r="H148" s="22"/>
      <c r="I148" s="22"/>
      <c r="J148" s="21"/>
      <c r="K148" s="21"/>
    </row>
    <row r="149" spans="1:11" s="2" customFormat="1" ht="14.4" x14ac:dyDescent="0.3">
      <c r="A149" s="8"/>
      <c r="B149" s="51"/>
      <c r="C149" s="8"/>
      <c r="D149" s="8"/>
      <c r="E149" s="18"/>
      <c r="F149" s="18"/>
      <c r="G149" s="18"/>
      <c r="H149" s="20"/>
      <c r="I149" s="24"/>
      <c r="J149" s="18"/>
      <c r="K149" s="18"/>
    </row>
    <row r="150" spans="1:11" s="2" customFormat="1" ht="14.4" x14ac:dyDescent="0.3">
      <c r="A150" s="8"/>
      <c r="B150" s="51"/>
      <c r="C150" s="8"/>
      <c r="D150" s="8"/>
      <c r="E150" s="18"/>
      <c r="F150" s="18"/>
      <c r="G150" s="18"/>
      <c r="H150" s="23"/>
      <c r="I150" s="23"/>
      <c r="J150" s="18"/>
      <c r="K150" s="18"/>
    </row>
    <row r="151" spans="1:11" s="2" customFormat="1" ht="14.4" x14ac:dyDescent="0.3">
      <c r="A151" s="8"/>
      <c r="B151" s="51"/>
      <c r="C151" s="8"/>
      <c r="D151" s="8"/>
      <c r="E151" s="18"/>
      <c r="F151" s="18"/>
      <c r="G151" s="18"/>
      <c r="H151" s="23"/>
      <c r="I151" s="23"/>
      <c r="J151" s="18"/>
      <c r="K151" s="18"/>
    </row>
    <row r="152" spans="1:11" s="2" customFormat="1" ht="14.4" x14ac:dyDescent="0.3">
      <c r="A152" s="8"/>
      <c r="B152" s="51"/>
      <c r="C152" s="8"/>
      <c r="D152" s="8"/>
      <c r="E152" s="18"/>
      <c r="F152" s="19"/>
      <c r="G152" s="19"/>
      <c r="H152" s="24"/>
      <c r="I152" s="19"/>
      <c r="J152" s="24"/>
      <c r="K152" s="24"/>
    </row>
    <row r="153" spans="1:11" s="2" customFormat="1" ht="14.4" x14ac:dyDescent="0.3">
      <c r="A153" s="8"/>
      <c r="B153" s="51"/>
      <c r="C153" s="8"/>
      <c r="D153" s="8"/>
      <c r="E153" s="18"/>
      <c r="F153" s="24"/>
      <c r="G153" s="24"/>
      <c r="H153" s="24"/>
      <c r="I153" s="19"/>
      <c r="J153" s="24"/>
      <c r="K153" s="24"/>
    </row>
    <row r="154" spans="1:11" s="4" customFormat="1" ht="14.4" x14ac:dyDescent="0.3">
      <c r="B154" s="52"/>
      <c r="E154" s="21"/>
      <c r="F154" s="25"/>
      <c r="G154" s="25"/>
      <c r="H154" s="25"/>
      <c r="I154" s="36"/>
      <c r="J154" s="25"/>
      <c r="K154" s="25"/>
    </row>
    <row r="155" spans="1:11" s="4" customFormat="1" ht="14.4" x14ac:dyDescent="0.3">
      <c r="B155" s="52"/>
      <c r="E155" s="21"/>
      <c r="F155" s="25"/>
      <c r="G155" s="25"/>
      <c r="H155" s="25"/>
      <c r="I155" s="36"/>
      <c r="J155" s="25"/>
      <c r="K155" s="25"/>
    </row>
    <row r="156" spans="1:11" s="4" customFormat="1" ht="14.4" x14ac:dyDescent="0.3">
      <c r="B156" s="52"/>
      <c r="E156" s="21"/>
      <c r="F156" s="25"/>
      <c r="G156" s="26"/>
      <c r="H156" s="26"/>
      <c r="I156" s="26"/>
      <c r="J156" s="25"/>
      <c r="K156" s="25"/>
    </row>
    <row r="157" spans="1:11" s="4" customFormat="1" ht="14.4" x14ac:dyDescent="0.3">
      <c r="B157" s="52"/>
      <c r="E157" s="21"/>
      <c r="F157" s="21"/>
      <c r="G157" s="21"/>
      <c r="H157" s="26"/>
      <c r="I157" s="26"/>
      <c r="J157" s="21"/>
      <c r="K157" s="21"/>
    </row>
    <row r="158" spans="1:11" ht="14.4" x14ac:dyDescent="0.3">
      <c r="E158" s="18"/>
      <c r="F158" s="18"/>
      <c r="G158" s="18"/>
      <c r="H158" s="27"/>
      <c r="I158" s="27"/>
      <c r="J158" s="18"/>
      <c r="K158" s="18"/>
    </row>
    <row r="159" spans="1:11" ht="14.4" x14ac:dyDescent="0.3">
      <c r="E159" s="18"/>
      <c r="F159" s="18"/>
      <c r="G159" s="18"/>
      <c r="H159" s="27"/>
      <c r="I159" s="27"/>
      <c r="J159" s="18"/>
      <c r="K159" s="18"/>
    </row>
    <row r="160" spans="1:11" ht="14.4" x14ac:dyDescent="0.3">
      <c r="E160" s="18"/>
      <c r="F160" s="18"/>
      <c r="G160" s="18"/>
      <c r="H160" s="27"/>
      <c r="I160" s="27"/>
      <c r="J160" s="18"/>
      <c r="K160" s="18"/>
    </row>
    <row r="161" spans="1:11" s="7" customFormat="1" ht="18" x14ac:dyDescent="0.35">
      <c r="A161" s="28"/>
      <c r="B161" s="53"/>
      <c r="C161" s="28"/>
      <c r="D161" s="28"/>
      <c r="E161" s="18"/>
      <c r="F161" s="18"/>
      <c r="G161" s="18"/>
      <c r="H161" s="19"/>
      <c r="I161" s="19"/>
      <c r="J161" s="18"/>
      <c r="K161" s="18"/>
    </row>
    <row r="162" spans="1:11" ht="14.4" x14ac:dyDescent="0.3">
      <c r="E162" s="18"/>
      <c r="F162" s="18"/>
      <c r="G162" s="18"/>
      <c r="H162" s="19"/>
      <c r="I162" s="19"/>
      <c r="J162" s="18"/>
      <c r="K162" s="18"/>
    </row>
    <row r="163" spans="1:11" ht="14.4" x14ac:dyDescent="0.3">
      <c r="E163" s="18"/>
      <c r="F163" s="18"/>
      <c r="G163" s="18"/>
      <c r="H163" s="18"/>
      <c r="I163" s="18"/>
      <c r="J163" s="18"/>
      <c r="K163" s="18"/>
    </row>
    <row r="164" spans="1:11" ht="14.4" x14ac:dyDescent="0.3">
      <c r="E164" s="18"/>
      <c r="F164" s="18"/>
      <c r="G164" s="18"/>
      <c r="H164" s="18"/>
      <c r="I164" s="18"/>
      <c r="J164" s="18"/>
      <c r="K164" s="18"/>
    </row>
    <row r="165" spans="1:11" ht="33.6" x14ac:dyDescent="0.65">
      <c r="H165" s="29"/>
    </row>
    <row r="166" spans="1:11" ht="33.6" x14ac:dyDescent="0.65">
      <c r="H166" s="29"/>
    </row>
    <row r="167" spans="1:11" ht="33.6" x14ac:dyDescent="0.65">
      <c r="H167" s="29"/>
    </row>
    <row r="168" spans="1:11" ht="33.6" x14ac:dyDescent="0.65">
      <c r="H168" s="29"/>
    </row>
  </sheetData>
  <mergeCells count="57">
    <mergeCell ref="F17:K17"/>
    <mergeCell ref="D6:D7"/>
    <mergeCell ref="F6:F7"/>
    <mergeCell ref="B6:B7"/>
    <mergeCell ref="A15:E15"/>
    <mergeCell ref="A9:A14"/>
    <mergeCell ref="B9:B14"/>
    <mergeCell ref="D9:D14"/>
    <mergeCell ref="E9:E14"/>
    <mergeCell ref="B18:B22"/>
    <mergeCell ref="A18:A22"/>
    <mergeCell ref="C48:C49"/>
    <mergeCell ref="C52:C54"/>
    <mergeCell ref="E52:E54"/>
    <mergeCell ref="C46:C47"/>
    <mergeCell ref="A51:E51"/>
    <mergeCell ref="A52:A54"/>
    <mergeCell ref="B52:B54"/>
    <mergeCell ref="D46:D47"/>
    <mergeCell ref="D48:D49"/>
    <mergeCell ref="C19:C23"/>
    <mergeCell ref="E19:E23"/>
    <mergeCell ref="H3:J3"/>
    <mergeCell ref="E6:E7"/>
    <mergeCell ref="C6:C7"/>
    <mergeCell ref="A4:K4"/>
    <mergeCell ref="G6:K6"/>
    <mergeCell ref="A6:A7"/>
    <mergeCell ref="E56:E64"/>
    <mergeCell ref="E79:E80"/>
    <mergeCell ref="B75:B76"/>
    <mergeCell ref="A89:E89"/>
    <mergeCell ref="E81:E84"/>
    <mergeCell ref="A74:E74"/>
    <mergeCell ref="A65:E65"/>
    <mergeCell ref="A67:A73"/>
    <mergeCell ref="A75:A76"/>
    <mergeCell ref="C75:C76"/>
    <mergeCell ref="A127:E127"/>
    <mergeCell ref="A121:A124"/>
    <mergeCell ref="A111:A117"/>
    <mergeCell ref="A125:E125"/>
    <mergeCell ref="A120:E120"/>
    <mergeCell ref="B111:B115"/>
    <mergeCell ref="C111:C115"/>
    <mergeCell ref="E111:E115"/>
    <mergeCell ref="A110:E110"/>
    <mergeCell ref="D95:D96"/>
    <mergeCell ref="E95:E96"/>
    <mergeCell ref="C92:D92"/>
    <mergeCell ref="B95:B96"/>
    <mergeCell ref="B108:B109"/>
    <mergeCell ref="A107:A109"/>
    <mergeCell ref="A106:E106"/>
    <mergeCell ref="A95:A98"/>
    <mergeCell ref="A99:A102"/>
    <mergeCell ref="A90:A92"/>
  </mergeCells>
  <pageMargins left="0.43307086614173229" right="0.39370078740157483" top="0.59055118110236227" bottom="0.39370078740157483" header="0.19685039370078741" footer="0.19685039370078741"/>
  <pageSetup paperSize="9" scale="52" fitToHeight="11" pageOrder="overThenDown" orientation="landscape" r:id="rId1"/>
  <headerFooter differentFirst="1">
    <oddHeader>&amp;C&amp;P</oddHeader>
  </headerFooter>
  <rowBreaks count="1" manualBreakCount="1">
    <brk id="74"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vt:lpstr>
      <vt:lpstr>Лист1!Заголовки_для_друку</vt:lpstr>
      <vt:lpstr>Лист1!Область_друку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220FU11</dc:creator>
  <cp:lastModifiedBy>220FU6</cp:lastModifiedBy>
  <cp:lastPrinted>2025-05-16T11:43:30Z</cp:lastPrinted>
  <dcterms:created xsi:type="dcterms:W3CDTF">2022-01-28T07:03:00Z</dcterms:created>
  <dcterms:modified xsi:type="dcterms:W3CDTF">2025-05-19T10:42:43Z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E3265BDC7D0340D3B39784C9E6CE07C4</vt:lpwstr>
  </property>
  <property fmtid="{D5CDD505-2E9C-101B-9397-08002B2CF9AE}" pid="3" name="KSOProductBuildVer">
    <vt:lpwstr>1049-11.2.0.11486</vt:lpwstr>
  </property>
</Properties>
</file>