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58 сесія 23.05.2025\№839 Виконання бюджету 1 кв 25 р\"/>
    </mc:Choice>
  </mc:AlternateContent>
  <xr:revisionPtr revIDLastSave="0" documentId="13_ncr:1_{47C5BDAC-520D-473C-A05A-93BD92447D0D}" xr6:coauthVersionLast="47" xr6:coauthVersionMax="47" xr10:uidLastSave="{00000000-0000-0000-0000-000000000000}"/>
  <bookViews>
    <workbookView xWindow="-108" yWindow="-108" windowWidth="23256" windowHeight="12576" xr2:uid="{00000000-000D-0000-FFFF-FFFF00000000}"/>
  </bookViews>
  <sheets>
    <sheet name="2025" sheetId="11" r:id="rId1"/>
  </sheets>
  <definedNames>
    <definedName name="_xlnm._FilterDatabase" localSheetId="0" hidden="1">'2025'!$A$5:$K$141</definedName>
    <definedName name="_xlnm.Print_Titles" localSheetId="0">'2025'!$9:$11</definedName>
    <definedName name="_xlnm.Print_Area" localSheetId="0">'2025'!$A$1:$Q$166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3" i="11" l="1"/>
  <c r="L36" i="11" l="1"/>
  <c r="M118" i="11" l="1"/>
  <c r="M102" i="11" l="1"/>
  <c r="M101" i="11"/>
  <c r="M94" i="11"/>
  <c r="M63" i="11" l="1"/>
  <c r="L51" i="11"/>
  <c r="M21" i="11" l="1"/>
  <c r="M20" i="11" l="1"/>
  <c r="O163" i="11" l="1"/>
  <c r="N163" i="11"/>
  <c r="M163" i="11"/>
  <c r="O162" i="11"/>
  <c r="N162" i="11"/>
  <c r="M162" i="11"/>
  <c r="O161" i="11"/>
  <c r="N161" i="11"/>
  <c r="M161" i="11"/>
  <c r="O160" i="11"/>
  <c r="N160" i="11"/>
  <c r="M160" i="11"/>
  <c r="O159" i="11"/>
  <c r="N159" i="11"/>
  <c r="O158" i="11"/>
  <c r="N158" i="11"/>
  <c r="O156" i="11"/>
  <c r="N156" i="11"/>
  <c r="M154" i="11"/>
  <c r="O152" i="11"/>
  <c r="N152" i="11"/>
  <c r="M152" i="11"/>
  <c r="O151" i="11"/>
  <c r="N151" i="11"/>
  <c r="L151" i="11" s="1"/>
  <c r="M150" i="11"/>
  <c r="N149" i="11"/>
  <c r="M149" i="11"/>
  <c r="O148" i="11"/>
  <c r="N148" i="11"/>
  <c r="M148" i="11"/>
  <c r="O147" i="11"/>
  <c r="N147" i="11"/>
  <c r="O146" i="11"/>
  <c r="N146" i="11"/>
  <c r="M146" i="11"/>
  <c r="O145" i="11"/>
  <c r="N145" i="11"/>
  <c r="M145" i="11"/>
  <c r="O144" i="11"/>
  <c r="N144" i="11"/>
  <c r="O143" i="11"/>
  <c r="N143" i="11"/>
  <c r="O142" i="11"/>
  <c r="N142" i="11"/>
  <c r="M141" i="11"/>
  <c r="O140" i="11"/>
  <c r="N140" i="11"/>
  <c r="M140" i="11"/>
  <c r="O139" i="11"/>
  <c r="N139" i="11"/>
  <c r="M139" i="11"/>
  <c r="O135" i="11"/>
  <c r="N135" i="11"/>
  <c r="O134" i="11"/>
  <c r="N134" i="11"/>
  <c r="O133" i="11"/>
  <c r="M133" i="11"/>
  <c r="M132" i="11"/>
  <c r="L130" i="11"/>
  <c r="L163" i="11" s="1"/>
  <c r="L129" i="11"/>
  <c r="L162" i="11" s="1"/>
  <c r="L128" i="11"/>
  <c r="L161" i="11" s="1"/>
  <c r="O121" i="11"/>
  <c r="O120" i="11" s="1"/>
  <c r="L127" i="11"/>
  <c r="L126" i="11"/>
  <c r="M159" i="11"/>
  <c r="L125" i="11"/>
  <c r="L159" i="11" s="1"/>
  <c r="L124" i="11"/>
  <c r="L160" i="11" s="1"/>
  <c r="L123" i="11"/>
  <c r="L122" i="11"/>
  <c r="L119" i="11"/>
  <c r="L118" i="11"/>
  <c r="M115" i="11"/>
  <c r="M114" i="11" s="1"/>
  <c r="L117" i="11"/>
  <c r="L116" i="11"/>
  <c r="L149" i="11" s="1"/>
  <c r="O115" i="11"/>
  <c r="O114" i="11" s="1"/>
  <c r="N115" i="11"/>
  <c r="N114" i="11" s="1"/>
  <c r="L113" i="11"/>
  <c r="L112" i="11"/>
  <c r="L111" i="11"/>
  <c r="L110" i="11"/>
  <c r="L109" i="11"/>
  <c r="L108" i="11"/>
  <c r="L107" i="11"/>
  <c r="O105" i="11"/>
  <c r="O104" i="11" s="1"/>
  <c r="L106" i="11"/>
  <c r="N105" i="11"/>
  <c r="N104" i="11" s="1"/>
  <c r="M105" i="11"/>
  <c r="M104" i="11" s="1"/>
  <c r="L103" i="11"/>
  <c r="L102" i="11"/>
  <c r="M156" i="11"/>
  <c r="L100" i="11"/>
  <c r="L99" i="11"/>
  <c r="L98" i="11"/>
  <c r="L97" i="11"/>
  <c r="L96" i="11"/>
  <c r="L95" i="11"/>
  <c r="L94" i="11"/>
  <c r="L93" i="11"/>
  <c r="L152" i="11" s="1"/>
  <c r="L92" i="11"/>
  <c r="L91" i="11"/>
  <c r="L90" i="11"/>
  <c r="L133" i="11" s="1"/>
  <c r="L89" i="11"/>
  <c r="O86" i="11"/>
  <c r="O85" i="11" s="1"/>
  <c r="N157" i="11"/>
  <c r="M86" i="11"/>
  <c r="M85" i="11" s="1"/>
  <c r="L88" i="11"/>
  <c r="L87" i="11"/>
  <c r="L84" i="11"/>
  <c r="L83" i="11"/>
  <c r="L82" i="11"/>
  <c r="L81" i="11"/>
  <c r="L80" i="11"/>
  <c r="L77" i="11"/>
  <c r="L76" i="11"/>
  <c r="L75" i="11"/>
  <c r="L74" i="11"/>
  <c r="M143" i="11"/>
  <c r="L72" i="11"/>
  <c r="L71" i="11"/>
  <c r="O70" i="11"/>
  <c r="O69" i="11" s="1"/>
  <c r="N70" i="11"/>
  <c r="N69" i="11" s="1"/>
  <c r="L68" i="11"/>
  <c r="L67" i="11"/>
  <c r="L154" i="11" s="1"/>
  <c r="L66" i="11"/>
  <c r="O65" i="11"/>
  <c r="O64" i="11" s="1"/>
  <c r="N65" i="11"/>
  <c r="N64" i="11" s="1"/>
  <c r="L63" i="11"/>
  <c r="L62" i="11"/>
  <c r="L61" i="11"/>
  <c r="L60" i="11"/>
  <c r="L59" i="11"/>
  <c r="L58" i="11"/>
  <c r="L57" i="11"/>
  <c r="M142" i="11"/>
  <c r="L55" i="11"/>
  <c r="L54" i="11"/>
  <c r="L144" i="11" s="1"/>
  <c r="L53" i="11"/>
  <c r="L52" i="11"/>
  <c r="L50" i="11"/>
  <c r="L49" i="11"/>
  <c r="O48" i="11"/>
  <c r="O47" i="11" s="1"/>
  <c r="N48" i="11"/>
  <c r="N47" i="11" s="1"/>
  <c r="O138" i="11"/>
  <c r="N138" i="11"/>
  <c r="L46" i="11"/>
  <c r="L45" i="11"/>
  <c r="L44" i="11"/>
  <c r="L43" i="11"/>
  <c r="L42" i="11"/>
  <c r="L132" i="11" s="1"/>
  <c r="L41" i="11"/>
  <c r="L40" i="11"/>
  <c r="L39" i="11"/>
  <c r="L38" i="11"/>
  <c r="L37" i="11"/>
  <c r="L35" i="11"/>
  <c r="L146" i="11" s="1"/>
  <c r="L34" i="11"/>
  <c r="L141" i="11" s="1"/>
  <c r="O30" i="11"/>
  <c r="O29" i="11" s="1"/>
  <c r="N30" i="11"/>
  <c r="N29" i="11" s="1"/>
  <c r="O137" i="11"/>
  <c r="N137" i="11"/>
  <c r="L32" i="11"/>
  <c r="L31" i="11"/>
  <c r="L28" i="11"/>
  <c r="O155" i="11"/>
  <c r="N155" i="11"/>
  <c r="M147" i="11"/>
  <c r="L26" i="11"/>
  <c r="L147" i="11" s="1"/>
  <c r="M155" i="11"/>
  <c r="L25" i="11"/>
  <c r="L24" i="11"/>
  <c r="L139" i="11" s="1"/>
  <c r="M138" i="11"/>
  <c r="L23" i="11"/>
  <c r="L22" i="11"/>
  <c r="O153" i="11"/>
  <c r="N153" i="11"/>
  <c r="L21" i="11"/>
  <c r="L20" i="11"/>
  <c r="L19" i="11"/>
  <c r="L18" i="11"/>
  <c r="L158" i="11" s="1"/>
  <c r="L17" i="11"/>
  <c r="O136" i="11"/>
  <c r="N136" i="11"/>
  <c r="L16" i="11"/>
  <c r="L15" i="11"/>
  <c r="M136" i="11"/>
  <c r="L14" i="11"/>
  <c r="K163" i="11"/>
  <c r="J163" i="11"/>
  <c r="I163" i="11"/>
  <c r="K162" i="11"/>
  <c r="J162" i="11"/>
  <c r="I162" i="11"/>
  <c r="K161" i="11"/>
  <c r="J161" i="11"/>
  <c r="I161" i="11"/>
  <c r="H161" i="11"/>
  <c r="K160" i="11"/>
  <c r="J160" i="11"/>
  <c r="I160" i="11"/>
  <c r="K159" i="11"/>
  <c r="J159" i="11"/>
  <c r="K158" i="11"/>
  <c r="J158" i="11"/>
  <c r="K156" i="11"/>
  <c r="J156" i="11"/>
  <c r="I154" i="11"/>
  <c r="K152" i="11"/>
  <c r="J152" i="11"/>
  <c r="I152" i="11"/>
  <c r="K151" i="11"/>
  <c r="J151" i="11"/>
  <c r="H151" i="11" s="1"/>
  <c r="I150" i="11"/>
  <c r="J149" i="11"/>
  <c r="I149" i="11"/>
  <c r="H149" i="11"/>
  <c r="K148" i="11"/>
  <c r="J148" i="11"/>
  <c r="I148" i="11"/>
  <c r="K147" i="11"/>
  <c r="J147" i="11"/>
  <c r="K146" i="11"/>
  <c r="J146" i="11"/>
  <c r="I146" i="11"/>
  <c r="K145" i="11"/>
  <c r="J145" i="11"/>
  <c r="K144" i="11"/>
  <c r="J144" i="11"/>
  <c r="K143" i="11"/>
  <c r="J143" i="11"/>
  <c r="K142" i="11"/>
  <c r="J142" i="11"/>
  <c r="I141" i="11"/>
  <c r="K140" i="11"/>
  <c r="J140" i="11"/>
  <c r="I140" i="11"/>
  <c r="K139" i="11"/>
  <c r="J139" i="11"/>
  <c r="I139" i="11"/>
  <c r="K135" i="11"/>
  <c r="J135" i="11"/>
  <c r="K134" i="11"/>
  <c r="J134" i="11"/>
  <c r="K133" i="11"/>
  <c r="I133" i="11"/>
  <c r="I132" i="11"/>
  <c r="H130" i="11"/>
  <c r="H163" i="11" s="1"/>
  <c r="H129" i="11"/>
  <c r="H162" i="11" s="1"/>
  <c r="P162" i="11" s="1"/>
  <c r="H128" i="11"/>
  <c r="K127" i="11"/>
  <c r="K121" i="11" s="1"/>
  <c r="K120" i="11" s="1"/>
  <c r="J127" i="11"/>
  <c r="J121" i="11" s="1"/>
  <c r="J120" i="11" s="1"/>
  <c r="I127" i="11"/>
  <c r="H127" i="11" s="1"/>
  <c r="H126" i="11"/>
  <c r="I125" i="11"/>
  <c r="I159" i="11" s="1"/>
  <c r="H124" i="11"/>
  <c r="H160" i="11" s="1"/>
  <c r="I123" i="11"/>
  <c r="H123" i="11" s="1"/>
  <c r="H122" i="11"/>
  <c r="H119" i="11"/>
  <c r="H118" i="11"/>
  <c r="I117" i="11"/>
  <c r="I115" i="11" s="1"/>
  <c r="I114" i="11" s="1"/>
  <c r="H116" i="11"/>
  <c r="K115" i="11"/>
  <c r="K114" i="11" s="1"/>
  <c r="J115" i="11"/>
  <c r="J114" i="11" s="1"/>
  <c r="H113" i="11"/>
  <c r="H112" i="11"/>
  <c r="H111" i="11"/>
  <c r="H110" i="11"/>
  <c r="K109" i="11"/>
  <c r="J109" i="11"/>
  <c r="H109" i="11" s="1"/>
  <c r="H108" i="11"/>
  <c r="H107" i="11"/>
  <c r="K106" i="11"/>
  <c r="J106" i="11"/>
  <c r="I105" i="11"/>
  <c r="I104" i="11" s="1"/>
  <c r="K103" i="11"/>
  <c r="J103" i="11"/>
  <c r="H103" i="11" s="1"/>
  <c r="I102" i="11"/>
  <c r="H102" i="11" s="1"/>
  <c r="I101" i="11"/>
  <c r="I156" i="11" s="1"/>
  <c r="H100" i="11"/>
  <c r="H99" i="11"/>
  <c r="H98" i="11"/>
  <c r="H97" i="11"/>
  <c r="H96" i="11"/>
  <c r="H95" i="11"/>
  <c r="K94" i="11"/>
  <c r="J94" i="11"/>
  <c r="I94" i="11"/>
  <c r="H93" i="11"/>
  <c r="H152" i="11" s="1"/>
  <c r="H92" i="11"/>
  <c r="H91" i="11"/>
  <c r="J90" i="11"/>
  <c r="H90" i="11" s="1"/>
  <c r="H133" i="11" s="1"/>
  <c r="H89" i="11"/>
  <c r="K88" i="11"/>
  <c r="J88" i="11"/>
  <c r="I88" i="11"/>
  <c r="H88" i="11" s="1"/>
  <c r="H87" i="11"/>
  <c r="H150" i="11" s="1"/>
  <c r="H84" i="11"/>
  <c r="H83" i="11"/>
  <c r="I82" i="11"/>
  <c r="H82" i="11" s="1"/>
  <c r="I81" i="11"/>
  <c r="I145" i="11" s="1"/>
  <c r="I80" i="11"/>
  <c r="H80" i="11" s="1"/>
  <c r="H77" i="11"/>
  <c r="I76" i="11"/>
  <c r="H76" i="11"/>
  <c r="H75" i="11"/>
  <c r="I74" i="11"/>
  <c r="H74" i="11" s="1"/>
  <c r="I73" i="11"/>
  <c r="H73" i="11" s="1"/>
  <c r="H72" i="11"/>
  <c r="H71" i="11"/>
  <c r="K70" i="11"/>
  <c r="J70" i="11"/>
  <c r="J69" i="11" s="1"/>
  <c r="K69" i="11"/>
  <c r="H68" i="11"/>
  <c r="H67" i="11"/>
  <c r="H154" i="11" s="1"/>
  <c r="I66" i="11"/>
  <c r="I65" i="11" s="1"/>
  <c r="I64" i="11" s="1"/>
  <c r="H66" i="11"/>
  <c r="K65" i="11"/>
  <c r="K64" i="11" s="1"/>
  <c r="J65" i="11"/>
  <c r="J64" i="11" s="1"/>
  <c r="H63" i="11"/>
  <c r="I62" i="11"/>
  <c r="H62" i="11" s="1"/>
  <c r="I61" i="11"/>
  <c r="H61" i="11" s="1"/>
  <c r="H60" i="11"/>
  <c r="H59" i="11"/>
  <c r="H58" i="11"/>
  <c r="H57" i="11"/>
  <c r="I56" i="11"/>
  <c r="I142" i="11" s="1"/>
  <c r="H55" i="11"/>
  <c r="H54" i="11"/>
  <c r="H53" i="11"/>
  <c r="I52" i="11"/>
  <c r="H52" i="11"/>
  <c r="H51" i="11"/>
  <c r="H50" i="11"/>
  <c r="H49" i="11"/>
  <c r="K48" i="11"/>
  <c r="K47" i="11" s="1"/>
  <c r="J48" i="11"/>
  <c r="J47" i="11"/>
  <c r="K46" i="11"/>
  <c r="K138" i="11" s="1"/>
  <c r="J46" i="11"/>
  <c r="H46" i="11" s="1"/>
  <c r="H45" i="11"/>
  <c r="H44" i="11"/>
  <c r="H43" i="11"/>
  <c r="H42" i="11"/>
  <c r="H132" i="11" s="1"/>
  <c r="H41" i="11"/>
  <c r="H40" i="11"/>
  <c r="H39" i="11"/>
  <c r="H38" i="11"/>
  <c r="H37" i="11"/>
  <c r="K36" i="11"/>
  <c r="J36" i="11"/>
  <c r="I36" i="11"/>
  <c r="H35" i="11"/>
  <c r="H146" i="11" s="1"/>
  <c r="H34" i="11"/>
  <c r="H141" i="11" s="1"/>
  <c r="K33" i="11"/>
  <c r="J33" i="11"/>
  <c r="I33" i="11"/>
  <c r="H33" i="11" s="1"/>
  <c r="K32" i="11"/>
  <c r="J32" i="11"/>
  <c r="I32" i="11"/>
  <c r="H31" i="11"/>
  <c r="H28" i="11"/>
  <c r="K27" i="11"/>
  <c r="J27" i="11"/>
  <c r="H27" i="11"/>
  <c r="I26" i="11"/>
  <c r="I147" i="11" s="1"/>
  <c r="I25" i="11"/>
  <c r="H25" i="11" s="1"/>
  <c r="H24" i="11"/>
  <c r="H139" i="11" s="1"/>
  <c r="I23" i="11"/>
  <c r="I138" i="11" s="1"/>
  <c r="K22" i="11"/>
  <c r="J22" i="11"/>
  <c r="H22" i="11" s="1"/>
  <c r="K21" i="11"/>
  <c r="K153" i="11" s="1"/>
  <c r="J21" i="11"/>
  <c r="I21" i="11"/>
  <c r="I20" i="11"/>
  <c r="H20" i="11"/>
  <c r="H19" i="11"/>
  <c r="I18" i="11"/>
  <c r="H18" i="11" s="1"/>
  <c r="H158" i="11" s="1"/>
  <c r="I17" i="11"/>
  <c r="H17" i="11" s="1"/>
  <c r="K16" i="11"/>
  <c r="K136" i="11" s="1"/>
  <c r="J16" i="11"/>
  <c r="J136" i="11" s="1"/>
  <c r="I16" i="11"/>
  <c r="H15" i="11"/>
  <c r="I14" i="11"/>
  <c r="H14" i="11"/>
  <c r="H65" i="11" l="1"/>
  <c r="H64" i="11" s="1"/>
  <c r="I86" i="11"/>
  <c r="I85" i="11" s="1"/>
  <c r="H140" i="11"/>
  <c r="K86" i="11"/>
  <c r="K85" i="11" s="1"/>
  <c r="P158" i="11"/>
  <c r="H26" i="11"/>
  <c r="H147" i="11" s="1"/>
  <c r="P147" i="11" s="1"/>
  <c r="J137" i="11"/>
  <c r="K105" i="11"/>
  <c r="K104" i="11" s="1"/>
  <c r="H117" i="11"/>
  <c r="H115" i="11" s="1"/>
  <c r="H114" i="11" s="1"/>
  <c r="P163" i="11"/>
  <c r="Q163" i="11"/>
  <c r="H155" i="11"/>
  <c r="H21" i="11"/>
  <c r="I136" i="11"/>
  <c r="K155" i="11"/>
  <c r="H134" i="11"/>
  <c r="H36" i="11"/>
  <c r="H101" i="11"/>
  <c r="H156" i="11" s="1"/>
  <c r="H125" i="11"/>
  <c r="H159" i="11" s="1"/>
  <c r="P159" i="11" s="1"/>
  <c r="K30" i="11"/>
  <c r="K29" i="11" s="1"/>
  <c r="I13" i="11"/>
  <c r="I12" i="11" s="1"/>
  <c r="I143" i="11"/>
  <c r="L134" i="11"/>
  <c r="P152" i="11"/>
  <c r="J30" i="11"/>
  <c r="J29" i="11" s="1"/>
  <c r="L121" i="11"/>
  <c r="L120" i="11" s="1"/>
  <c r="P160" i="11"/>
  <c r="H32" i="11"/>
  <c r="H137" i="11" s="1"/>
  <c r="H94" i="11"/>
  <c r="H86" i="11" s="1"/>
  <c r="H85" i="11" s="1"/>
  <c r="L148" i="11"/>
  <c r="I155" i="11"/>
  <c r="P154" i="11"/>
  <c r="Q154" i="11"/>
  <c r="I157" i="11"/>
  <c r="J86" i="11"/>
  <c r="J85" i="11" s="1"/>
  <c r="P141" i="11"/>
  <c r="Q149" i="11"/>
  <c r="P149" i="11"/>
  <c r="I153" i="11"/>
  <c r="K157" i="11"/>
  <c r="Q147" i="11"/>
  <c r="P146" i="11"/>
  <c r="Q158" i="11"/>
  <c r="P139" i="11"/>
  <c r="J155" i="11"/>
  <c r="I135" i="11"/>
  <c r="H143" i="11"/>
  <c r="H148" i="11"/>
  <c r="J138" i="11"/>
  <c r="Q162" i="11"/>
  <c r="Q141" i="11"/>
  <c r="P161" i="11"/>
  <c r="Q161" i="11"/>
  <c r="Q160" i="11"/>
  <c r="L105" i="11"/>
  <c r="L104" i="11" s="1"/>
  <c r="L140" i="11"/>
  <c r="Q148" i="11"/>
  <c r="Q152" i="11"/>
  <c r="L157" i="11"/>
  <c r="L145" i="11"/>
  <c r="L65" i="11"/>
  <c r="L64" i="11" s="1"/>
  <c r="L138" i="11"/>
  <c r="Q146" i="11"/>
  <c r="P151" i="11"/>
  <c r="Q151" i="11"/>
  <c r="Q139" i="11"/>
  <c r="L79" i="11"/>
  <c r="L78" i="11" s="1"/>
  <c r="L48" i="11"/>
  <c r="L47" i="11" s="1"/>
  <c r="L135" i="11"/>
  <c r="L136" i="11"/>
  <c r="L56" i="11"/>
  <c r="L142" i="11" s="1"/>
  <c r="M65" i="11"/>
  <c r="M64" i="11" s="1"/>
  <c r="M121" i="11"/>
  <c r="M120" i="11" s="1"/>
  <c r="M135" i="11"/>
  <c r="M137" i="11"/>
  <c r="L150" i="11"/>
  <c r="M157" i="11"/>
  <c r="L27" i="11"/>
  <c r="L13" i="11" s="1"/>
  <c r="L12" i="11" s="1"/>
  <c r="L73" i="11"/>
  <c r="L143" i="11" s="1"/>
  <c r="N121" i="11"/>
  <c r="N120" i="11" s="1"/>
  <c r="N133" i="11"/>
  <c r="N164" i="11" s="1"/>
  <c r="M13" i="11"/>
  <c r="M12" i="11" s="1"/>
  <c r="L115" i="11"/>
  <c r="L114" i="11" s="1"/>
  <c r="M144" i="11"/>
  <c r="M153" i="11"/>
  <c r="L153" i="11" s="1"/>
  <c r="O157" i="11"/>
  <c r="O164" i="11" s="1"/>
  <c r="M30" i="11"/>
  <c r="M29" i="11" s="1"/>
  <c r="L33" i="11"/>
  <c r="L30" i="11" s="1"/>
  <c r="L29" i="11" s="1"/>
  <c r="N13" i="11"/>
  <c r="N12" i="11" s="1"/>
  <c r="L101" i="11"/>
  <c r="L156" i="11" s="1"/>
  <c r="O13" i="11"/>
  <c r="O12" i="11" s="1"/>
  <c r="O131" i="11" s="1"/>
  <c r="M70" i="11"/>
  <c r="M69" i="11" s="1"/>
  <c r="N86" i="11"/>
  <c r="N85" i="11" s="1"/>
  <c r="M134" i="11"/>
  <c r="M158" i="11"/>
  <c r="M48" i="11"/>
  <c r="M47" i="11" s="1"/>
  <c r="M79" i="11"/>
  <c r="M78" i="11" s="1"/>
  <c r="H135" i="11"/>
  <c r="H144" i="11"/>
  <c r="P144" i="11" s="1"/>
  <c r="H16" i="11"/>
  <c r="H136" i="11" s="1"/>
  <c r="H56" i="11"/>
  <c r="H48" i="11" s="1"/>
  <c r="H47" i="11" s="1"/>
  <c r="H81" i="11"/>
  <c r="H145" i="11" s="1"/>
  <c r="J105" i="11"/>
  <c r="J104" i="11" s="1"/>
  <c r="I121" i="11"/>
  <c r="I120" i="11" s="1"/>
  <c r="I137" i="11"/>
  <c r="J133" i="11"/>
  <c r="J157" i="11"/>
  <c r="H23" i="11"/>
  <c r="I30" i="11"/>
  <c r="I29" i="11" s="1"/>
  <c r="H106" i="11"/>
  <c r="H105" i="11" s="1"/>
  <c r="H104" i="11" s="1"/>
  <c r="K137" i="11"/>
  <c r="I144" i="11"/>
  <c r="H70" i="11"/>
  <c r="H69" i="11" s="1"/>
  <c r="J153" i="11"/>
  <c r="H153" i="11" s="1"/>
  <c r="J13" i="11"/>
  <c r="J12" i="11" s="1"/>
  <c r="K13" i="11"/>
  <c r="K12" i="11" s="1"/>
  <c r="K131" i="11" s="1"/>
  <c r="I70" i="11"/>
  <c r="I69" i="11" s="1"/>
  <c r="I134" i="11"/>
  <c r="I158" i="11"/>
  <c r="I48" i="11"/>
  <c r="I47" i="11" s="1"/>
  <c r="I79" i="11"/>
  <c r="I78" i="11" s="1"/>
  <c r="P34" i="11"/>
  <c r="J131" i="11" l="1"/>
  <c r="Q144" i="11"/>
  <c r="H157" i="11"/>
  <c r="L137" i="11"/>
  <c r="Q159" i="11"/>
  <c r="H142" i="11"/>
  <c r="P142" i="11" s="1"/>
  <c r="H30" i="11"/>
  <c r="H29" i="11" s="1"/>
  <c r="H13" i="11"/>
  <c r="H12" i="11" s="1"/>
  <c r="K164" i="11"/>
  <c r="I164" i="11"/>
  <c r="J164" i="11"/>
  <c r="P148" i="11"/>
  <c r="I131" i="11"/>
  <c r="H121" i="11"/>
  <c r="H120" i="11" s="1"/>
  <c r="Q140" i="11"/>
  <c r="P140" i="11"/>
  <c r="Q156" i="11"/>
  <c r="P156" i="11"/>
  <c r="P150" i="11"/>
  <c r="Q150" i="11"/>
  <c r="N131" i="11"/>
  <c r="Q157" i="11"/>
  <c r="P157" i="11"/>
  <c r="P145" i="11"/>
  <c r="Q145" i="11"/>
  <c r="L70" i="11"/>
  <c r="L69" i="11" s="1"/>
  <c r="P143" i="11"/>
  <c r="Q143" i="11"/>
  <c r="Q142" i="11"/>
  <c r="M164" i="11"/>
  <c r="L164" i="11" s="1"/>
  <c r="L155" i="11"/>
  <c r="P153" i="11"/>
  <c r="Q153" i="11"/>
  <c r="M131" i="11"/>
  <c r="L86" i="11"/>
  <c r="L85" i="11" s="1"/>
  <c r="H138" i="11"/>
  <c r="P138" i="11" s="1"/>
  <c r="H79" i="11"/>
  <c r="H78" i="11" s="1"/>
  <c r="H131" i="11" s="1"/>
  <c r="H164" i="11" l="1"/>
  <c r="P164" i="11" s="1"/>
  <c r="Q138" i="11"/>
  <c r="L131" i="11"/>
  <c r="Q164" i="11"/>
  <c r="P155" i="11"/>
  <c r="Q155" i="11"/>
  <c r="Q128" i="11"/>
  <c r="Q129" i="11"/>
  <c r="P104" i="11"/>
  <c r="P103" i="11"/>
  <c r="P91" i="11"/>
  <c r="Q119" i="11"/>
  <c r="Q85" i="11"/>
  <c r="P79" i="11"/>
  <c r="Q72" i="11"/>
  <c r="Q66" i="11"/>
  <c r="Q65" i="11"/>
  <c r="Q63" i="11"/>
  <c r="Q58" i="11"/>
  <c r="Q55" i="11"/>
  <c r="Q54" i="11"/>
  <c r="Q45" i="11"/>
  <c r="Q39" i="11"/>
  <c r="Q37" i="11"/>
  <c r="Q33" i="11"/>
  <c r="P31" i="11"/>
  <c r="P29" i="11"/>
  <c r="P27" i="11"/>
  <c r="P14" i="11"/>
  <c r="Q14" i="11"/>
  <c r="P56" i="11" l="1"/>
  <c r="Q78" i="11"/>
  <c r="Q102" i="11"/>
  <c r="Q56" i="11"/>
  <c r="P75" i="11"/>
  <c r="P87" i="11"/>
  <c r="Q99" i="11"/>
  <c r="Q59" i="11"/>
  <c r="Q15" i="11"/>
  <c r="Q22" i="11"/>
  <c r="P110" i="11"/>
  <c r="P51" i="11"/>
  <c r="Q79" i="11"/>
  <c r="Q82" i="11"/>
  <c r="P99" i="11"/>
  <c r="Q87" i="11"/>
  <c r="Q104" i="11"/>
  <c r="P44" i="11"/>
  <c r="Q88" i="11"/>
  <c r="Q92" i="11"/>
  <c r="P133" i="11"/>
  <c r="Q126" i="11"/>
  <c r="Q38" i="11"/>
  <c r="P46" i="11"/>
  <c r="P60" i="11"/>
  <c r="P67" i="11"/>
  <c r="Q76" i="11"/>
  <c r="P89" i="11"/>
  <c r="Q93" i="11"/>
  <c r="P21" i="11"/>
  <c r="Q27" i="11"/>
  <c r="Q57" i="11"/>
  <c r="Q60" i="11"/>
  <c r="Q67" i="11"/>
  <c r="P127" i="11"/>
  <c r="P33" i="11"/>
  <c r="Q43" i="11"/>
  <c r="P85" i="11"/>
  <c r="P19" i="11"/>
  <c r="Q21" i="11"/>
  <c r="Q19" i="11"/>
  <c r="P58" i="11"/>
  <c r="P65" i="11"/>
  <c r="Q68" i="11"/>
  <c r="P72" i="11"/>
  <c r="Q130" i="11"/>
  <c r="P94" i="11"/>
  <c r="P136" i="11"/>
  <c r="Q31" i="11"/>
  <c r="Q51" i="11"/>
  <c r="P73" i="11"/>
  <c r="Q94" i="11"/>
  <c r="Q125" i="11"/>
  <c r="Q30" i="11"/>
  <c r="Q110" i="11"/>
  <c r="Q75" i="11"/>
  <c r="P82" i="11"/>
  <c r="P102" i="11"/>
  <c r="P105" i="11"/>
  <c r="Q127" i="11"/>
  <c r="Q77" i="11"/>
  <c r="P77" i="11"/>
  <c r="Q112" i="11"/>
  <c r="P135" i="11"/>
  <c r="Q81" i="11"/>
  <c r="P84" i="11"/>
  <c r="Q97" i="11"/>
  <c r="P97" i="11"/>
  <c r="P120" i="11"/>
  <c r="P63" i="11"/>
  <c r="Q16" i="11"/>
  <c r="Q26" i="11"/>
  <c r="P28" i="11"/>
  <c r="P42" i="11"/>
  <c r="Q44" i="11"/>
  <c r="Q46" i="11"/>
  <c r="P132" i="11"/>
  <c r="P74" i="11"/>
  <c r="P81" i="11"/>
  <c r="Q89" i="11"/>
  <c r="Q91" i="11"/>
  <c r="P93" i="11"/>
  <c r="Q107" i="11"/>
  <c r="P126" i="11"/>
  <c r="P129" i="11"/>
  <c r="Q134" i="11"/>
  <c r="P118" i="11"/>
  <c r="Q28" i="11"/>
  <c r="P39" i="11"/>
  <c r="P55" i="11"/>
  <c r="P57" i="11"/>
  <c r="P59" i="11"/>
  <c r="P66" i="11"/>
  <c r="P68" i="11"/>
  <c r="P71" i="11"/>
  <c r="Q74" i="11"/>
  <c r="P76" i="11"/>
  <c r="P112" i="11"/>
  <c r="Q118" i="11"/>
  <c r="Q120" i="11"/>
  <c r="Q18" i="11"/>
  <c r="P20" i="11"/>
  <c r="P32" i="11"/>
  <c r="P64" i="11"/>
  <c r="Q124" i="11"/>
  <c r="Q71" i="11"/>
  <c r="P78" i="11"/>
  <c r="P86" i="11"/>
  <c r="P119" i="11"/>
  <c r="P98" i="11"/>
  <c r="Q136" i="11"/>
  <c r="P125" i="11"/>
  <c r="P128" i="11"/>
  <c r="Q132" i="11"/>
  <c r="P26" i="11"/>
  <c r="P15" i="11"/>
  <c r="Q20" i="11"/>
  <c r="P22" i="11"/>
  <c r="Q32" i="11"/>
  <c r="Q34" i="11"/>
  <c r="P37" i="11"/>
  <c r="P43" i="11"/>
  <c r="P45" i="11"/>
  <c r="P80" i="11"/>
  <c r="Q86" i="11"/>
  <c r="P88" i="11"/>
  <c r="P90" i="11"/>
  <c r="P92" i="11"/>
  <c r="Q98" i="11"/>
  <c r="Q103" i="11"/>
  <c r="P106" i="11"/>
  <c r="Q135" i="11"/>
  <c r="P123" i="11"/>
  <c r="Q80" i="11"/>
  <c r="Q90" i="11"/>
  <c r="Q106" i="11"/>
  <c r="P108" i="11"/>
  <c r="P134" i="11"/>
  <c r="P16" i="11"/>
  <c r="P107" i="11"/>
  <c r="Q29" i="11"/>
  <c r="P54" i="11"/>
  <c r="Q133" i="11"/>
  <c r="Q108" i="11"/>
  <c r="Q25" i="11"/>
  <c r="P25" i="11"/>
  <c r="Q47" i="11"/>
  <c r="Q64" i="11"/>
  <c r="Q48" i="11"/>
  <c r="P48" i="11"/>
  <c r="P38" i="11"/>
  <c r="Q123" i="11"/>
  <c r="P40" i="11"/>
  <c r="Q40" i="11"/>
  <c r="Q42" i="11"/>
  <c r="P41" i="11"/>
  <c r="Q41" i="11"/>
  <c r="Q36" i="11" l="1"/>
  <c r="Q73" i="11"/>
  <c r="Q101" i="11"/>
  <c r="P47" i="11"/>
  <c r="Q111" i="11"/>
  <c r="Q105" i="11"/>
  <c r="P18" i="11"/>
  <c r="Q113" i="11"/>
  <c r="Q100" i="11"/>
  <c r="P30" i="11"/>
  <c r="P130" i="11"/>
  <c r="P124" i="11"/>
  <c r="P101" i="11"/>
  <c r="Q84" i="11"/>
  <c r="Q13" i="11"/>
  <c r="P13" i="11"/>
  <c r="Q83" i="11"/>
  <c r="P83" i="11"/>
  <c r="P113" i="11"/>
  <c r="Q122" i="11"/>
  <c r="P122" i="11"/>
  <c r="P96" i="11"/>
  <c r="P121" i="11"/>
  <c r="Q121" i="11"/>
  <c r="Q17" i="11"/>
  <c r="P17" i="11"/>
  <c r="Q96" i="11"/>
  <c r="P115" i="11"/>
  <c r="Q115" i="11"/>
  <c r="Q53" i="11"/>
  <c r="P53" i="11"/>
  <c r="Q117" i="11"/>
  <c r="P117" i="11"/>
  <c r="P100" i="11"/>
  <c r="P95" i="11"/>
  <c r="Q95" i="11"/>
  <c r="Q50" i="11"/>
  <c r="P50" i="11"/>
  <c r="P70" i="11"/>
  <c r="Q70" i="11"/>
  <c r="P24" i="11"/>
  <c r="Q24" i="11"/>
  <c r="P62" i="11"/>
  <c r="Q62" i="11"/>
  <c r="P36" i="11"/>
  <c r="Q114" i="11"/>
  <c r="P114" i="11"/>
  <c r="Q35" i="11"/>
  <c r="P35" i="11"/>
  <c r="P111" i="11" l="1"/>
  <c r="Q116" i="11"/>
  <c r="P116" i="11"/>
  <c r="Q137" i="11"/>
  <c r="P137" i="11"/>
  <c r="Q131" i="11"/>
  <c r="P131" i="11"/>
  <c r="Q69" i="11"/>
  <c r="P69" i="11"/>
  <c r="P49" i="11"/>
  <c r="Q49" i="11"/>
  <c r="P52" i="11"/>
  <c r="Q52" i="11"/>
  <c r="Q12" i="11"/>
  <c r="P12" i="11"/>
  <c r="Q23" i="11"/>
  <c r="P23" i="11"/>
  <c r="Q61" i="11"/>
  <c r="P61" i="11"/>
  <c r="Q109" i="11"/>
  <c r="P109" i="11"/>
</calcChain>
</file>

<file path=xl/sharedStrings.xml><?xml version="1.0" encoding="utf-8"?>
<sst xmlns="http://schemas.openxmlformats.org/spreadsheetml/2006/main" count="692" uniqueCount="340">
  <si>
    <t>до рішення Чорноморської міської ради</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</si>
  <si>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</si>
  <si>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</si>
  <si>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</si>
  <si>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</si>
  <si>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</si>
  <si>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міської програми</t>
  </si>
  <si>
    <t>Дата і номер документа, яким затверджено міську програму</t>
  </si>
  <si>
    <t xml:space="preserve">%  виконання </t>
  </si>
  <si>
    <t>Код регіональної програми</t>
  </si>
  <si>
    <t>Загальний фонд</t>
  </si>
  <si>
    <t>Спеціальний фонд</t>
  </si>
  <si>
    <t>відхилення, грн</t>
  </si>
  <si>
    <t>усього</t>
  </si>
  <si>
    <t>у тому числі бюджет розвитку</t>
  </si>
  <si>
    <t>0200000</t>
  </si>
  <si>
    <t>Виконавчий комітет Чорноморської міської ради  Одеського району Одеської області</t>
  </si>
  <si>
    <t>0210000</t>
  </si>
  <si>
    <t>0212010</t>
  </si>
  <si>
    <t>2010</t>
  </si>
  <si>
    <t>0731</t>
  </si>
  <si>
    <t>Багатопрофільна стаціонарна медична допомога населенню</t>
  </si>
  <si>
    <t>Міська програма "Здоров’я населення Чорноморської  міської територіальної громади на 2021 - 2025 роки"</t>
  </si>
  <si>
    <t>24.12.2020р.
№ 17-VIII 
(зі змінами)</t>
  </si>
  <si>
    <t>0212100</t>
  </si>
  <si>
    <t>2100</t>
  </si>
  <si>
    <t>0722</t>
  </si>
  <si>
    <t>Стоматологічна допомога населенню</t>
  </si>
  <si>
    <t>0212111</t>
  </si>
  <si>
    <t>0726</t>
  </si>
  <si>
    <t>Первинна медична допомога населенню, що надається центрами первинної медичної (медико-санітарної) допомоги</t>
  </si>
  <si>
    <t>0212152</t>
  </si>
  <si>
    <t>2152</t>
  </si>
  <si>
    <t>0763</t>
  </si>
  <si>
    <t>Інші програми та заходи у сфері охорони здоров’я</t>
  </si>
  <si>
    <t>0213242</t>
  </si>
  <si>
    <t>3242</t>
  </si>
  <si>
    <t>1090</t>
  </si>
  <si>
    <t>Інші заходи у сфері соціального захисту і соціального забезпечення</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</si>
  <si>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</si>
  <si>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24.12.2020р.
№ 16-VIII  
(зі змінами)</t>
  </si>
  <si>
    <t>0217640</t>
  </si>
  <si>
    <t>7640</t>
  </si>
  <si>
    <t>0470</t>
  </si>
  <si>
    <t>Заходи з енергозбереження</t>
  </si>
  <si>
    <t>0218220</t>
  </si>
  <si>
    <t>0380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</si>
  <si>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</si>
  <si>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</si>
  <si>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</si>
  <si>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0218230</t>
  </si>
  <si>
    <t>8230</t>
  </si>
  <si>
    <t>Інші заходи громадського порядку та безпеки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</si>
  <si>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</si>
  <si>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20.12.2022р. 
№ 279-VIII 
(зі змінами)</t>
  </si>
  <si>
    <t>0218240</t>
  </si>
  <si>
    <t>8240</t>
  </si>
  <si>
    <t>Заходи та роботи з територіальної оборони</t>
  </si>
  <si>
    <t>0600000</t>
  </si>
  <si>
    <t>Управління освіти Чорноморської міської ради  Одеського району Одеської області</t>
  </si>
  <si>
    <t>0610000</t>
  </si>
  <si>
    <t>0611010</t>
  </si>
  <si>
    <t>1010</t>
  </si>
  <si>
    <t>0910</t>
  </si>
  <si>
    <t>Надання дошкільної освіти</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</si>
  <si>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</si>
  <si>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(зі змінами)</t>
  </si>
  <si>
    <t>Міська цільова програма розвитку освіти міста Чорноморська на 2021-2025 роки</t>
  </si>
  <si>
    <t xml:space="preserve"> 30.03.2021р.
№ 25-VIII 
(зі змінами)</t>
  </si>
  <si>
    <t>0611021</t>
  </si>
  <si>
    <t>1021</t>
  </si>
  <si>
    <t>0921</t>
  </si>
  <si>
    <t>Надання загальної середньої освіти закладами загальної середньої освіти</t>
  </si>
  <si>
    <t>Міська цільова програма підтримки молодих педагогічних кадрів Чорноморської міської територіальної громади на 2022 - 2025 роки</t>
  </si>
  <si>
    <t>04.02.2022р.
№ 172-VIII</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</si>
  <si>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</si>
  <si>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12.07.2022р.
№222 
(зі змінами)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</si>
  <si>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</si>
  <si>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</si>
  <si>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</si>
  <si>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</si>
  <si>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</si>
  <si>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</si>
  <si>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</si>
  <si>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</si>
  <si>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Міська комплексна програма відпочинку та оздоровлення дітей на 2022-2025 роки</t>
  </si>
  <si>
    <t>04.02.2022р. 
№ 175-VIII 
(зі змінами)</t>
  </si>
  <si>
    <t>0613242</t>
  </si>
  <si>
    <t xml:space="preserve">Інші заходи у сфері соціального захисту і соціального забезпечення </t>
  </si>
  <si>
    <t>Міська програма соціального захисту ветеранів педагогічної праці</t>
  </si>
  <si>
    <t>09.01.2006р. 
№ 511-IV 
(зі змінами)</t>
  </si>
  <si>
    <t>0618110</t>
  </si>
  <si>
    <t>0320</t>
  </si>
  <si>
    <t>Заходи із запобігання та ліквідації надзвичайних ситуацій та наслідків стихійного лиха</t>
  </si>
  <si>
    <t>Міська цільова соціальна програма розвитку цивільного захисту Чорноморської міської територіальної громади на 2021-2025 роки</t>
  </si>
  <si>
    <t>30.03.2021р. 
№ 27-VIII 
(зі змінами)</t>
  </si>
  <si>
    <t>0800000</t>
  </si>
  <si>
    <t>Управління соціальної політики Чорноморської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</si>
  <si>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</si>
  <si>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</si>
  <si>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</si>
  <si>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</si>
  <si>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</si>
  <si>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 xml:space="preserve"> 24.12.2020р.
№ 15-VIII </t>
  </si>
  <si>
    <t>0813032</t>
  </si>
  <si>
    <t>3032</t>
  </si>
  <si>
    <t>Надання пільг окремим категоріям громадян з оплати послуг зв'язку</t>
  </si>
  <si>
    <t>0813121</t>
  </si>
  <si>
    <t>3121</t>
  </si>
  <si>
    <t xml:space="preserve">Утримання та забезпечення діяльності центрів соціальних служб </t>
  </si>
  <si>
    <t xml:space="preserve">Міська цільова програма "Молодь Чорноморська" на 2022-2025 роки </t>
  </si>
  <si>
    <t>04.02.2022р. 
№ 181-VIII
(зі змінами)</t>
  </si>
  <si>
    <t xml:space="preserve"> 24.12.2020р. 
№ 16-VIII 
(зі змінами)</t>
  </si>
  <si>
    <t>0813123</t>
  </si>
  <si>
    <t>3123</t>
  </si>
  <si>
    <t>Заходи державної політики з питань сім'ї</t>
  </si>
  <si>
    <t xml:space="preserve"> 24.12.2020р.
№ 16-VIII 
(зі змінами)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</si>
  <si>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</si>
  <si>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</si>
  <si>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</si>
  <si>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</si>
  <si>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</si>
  <si>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</si>
  <si>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</si>
  <si>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</si>
  <si>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</si>
  <si>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</si>
  <si>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0813230</t>
  </si>
  <si>
    <t>3230</t>
  </si>
  <si>
    <t>1070</t>
  </si>
  <si>
    <t>Видатки, пов'язані з наданням підтримки внутрішньо переміщеним та/або евакуйованим особам у зв'язку із введенням воєнного стану</t>
  </si>
  <si>
    <t>0813242</t>
  </si>
  <si>
    <t>24.12.2020р.
№ 15-VIII 
(зі змінами)</t>
  </si>
  <si>
    <t>0900000</t>
  </si>
  <si>
    <t/>
  </si>
  <si>
    <t>Служба у справах дітей Чорноморської мiської ради Одеського району Одеської областi</t>
  </si>
  <si>
    <t>0910000</t>
  </si>
  <si>
    <t>0913112</t>
  </si>
  <si>
    <t>3112</t>
  </si>
  <si>
    <t>Заходи державної політики з питань дітей та їх соціального захисту</t>
  </si>
  <si>
    <t>24.12.2020р.
№ 16-VIII 
(зі змінами)</t>
  </si>
  <si>
    <t>1000000</t>
  </si>
  <si>
    <t>Відділ культури Чорноморської міської ради Одеського району Одеської області</t>
  </si>
  <si>
    <t>1010000</t>
  </si>
  <si>
    <t>0180</t>
  </si>
  <si>
    <t>Міська цільова програма розвитку культури та мистецтва Чорноморської  міської  територіальної громади на  2022 – 2025 роки</t>
  </si>
  <si>
    <t>04.02.2022р. 
№ 180-VIIІ
(зі змінами)</t>
  </si>
  <si>
    <t>1011080</t>
  </si>
  <si>
    <t>1080</t>
  </si>
  <si>
    <t>0960</t>
  </si>
  <si>
    <t>Надання спеціалізованої освіти мистецькими школами</t>
  </si>
  <si>
    <t>1013140</t>
  </si>
  <si>
    <t>Міська цільова програма відпочинку та оздоровлення дітей на 2022-2025 роки</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</si>
  <si>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</si>
  <si>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</si>
  <si>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</si>
  <si>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</si>
  <si>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</si>
  <si>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</si>
  <si>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</si>
  <si>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</si>
  <si>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</si>
  <si>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</si>
  <si>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</si>
  <si>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</si>
  <si>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</si>
  <si>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</si>
  <si>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</si>
  <si>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1100000</t>
  </si>
  <si>
    <t>Відділ молоді та спорту Чорноморської міської ради Одеського району Одеської області</t>
  </si>
  <si>
    <t>1110000</t>
  </si>
  <si>
    <t>Міська цільова програма "Молодь Чорноморська" на 2022-2025 роки</t>
  </si>
  <si>
    <t>Міська цільова програма розвитку фізичної культури і спорту на території Чорноморської міської територіальної громади на 2022-2025 роки</t>
  </si>
  <si>
    <t>04.02.2022р. 
№ 182-VIII
(зі змінами)</t>
  </si>
  <si>
    <t>1113133</t>
  </si>
  <si>
    <t>3133</t>
  </si>
  <si>
    <t>Інші заходи та заклади молодіжної політики</t>
  </si>
  <si>
    <t>1115011</t>
  </si>
  <si>
    <t>5011</t>
  </si>
  <si>
    <t>0810</t>
  </si>
  <si>
    <t>Проведення навчально-тренувальних зборів і змагань з олімпійських видів спорту</t>
  </si>
  <si>
    <t>1115012</t>
  </si>
  <si>
    <t>5012</t>
  </si>
  <si>
    <t>Проведення навчально-тренувальних зборів і змагань з неолімпійських видів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</si>
  <si>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</si>
  <si>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</si>
  <si>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</si>
  <si>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1200000</t>
  </si>
  <si>
    <t>Відділ комунального господарства та благоустрою Чорноморської міської ради  Одеського району Одеської області</t>
  </si>
  <si>
    <t>1210000</t>
  </si>
  <si>
    <t>1213210</t>
  </si>
  <si>
    <t>3210</t>
  </si>
  <si>
    <t>1050</t>
  </si>
  <si>
    <t>Організація та проведення громадських робіт</t>
  </si>
  <si>
    <t>0610</t>
  </si>
  <si>
    <t>Експлуатація та технічне обслуговування житлового фонду</t>
  </si>
  <si>
    <t>1216015</t>
  </si>
  <si>
    <t>6015</t>
  </si>
  <si>
    <t>0620</t>
  </si>
  <si>
    <t>Забезпечення надійної та безперебійної експлуатації ліфтів</t>
  </si>
  <si>
    <t>Програма модернізації ліфтового господарства Чорноморської міської ради Одеського району Одеської області на 2019 - 2025 роки</t>
  </si>
  <si>
    <t>12.09.2019р. 
№ 485-VII
(зі змінами)</t>
  </si>
  <si>
    <t>1216017</t>
  </si>
  <si>
    <t>6017</t>
  </si>
  <si>
    <t>Інша діяльність, пов'язана з експлуатацією об'єктів житлово - комунального господарства</t>
  </si>
  <si>
    <t>1216030</t>
  </si>
  <si>
    <t>6030</t>
  </si>
  <si>
    <t>Організація благоустрою  населених пунктів</t>
  </si>
  <si>
    <t>1217461</t>
  </si>
  <si>
    <t>7461</t>
  </si>
  <si>
    <t>0456</t>
  </si>
  <si>
    <t>Утримання та розвиток автомобільних доріг та дорожньої інфраструктури за рахунок коштів місцевого бюджету</t>
  </si>
  <si>
    <t>1217691</t>
  </si>
  <si>
    <t>7691</t>
  </si>
  <si>
    <t>0490</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</si>
  <si>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</si>
  <si>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1217693</t>
  </si>
  <si>
    <t>7693</t>
  </si>
  <si>
    <t>Інші заходи, пов'язані в економічною діяльністю</t>
  </si>
  <si>
    <t xml:space="preserve">Міська цільова соціальна програма розвитку цивільного захисту Чорноморської міської територіальної громади на 2021-2025 роки </t>
  </si>
  <si>
    <t>1218240</t>
  </si>
  <si>
    <t>1500000</t>
  </si>
  <si>
    <t>1510000</t>
  </si>
  <si>
    <t>Будівництво об'єктів житлово-комунального господарства</t>
  </si>
  <si>
    <t>Реалізація інших заходів щодо соціально-економічного розвитку територій</t>
  </si>
  <si>
    <t>7370</t>
  </si>
  <si>
    <t>3100000</t>
  </si>
  <si>
    <t>Управління комунальної  власності  та земельних відносин Чорноморської міської ради Одеського району Одеської області</t>
  </si>
  <si>
    <t>3110000</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</si>
  <si>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</si>
  <si>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19.05.2023р.
№ 368-VIII</t>
  </si>
  <si>
    <t>3117693</t>
  </si>
  <si>
    <t>3118240</t>
  </si>
  <si>
    <t>3700000</t>
  </si>
  <si>
    <t>Фінансове управління Чорноморської міської ради Одеського району Одеської області</t>
  </si>
  <si>
    <t>3710000</t>
  </si>
  <si>
    <t>Інші субвенції з місцевого бюджету</t>
  </si>
  <si>
    <t>Субвенція з місцевого бюджету державному бюджету на виконання програм соціально-економічного розвитку регіонів</t>
  </si>
  <si>
    <t>УСЬОГО за розпорядниками</t>
  </si>
  <si>
    <t>09.01.2006р. 
№ 511-IV
(зі змінами)</t>
  </si>
  <si>
    <t>04.02.2022р. 
№ 172-VIII</t>
  </si>
  <si>
    <t>УСЬОГО ЗА ПРОГРАМАМИ</t>
  </si>
  <si>
    <t>Начальник фінансового управління</t>
  </si>
  <si>
    <t>Ольга ЯКОВЕНКО</t>
  </si>
  <si>
    <t>Затверджено розписом на звітний рік з урахуванням змін, грн</t>
  </si>
  <si>
    <t>Разом</t>
  </si>
  <si>
    <t>Виконано за звітний період, грн</t>
  </si>
  <si>
    <t>Додаток 6</t>
  </si>
  <si>
    <t>Звіт про виконання Міських програм за  1  квартал  2025  року</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</si>
  <si>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</si>
  <si>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23.12.2024р.
№ 746-VIII</t>
  </si>
  <si>
    <t>0216030</t>
  </si>
  <si>
    <t>Міська цільова програма розвитку житлово-комунального господарства Чорноморської міської територіальної громади на 2025-2027 роки</t>
  </si>
  <si>
    <t>23.12.2024р.
№ 741-VIII
(зі змінами)</t>
  </si>
  <si>
    <t>0217520</t>
  </si>
  <si>
    <t>7520</t>
  </si>
  <si>
    <t>0460</t>
  </si>
  <si>
    <t>Реалізація Національної програми інформатизації</t>
  </si>
  <si>
    <t xml:space="preserve">Міська цільова програма інформатизації Чорноморської міської ради Одеської області на 2024-2026 роки </t>
  </si>
  <si>
    <t>08.08.2024р.
 №649-VIII
(зі змінами)</t>
  </si>
  <si>
    <t>0218110</t>
  </si>
  <si>
    <t>8110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</si>
  <si>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</si>
  <si>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23.12.2024р.
№ 737-VIII
(зі змінами)</t>
  </si>
  <si>
    <t>0218340</t>
  </si>
  <si>
    <t>8340</t>
  </si>
  <si>
    <t>0540</t>
  </si>
  <si>
    <t>Природоохоронні заходи за рахунок цільових фондів</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</si>
  <si>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</si>
  <si>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12.04.2024р.
 №562-VIII
(зі змінами)</t>
  </si>
  <si>
    <t>0611070</t>
  </si>
  <si>
    <t>Надання позашкільної освіти закладами позашкільної освіти, заходи із позашкільної роботи з дітьми</t>
  </si>
  <si>
    <t>0611151</t>
  </si>
  <si>
    <t>1151</t>
  </si>
  <si>
    <t>0990</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</si>
  <si>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</si>
  <si>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</si>
  <si>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</si>
  <si>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</si>
  <si>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</si>
  <si>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</si>
  <si>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</si>
  <si>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0615031</t>
  </si>
  <si>
    <t>5031</t>
  </si>
  <si>
    <t>Розвиток здібностей у дітей та молоді з фізичної культури та спорту комунальними дитячо-юнацькими спортивними школами</t>
  </si>
  <si>
    <t>0617520</t>
  </si>
  <si>
    <t>0813140</t>
  </si>
  <si>
    <t>0817520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</si>
  <si>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</si>
  <si>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 xml:space="preserve">23.12.2024р.  
№ 735-VIII </t>
  </si>
  <si>
    <t>0917520</t>
  </si>
  <si>
    <t>1017520</t>
  </si>
  <si>
    <t>1117520</t>
  </si>
  <si>
    <t xml:space="preserve">Міська цільова програма зайнятості населення Чорноморської міської територіальної громади на 2024 - 2025 роки </t>
  </si>
  <si>
    <t>22.12.2023р. 
№ 517-VIII</t>
  </si>
  <si>
    <t>1216011</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</si>
  <si>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</si>
  <si>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31.01.2023р. 
№ 295-VIII
(зі змінами)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</si>
  <si>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</si>
  <si>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</si>
  <si>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0640</t>
  </si>
  <si>
    <t>1216093</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</si>
  <si>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</si>
  <si>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</si>
  <si>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1217520</t>
  </si>
  <si>
    <t>1217670</t>
  </si>
  <si>
    <t>7670</t>
  </si>
  <si>
    <t>Внески до статутного капіталу суб'єктів господарювання</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</si>
  <si>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</si>
  <si>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23.12.2024р.
№ 740-VIII
(зі змінами)</t>
  </si>
  <si>
    <t>Управлiння капiтального будiвництва Чорноморської мiської ради Одеського району Одеської областi</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</si>
  <si>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</si>
  <si>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</si>
  <si>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</si>
  <si>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</si>
  <si>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</si>
  <si>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</si>
  <si>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6091</t>
  </si>
  <si>
    <t>7368</t>
  </si>
  <si>
    <t>Виконання інвестиційних проектів за рахунок субвенцій з інших бюджетів</t>
  </si>
  <si>
    <t>1518110</t>
  </si>
  <si>
    <t>3116090</t>
  </si>
  <si>
    <t>Інша діяльність у сфері житлово-комунального господарства</t>
  </si>
  <si>
    <t>від 19.05.2023р.
№ 368-VIII</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</si>
  <si>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</si>
  <si>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08.08.2024р.
 №649-VIII</t>
  </si>
  <si>
    <t>Міська цільова програма фінансової підтримки діяльності  Одеської районної ради Одеської області на 2025 рік</t>
  </si>
  <si>
    <t>23.12.2024р.
№ 750-VIII</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</si>
  <si>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</si>
  <si>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23.12.2024р.
№ 749-VIII</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</si>
  <si>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</si>
  <si>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Міська цільова програма протидії злочинності на території Чорноморської міської територіальної громади на 2025 рік</t>
  </si>
  <si>
    <t>28.01.2025р.
№ 772-VIII</t>
  </si>
  <si>
    <t>Міська цільова програма підтримки Територіального управління Державного бюро розслідувань, розташованого у місті Миколаєві, на 2025 рік</t>
  </si>
  <si>
    <t>28.02.2025р.</t>
  </si>
  <si>
    <t>Міська цільова програма "Поліцейський офіцер громади" Чорноморської міської територіальної громади на 2025 рік</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</si>
  <si>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</si>
  <si>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</si>
  <si>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фінансової підтримки діяльності Одеської районної ради Одеської області на 2025 рік</t>
  </si>
  <si>
    <t>від  23.05.  2025 № 839  - VIIІ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</si>
</sst>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charset val="204"/>
      <scheme val="minor"/>
    </font>
    <font>
      <b/>
      <sz val="12"/>
      <color theme="1"/>
      <name val="Times New Roman"/>
      <family val="1"/>
      <charset val="204"/>
    </font>
    <font>
      <sz val="12"/>
      <color theme="1"/>
      <name val="Times New Roman"/>
      <family val="1"/>
      <charset val="204"/>
    </font>
    <font>
      <sz val="14"/>
      <color theme="1"/>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b/>
      <sz val="14"/>
      <name val="Times New Roman"/>
      <family val="1"/>
      <charset val="204"/>
    </font>
    <font>
      <u/>
      <sz val="14"/>
      <name val="Times New Roman"/>
      <family val="1"/>
      <charset val="204"/>
    </font>
    <font>
      <sz val="12"/>
      <name val="Times New Roman"/>
      <family val="1"/>
      <charset val="204"/>
    </font>
    <font>
      <b/>
      <sz val="12"/>
      <name val="Times New Roman"/>
      <family val="1"/>
      <charset val="204"/>
    </font>
    <font>
      <sz val="10"/>
      <name val="Times New Roman"/>
      <family val="1"/>
      <charset val="204"/>
    </font>
    <font>
      <b/>
      <sz val="10"/>
      <name val="Times New Roman"/>
      <family val="1"/>
      <charset val="204"/>
    </font>
    <font>
      <sz val="10"/>
      <color theme="1"/>
      <name val="Times New Roman"/>
      <family val="1"/>
      <charset val="204"/>
    </font>
    <font>
      <b/>
      <sz val="10"/>
      <color theme="1"/>
      <name val="Times New Roman"/>
      <family val="1"/>
      <charset val="204"/>
    </font>
    <font>
      <sz val="12"/>
      <color indexed="8"/>
      <name val="Times New Roman"/>
      <family val="1"/>
      <charset val="204"/>
    </font>
    <font>
      <sz val="11"/>
      <name val="Calibri"/>
      <family val="2"/>
      <charset val="204"/>
      <scheme val="minor"/>
    </font>
    <font>
      <u/>
      <sz val="10"/>
      <color indexed="12"/>
      <name val="Arial Cyr"/>
      <charset val="204"/>
    </font>
    <font>
      <sz val="10"/>
      <name val="Arial Cyr"/>
      <charset val="204"/>
    </font>
    <font>
      <sz val="10"/>
      <color theme="1"/>
      <name val="Calibri"/>
      <family val="2"/>
      <charset val="204"/>
      <scheme val="minor"/>
    </font>
    <font>
      <sz val="11"/>
      <color indexed="8"/>
      <name val="Calibri"/>
      <family val="2"/>
      <charset val="204"/>
    </font>
    <font>
      <sz val="12"/>
      <color theme="1"/>
      <name val="Times New Roman"/>
      <family val="1"/>
      <charset val="204"/>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17" fillId="0" borderId="0" applyNumberFormat="0" applyFill="0" applyBorder="0" applyAlignment="0" applyProtection="0">
      <alignment vertical="top"/>
      <protection locked="0"/>
    </xf>
    <xf numFmtId="0" fontId="11" fillId="0" borderId="0"/>
    <xf numFmtId="0" fontId="18" fillId="0" borderId="0"/>
    <xf numFmtId="0" fontId="11" fillId="0" borderId="0"/>
    <xf numFmtId="0" fontId="11" fillId="0" borderId="0"/>
    <xf numFmtId="0" fontId="19" fillId="0" borderId="0"/>
    <xf numFmtId="0" fontId="20" fillId="0" borderId="0"/>
  </cellStyleXfs>
  <cellXfs count="132">
    <xf numFmtId="0" fontId="0" fillId="0" borderId="0" xfId="0"/>
    <xf numFmtId="0" fontId="0" fillId="2" borderId="0" xfId="0" applyFill="1" applyAlignment="1">
      <alignment horizontal="center" vertical="center"/>
    </xf>
    <xf numFmtId="0" fontId="2" fillId="2" borderId="0" xfId="0" applyFont="1" applyFill="1"/>
    <xf numFmtId="0" fontId="2" fillId="2" borderId="0" xfId="0" applyFont="1" applyFill="1" applyAlignment="1">
      <alignment vertical="center"/>
    </xf>
    <xf numFmtId="0" fontId="5" fillId="2" borderId="0" xfId="0" applyFont="1" applyFill="1"/>
    <xf numFmtId="0" fontId="6" fillId="2" borderId="0" xfId="0" applyFont="1" applyFill="1"/>
    <xf numFmtId="0" fontId="0" fillId="2" borderId="0" xfId="0" applyFill="1" applyAlignment="1">
      <alignment horizontal="center"/>
    </xf>
    <xf numFmtId="0" fontId="0" fillId="2" borderId="0" xfId="0" applyFill="1"/>
    <xf numFmtId="0" fontId="0" fillId="2" borderId="0" xfId="0" applyFill="1" applyAlignment="1">
      <alignment horizontal="left"/>
    </xf>
    <xf numFmtId="0" fontId="9" fillId="2" borderId="0" xfId="0" applyFont="1" applyFill="1" applyAlignment="1">
      <alignment horizontal="center"/>
    </xf>
    <xf numFmtId="0" fontId="9" fillId="2" borderId="0" xfId="0" applyFont="1" applyFill="1"/>
    <xf numFmtId="0" fontId="10" fillId="2" borderId="0" xfId="0" applyFont="1" applyFill="1"/>
    <xf numFmtId="0" fontId="9" fillId="2" borderId="0" xfId="0" applyFont="1" applyFill="1" applyAlignment="1">
      <alignment horizontal="left"/>
    </xf>
    <xf numFmtId="0" fontId="9" fillId="2" borderId="0" xfId="0" applyFont="1" applyFill="1" applyAlignment="1">
      <alignment horizontal="center" vertical="center"/>
    </xf>
    <xf numFmtId="0" fontId="11" fillId="2" borderId="0" xfId="0" applyFont="1" applyFill="1" applyAlignment="1">
      <alignment horizontal="center"/>
    </xf>
    <xf numFmtId="0" fontId="11" fillId="2" borderId="0" xfId="0" applyFont="1" applyFill="1" applyAlignment="1">
      <alignment horizontal="center" vertical="center"/>
    </xf>
    <xf numFmtId="0" fontId="11" fillId="2" borderId="0" xfId="0" applyFont="1" applyFill="1"/>
    <xf numFmtId="0" fontId="12" fillId="2" borderId="0" xfId="0" applyFont="1" applyFill="1"/>
    <xf numFmtId="0" fontId="11" fillId="2" borderId="0" xfId="0" applyFont="1" applyFill="1" applyAlignment="1">
      <alignment horizontal="left"/>
    </xf>
    <xf numFmtId="0" fontId="12" fillId="2" borderId="0" xfId="2" applyFont="1" applyFill="1" applyAlignment="1">
      <alignment horizontal="center"/>
    </xf>
    <xf numFmtId="0" fontId="11" fillId="2" borderId="0" xfId="2" applyFill="1" applyAlignment="1">
      <alignment horizontal="center" vertical="center"/>
    </xf>
    <xf numFmtId="0" fontId="11" fillId="2" borderId="0" xfId="2" applyFill="1" applyAlignment="1">
      <alignment horizontal="center"/>
    </xf>
    <xf numFmtId="0" fontId="12" fillId="2" borderId="0" xfId="2" applyFont="1" applyFill="1" applyAlignment="1">
      <alignment horizontal="center" vertical="center"/>
    </xf>
    <xf numFmtId="0" fontId="11" fillId="2" borderId="0" xfId="2" applyFill="1" applyAlignment="1">
      <alignment horizontal="left" vertical="center"/>
    </xf>
    <xf numFmtId="3" fontId="11" fillId="2" borderId="0" xfId="2" applyNumberFormat="1" applyFill="1" applyAlignment="1">
      <alignment horizontal="center" vertical="center"/>
    </xf>
    <xf numFmtId="0" fontId="14" fillId="2" borderId="1" xfId="2" applyFont="1" applyFill="1" applyBorder="1" applyAlignment="1">
      <alignment vertical="center" wrapText="1"/>
    </xf>
    <xf numFmtId="49" fontId="1" fillId="2" borderId="8" xfId="5" applyNumberFormat="1" applyFont="1" applyFill="1" applyBorder="1" applyAlignment="1">
      <alignment horizontal="center" vertical="center" wrapText="1"/>
    </xf>
    <xf numFmtId="0" fontId="1" fillId="2" borderId="8" xfId="5" applyFont="1" applyFill="1" applyBorder="1" applyAlignment="1">
      <alignment horizontal="center" vertical="center" wrapText="1"/>
    </xf>
    <xf numFmtId="49" fontId="10" fillId="2" borderId="8" xfId="0" applyNumberFormat="1" applyFont="1" applyFill="1" applyBorder="1" applyAlignment="1">
      <alignment horizontal="center" vertical="center"/>
    </xf>
    <xf numFmtId="0" fontId="2" fillId="2" borderId="8"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16" fillId="2" borderId="0" xfId="0" applyFont="1" applyFill="1"/>
    <xf numFmtId="0" fontId="2" fillId="2" borderId="0" xfId="2" applyFont="1" applyFill="1" applyAlignment="1">
      <alignment vertical="center"/>
    </xf>
    <xf numFmtId="3" fontId="13" fillId="2" borderId="0" xfId="2" applyNumberFormat="1" applyFont="1" applyFill="1" applyAlignment="1">
      <alignment horizontal="center" vertical="center"/>
    </xf>
    <xf numFmtId="3" fontId="13" fillId="2" borderId="8" xfId="2" applyNumberFormat="1"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8" xfId="0" applyFont="1" applyFill="1" applyBorder="1" applyAlignment="1">
      <alignment vertical="center"/>
    </xf>
    <xf numFmtId="4" fontId="2" fillId="2" borderId="8" xfId="0" applyNumberFormat="1" applyFont="1" applyFill="1" applyBorder="1" applyAlignment="1">
      <alignment vertical="center"/>
    </xf>
    <xf numFmtId="0" fontId="2" fillId="2" borderId="5"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0" xfId="0" applyFont="1" applyFill="1" applyAlignment="1">
      <alignment vertical="center" wrapText="1"/>
    </xf>
    <xf numFmtId="0" fontId="2" fillId="2" borderId="8" xfId="0" quotePrefix="1" applyFont="1" applyFill="1" applyBorder="1" applyAlignment="1">
      <alignment vertical="center" wrapText="1"/>
    </xf>
    <xf numFmtId="49" fontId="9" fillId="2" borderId="8" xfId="0" applyNumberFormat="1" applyFont="1" applyFill="1" applyBorder="1" applyAlignment="1">
      <alignment horizontal="center" vertical="center"/>
    </xf>
    <xf numFmtId="0" fontId="9" fillId="2" borderId="8" xfId="2" applyFont="1" applyFill="1" applyBorder="1" applyAlignment="1">
      <alignment vertical="center" wrapText="1"/>
    </xf>
    <xf numFmtId="0" fontId="9" fillId="2" borderId="8" xfId="7" applyFont="1" applyFill="1" applyBorder="1" applyAlignment="1">
      <alignment vertical="center" wrapText="1"/>
    </xf>
    <xf numFmtId="0" fontId="2" fillId="2" borderId="3" xfId="0" applyFont="1" applyFill="1" applyBorder="1" applyAlignment="1">
      <alignment horizontal="left" vertical="center" wrapText="1"/>
    </xf>
    <xf numFmtId="49" fontId="2" fillId="2" borderId="8"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9" fillId="2" borderId="8" xfId="0" applyFont="1" applyFill="1" applyBorder="1" applyAlignment="1">
      <alignment horizontal="center" vertical="center" wrapText="1"/>
    </xf>
    <xf numFmtId="0" fontId="2" fillId="2" borderId="8" xfId="0" quotePrefix="1" applyFont="1" applyFill="1" applyBorder="1" applyAlignment="1">
      <alignment horizontal="center" vertical="center" wrapText="1"/>
    </xf>
    <xf numFmtId="0" fontId="1" fillId="2" borderId="0" xfId="0" applyFont="1" applyFill="1" applyAlignment="1">
      <alignment vertical="center"/>
    </xf>
    <xf numFmtId="4" fontId="2" fillId="2" borderId="0" xfId="0" applyNumberFormat="1"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22" fillId="2" borderId="0" xfId="0" applyFont="1" applyFill="1" applyAlignment="1">
      <alignment vertical="center"/>
    </xf>
    <xf numFmtId="3" fontId="21" fillId="2" borderId="8" xfId="0" applyNumberFormat="1" applyFont="1" applyFill="1" applyBorder="1" applyAlignment="1">
      <alignment horizontal="center" vertical="center"/>
    </xf>
    <xf numFmtId="3" fontId="1" fillId="2" borderId="8" xfId="0" applyNumberFormat="1" applyFont="1" applyFill="1" applyBorder="1" applyAlignment="1">
      <alignment horizontal="center" vertical="center"/>
    </xf>
    <xf numFmtId="0" fontId="2" fillId="2" borderId="10" xfId="0" applyFont="1" applyFill="1" applyBorder="1" applyAlignment="1">
      <alignment vertical="center" wrapText="1"/>
    </xf>
    <xf numFmtId="3" fontId="2" fillId="2" borderId="8" xfId="0"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5" xfId="0" applyFont="1" applyFill="1" applyBorder="1" applyAlignment="1">
      <alignment vertical="center"/>
    </xf>
    <xf numFmtId="0" fontId="2" fillId="2" borderId="5" xfId="0" applyFont="1" applyFill="1" applyBorder="1" applyAlignment="1">
      <alignment vertical="center" wrapText="1"/>
    </xf>
    <xf numFmtId="0" fontId="2" fillId="2" borderId="3" xfId="0" applyFont="1" applyFill="1" applyBorder="1" applyAlignment="1">
      <alignment horizontal="center" vertical="center"/>
    </xf>
    <xf numFmtId="0" fontId="2" fillId="2" borderId="0" xfId="0" applyFont="1" applyFill="1" applyAlignment="1">
      <alignment horizontal="center" vertical="center"/>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2" borderId="0" xfId="0" applyFont="1" applyFill="1" applyAlignment="1">
      <alignment horizontal="center"/>
    </xf>
    <xf numFmtId="0" fontId="1" fillId="2" borderId="8" xfId="0" applyFont="1" applyFill="1" applyBorder="1" applyAlignment="1">
      <alignment horizontal="center" vertical="center"/>
    </xf>
    <xf numFmtId="0" fontId="9" fillId="2" borderId="8" xfId="0" applyFont="1" applyFill="1" applyBorder="1" applyAlignment="1">
      <alignment vertical="center" wrapText="1"/>
    </xf>
    <xf numFmtId="49" fontId="2" fillId="2" borderId="8" xfId="5" applyNumberFormat="1" applyFont="1" applyFill="1" applyBorder="1" applyAlignment="1">
      <alignment horizontal="center" vertical="center" wrapText="1"/>
    </xf>
    <xf numFmtId="0" fontId="9" fillId="2" borderId="8" xfId="0" applyFont="1" applyFill="1" applyBorder="1" applyAlignment="1">
      <alignment vertical="top" wrapText="1"/>
    </xf>
    <xf numFmtId="0" fontId="15" fillId="2" borderId="8" xfId="0" applyFont="1" applyFill="1" applyBorder="1" applyAlignment="1">
      <alignment vertical="center" wrapText="1"/>
    </xf>
    <xf numFmtId="0" fontId="9" fillId="2" borderId="8" xfId="0" quotePrefix="1" applyFont="1" applyFill="1" applyBorder="1" applyAlignment="1">
      <alignment vertical="center" wrapText="1"/>
    </xf>
    <xf numFmtId="0" fontId="2" fillId="2" borderId="3" xfId="0" quotePrefix="1" applyFont="1" applyFill="1" applyBorder="1" applyAlignment="1">
      <alignment vertical="center" wrapText="1"/>
    </xf>
    <xf numFmtId="0" fontId="9" fillId="2" borderId="3" xfId="2" applyFont="1" applyFill="1" applyBorder="1" applyAlignment="1">
      <alignment vertical="center" wrapText="1"/>
    </xf>
    <xf numFmtId="0" fontId="2" fillId="2" borderId="3" xfId="0" applyFont="1" applyFill="1" applyBorder="1" applyAlignment="1">
      <alignment vertical="center" wrapText="1"/>
    </xf>
    <xf numFmtId="0" fontId="9" fillId="2" borderId="3" xfId="7" applyFont="1" applyFill="1" applyBorder="1" applyAlignment="1">
      <alignment vertical="center" wrapText="1"/>
    </xf>
    <xf numFmtId="0" fontId="2" fillId="2" borderId="5" xfId="0" quotePrefix="1" applyFont="1" applyFill="1" applyBorder="1" applyAlignment="1">
      <alignment vertical="center" wrapText="1"/>
    </xf>
    <xf numFmtId="0" fontId="9" fillId="2" borderId="5" xfId="7" applyFont="1" applyFill="1" applyBorder="1" applyAlignment="1">
      <alignment vertical="center" wrapText="1"/>
    </xf>
    <xf numFmtId="0" fontId="2" fillId="2" borderId="10" xfId="0" quotePrefix="1" applyFont="1" applyFill="1" applyBorder="1" applyAlignment="1">
      <alignment vertical="center" wrapText="1"/>
    </xf>
    <xf numFmtId="0" fontId="9" fillId="2" borderId="1" xfId="0" applyFont="1" applyFill="1" applyBorder="1" applyAlignment="1">
      <alignment vertical="center" wrapText="1"/>
    </xf>
    <xf numFmtId="0" fontId="9" fillId="2" borderId="2" xfId="7" applyFont="1" applyFill="1" applyBorder="1" applyAlignment="1">
      <alignment vertical="center" wrapText="1"/>
    </xf>
    <xf numFmtId="0" fontId="9" fillId="2" borderId="8" xfId="0" applyFont="1" applyFill="1" applyBorder="1" applyAlignment="1">
      <alignment vertical="center"/>
    </xf>
    <xf numFmtId="3" fontId="2" fillId="2" borderId="10"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3" fontId="4" fillId="2" borderId="8" xfId="0" applyNumberFormat="1" applyFont="1" applyFill="1" applyBorder="1" applyAlignment="1">
      <alignment horizontal="center" vertical="center"/>
    </xf>
    <xf numFmtId="0" fontId="10" fillId="2" borderId="3" xfId="7" applyFont="1" applyFill="1" applyBorder="1" applyAlignment="1">
      <alignment horizontal="center" vertical="center" wrapText="1"/>
    </xf>
    <xf numFmtId="0" fontId="10" fillId="2" borderId="9" xfId="7" applyFont="1" applyFill="1" applyBorder="1" applyAlignment="1">
      <alignment horizontal="center" vertical="center" wrapText="1"/>
    </xf>
    <xf numFmtId="0" fontId="10" fillId="2" borderId="10" xfId="7" applyFont="1" applyFill="1" applyBorder="1" applyAlignment="1">
      <alignment horizontal="center" vertical="center" wrapText="1"/>
    </xf>
    <xf numFmtId="0" fontId="1" fillId="2" borderId="8" xfId="0" applyFont="1" applyFill="1" applyBorder="1" applyAlignment="1">
      <alignment horizontal="center" vertical="center"/>
    </xf>
    <xf numFmtId="0" fontId="4" fillId="2" borderId="8" xfId="0" applyFont="1" applyFill="1" applyBorder="1" applyAlignment="1">
      <alignment horizontal="center" vertical="center"/>
    </xf>
    <xf numFmtId="0" fontId="1" fillId="2" borderId="3" xfId="0" quotePrefix="1" applyFont="1" applyFill="1" applyBorder="1" applyAlignment="1">
      <alignment horizontal="center" vertical="center" wrapText="1"/>
    </xf>
    <xf numFmtId="0" fontId="1" fillId="2" borderId="9" xfId="0" quotePrefix="1" applyFont="1" applyFill="1" applyBorder="1" applyAlignment="1">
      <alignment horizontal="center" vertical="center" wrapText="1"/>
    </xf>
    <xf numFmtId="0" fontId="1" fillId="2" borderId="10" xfId="0" quotePrefix="1" applyFont="1" applyFill="1" applyBorder="1" applyAlignment="1">
      <alignment horizontal="center" vertical="center" wrapText="1"/>
    </xf>
    <xf numFmtId="0" fontId="13" fillId="2" borderId="1" xfId="2" applyFont="1" applyFill="1" applyBorder="1" applyAlignment="1">
      <alignment horizontal="center" wrapText="1"/>
    </xf>
    <xf numFmtId="0" fontId="13" fillId="2" borderId="4" xfId="2" applyFont="1" applyFill="1" applyBorder="1" applyAlignment="1">
      <alignment horizontal="center" wrapText="1"/>
    </xf>
    <xf numFmtId="0" fontId="13" fillId="2" borderId="5" xfId="2" applyFont="1" applyFill="1" applyBorder="1" applyAlignment="1">
      <alignment horizontal="center" wrapText="1"/>
    </xf>
    <xf numFmtId="0" fontId="13" fillId="2" borderId="1"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13" fillId="2" borderId="7" xfId="2" applyFont="1" applyFill="1" applyBorder="1" applyAlignment="1">
      <alignment horizontal="center" vertical="center" wrapText="1"/>
    </xf>
    <xf numFmtId="0" fontId="1" fillId="2" borderId="3" xfId="5" applyFont="1" applyFill="1" applyBorder="1" applyAlignment="1">
      <alignment horizontal="center" vertical="center" wrapText="1"/>
    </xf>
    <xf numFmtId="0" fontId="1" fillId="2" borderId="9" xfId="5" applyFont="1" applyFill="1" applyBorder="1" applyAlignment="1">
      <alignment horizontal="center" vertical="center" wrapText="1"/>
    </xf>
    <xf numFmtId="0" fontId="1" fillId="2" borderId="10" xfId="5" applyFont="1" applyFill="1" applyBorder="1" applyAlignment="1">
      <alignment horizontal="center" vertical="center" wrapText="1"/>
    </xf>
    <xf numFmtId="0" fontId="13" fillId="2" borderId="3" xfId="2" applyFont="1" applyFill="1" applyBorder="1" applyAlignment="1">
      <alignment horizontal="center" vertical="center" wrapText="1"/>
    </xf>
    <xf numFmtId="0" fontId="13" fillId="2" borderId="9"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3" fillId="2" borderId="3" xfId="0" applyFont="1" applyFill="1" applyBorder="1" applyAlignment="1">
      <alignment horizontal="center"/>
    </xf>
    <xf numFmtId="0" fontId="13" fillId="2" borderId="10" xfId="0" applyFont="1" applyFill="1" applyBorder="1" applyAlignment="1">
      <alignment horizontal="center"/>
    </xf>
    <xf numFmtId="3" fontId="13" fillId="2" borderId="3" xfId="2" applyNumberFormat="1" applyFont="1" applyFill="1" applyBorder="1" applyAlignment="1">
      <alignment horizontal="center" vertical="center" wrapText="1"/>
    </xf>
    <xf numFmtId="3" fontId="13" fillId="2" borderId="10" xfId="2" applyNumberFormat="1" applyFont="1" applyFill="1" applyBorder="1" applyAlignment="1">
      <alignment horizontal="center" vertical="center" wrapText="1"/>
    </xf>
    <xf numFmtId="3" fontId="13" fillId="2" borderId="1" xfId="2" applyNumberFormat="1" applyFont="1" applyFill="1" applyBorder="1" applyAlignment="1">
      <alignment horizontal="center" vertical="center" wrapText="1"/>
    </xf>
    <xf numFmtId="3" fontId="13" fillId="2" borderId="5" xfId="2"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0" fontId="2" fillId="2" borderId="0" xfId="0" applyFont="1" applyFill="1" applyAlignment="1">
      <alignment horizontal="left" vertical="center"/>
    </xf>
    <xf numFmtId="0" fontId="2" fillId="2" borderId="0" xfId="2" applyFont="1" applyFill="1" applyAlignment="1">
      <alignment horizontal="left" vertical="center"/>
    </xf>
    <xf numFmtId="0" fontId="7" fillId="2" borderId="0" xfId="2" applyFont="1" applyFill="1" applyAlignment="1">
      <alignment horizontal="center" vertical="center" wrapText="1"/>
    </xf>
    <xf numFmtId="0" fontId="8" fillId="2" borderId="0" xfId="1" applyFont="1" applyFill="1" applyAlignment="1" applyProtection="1">
      <alignment horizontal="left"/>
    </xf>
  </cellXfs>
  <cellStyles count="8">
    <cellStyle name="Гіперпосилання" xfId="1" builtinId="8"/>
    <cellStyle name="Звичайний" xfId="0" builtinId="0"/>
    <cellStyle name="Обычный 11 2" xfId="5" xr:uid="{00000000-0005-0000-0000-000002000000}"/>
    <cellStyle name="Обычный 17 5 6" xfId="6" xr:uid="{00000000-0005-0000-0000-000003000000}"/>
    <cellStyle name="Обычный 2" xfId="3" xr:uid="{00000000-0005-0000-0000-000004000000}"/>
    <cellStyle name="Обычный 3" xfId="4" xr:uid="{00000000-0005-0000-0000-000005000000}"/>
    <cellStyle name="Обычный 3 2" xfId="2" xr:uid="{00000000-0005-0000-0000-000006000000}"/>
    <cellStyle name="Обычный_дод 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6"/>
  <sheetViews>
    <sheetView showZeros="0" tabSelected="1" view="pageBreakPreview" topLeftCell="G1" zoomScale="60" zoomScaleNormal="60" workbookViewId="0">
      <selection activeCell="O3" sqref="O3"/>
    </sheetView>
  </sheetViews>
  <sheetFormatPr defaultColWidth="9.109375" defaultRowHeight="14.4" x14ac:dyDescent="0.3"/>
  <cols>
    <col min="1" max="1" width="13.33203125" style="6" customWidth="1"/>
    <col min="2" max="2" width="12.33203125" style="1" customWidth="1"/>
    <col min="3" max="3" width="14.33203125" style="6" customWidth="1"/>
    <col min="4" max="4" width="59.33203125" style="7" customWidth="1"/>
    <col min="5" max="5" width="3.6640625" style="4" hidden="1" customWidth="1"/>
    <col min="6" max="6" width="58.88671875" style="8" customWidth="1"/>
    <col min="7" max="7" width="17.44140625" style="1" customWidth="1"/>
    <col min="8" max="8" width="19" style="1" customWidth="1"/>
    <col min="9" max="9" width="19.33203125" style="1" customWidth="1"/>
    <col min="10" max="10" width="19.44140625" style="1" customWidth="1"/>
    <col min="11" max="11" width="20.109375" style="1" customWidth="1"/>
    <col min="12" max="12" width="20.109375" style="7" customWidth="1"/>
    <col min="13" max="14" width="19.109375" style="7" customWidth="1"/>
    <col min="15" max="15" width="18.6640625" style="7" customWidth="1"/>
    <col min="16" max="16" width="14.44140625" style="7" customWidth="1"/>
    <col min="17" max="17" width="19.88671875" style="7" customWidth="1"/>
    <col min="18" max="18" width="23.5546875" style="7" customWidth="1"/>
    <col min="19" max="16384" width="9.109375" style="7"/>
  </cols>
  <sheetData>
    <row r="1" spans="1:17" ht="15.6" x14ac:dyDescent="0.3">
      <c r="I1" s="128"/>
      <c r="J1" s="128"/>
      <c r="K1" s="128"/>
      <c r="N1" s="34"/>
      <c r="O1" s="128" t="s">
        <v>247</v>
      </c>
      <c r="P1" s="128"/>
      <c r="Q1" s="3"/>
    </row>
    <row r="2" spans="1:17" ht="15.6" x14ac:dyDescent="0.3">
      <c r="I2" s="129"/>
      <c r="J2" s="129"/>
      <c r="K2" s="129"/>
      <c r="N2" s="34"/>
      <c r="O2" s="3" t="s">
        <v>0</v>
      </c>
      <c r="P2" s="3"/>
      <c r="Q2" s="3"/>
    </row>
    <row r="3" spans="1:17" ht="15.6" x14ac:dyDescent="0.3">
      <c r="N3" s="34"/>
      <c r="O3" s="35" t="s">
        <v>339</v>
      </c>
      <c r="P3" s="35"/>
      <c r="Q3" s="35"/>
    </row>
    <row r="5" spans="1:17" ht="15.75" customHeight="1" x14ac:dyDescent="0.3">
      <c r="A5" s="130" t="s">
        <v>248</v>
      </c>
      <c r="B5" s="130"/>
      <c r="C5" s="130"/>
      <c r="D5" s="130"/>
      <c r="E5" s="130"/>
      <c r="F5" s="130"/>
      <c r="G5" s="130"/>
      <c r="H5" s="130"/>
      <c r="I5" s="130"/>
      <c r="J5" s="130"/>
      <c r="K5" s="130"/>
      <c r="L5" s="130"/>
      <c r="M5" s="130"/>
      <c r="N5" s="130"/>
      <c r="O5" s="130"/>
      <c r="P5" s="130"/>
    </row>
    <row r="6" spans="1:17" ht="18" x14ac:dyDescent="0.35">
      <c r="A6" s="131">
        <v>1558900000</v>
      </c>
      <c r="B6" s="131"/>
      <c r="C6" s="9"/>
      <c r="D6" s="10"/>
      <c r="E6" s="11"/>
      <c r="F6" s="12"/>
      <c r="G6" s="13"/>
      <c r="H6" s="13"/>
      <c r="I6" s="13"/>
      <c r="J6" s="13"/>
      <c r="K6" s="13"/>
    </row>
    <row r="7" spans="1:17" x14ac:dyDescent="0.3">
      <c r="A7" s="14" t="s">
        <v>1</v>
      </c>
      <c r="B7" s="15"/>
      <c r="C7" s="14"/>
      <c r="D7" s="16"/>
      <c r="E7" s="17"/>
      <c r="F7" s="18"/>
      <c r="G7" s="15"/>
      <c r="H7" s="15"/>
      <c r="I7" s="15"/>
      <c r="J7" s="15"/>
      <c r="K7" s="15"/>
    </row>
    <row r="8" spans="1:17" x14ac:dyDescent="0.3">
      <c r="A8" s="19"/>
      <c r="B8" s="20"/>
      <c r="C8" s="21"/>
      <c r="D8" s="20"/>
      <c r="E8" s="22"/>
      <c r="F8" s="23"/>
      <c r="G8" s="20"/>
      <c r="H8" s="24"/>
      <c r="I8" s="24"/>
      <c r="J8" s="24"/>
      <c r="K8" s="36"/>
    </row>
    <row r="9" spans="1:17" x14ac:dyDescent="0.3">
      <c r="A9" s="103" t="s">
        <v>2</v>
      </c>
      <c r="B9" s="106" t="s">
        <v>3</v>
      </c>
      <c r="C9" s="103" t="s">
        <v>4</v>
      </c>
      <c r="D9" s="106" t="s">
        <v>5</v>
      </c>
      <c r="E9" s="25"/>
      <c r="F9" s="106" t="s">
        <v>6</v>
      </c>
      <c r="G9" s="111" t="s">
        <v>7</v>
      </c>
      <c r="H9" s="117" t="s">
        <v>244</v>
      </c>
      <c r="I9" s="118"/>
      <c r="J9" s="118"/>
      <c r="K9" s="119"/>
      <c r="L9" s="117" t="s">
        <v>246</v>
      </c>
      <c r="M9" s="118"/>
      <c r="N9" s="118"/>
      <c r="O9" s="119"/>
      <c r="P9" s="120" t="s">
        <v>8</v>
      </c>
      <c r="Q9" s="121"/>
    </row>
    <row r="10" spans="1:17" x14ac:dyDescent="0.3">
      <c r="A10" s="104"/>
      <c r="B10" s="107"/>
      <c r="C10" s="104"/>
      <c r="D10" s="107"/>
      <c r="E10" s="109" t="s">
        <v>9</v>
      </c>
      <c r="F10" s="107"/>
      <c r="G10" s="112"/>
      <c r="H10" s="124" t="s">
        <v>245</v>
      </c>
      <c r="I10" s="124" t="s">
        <v>10</v>
      </c>
      <c r="J10" s="122" t="s">
        <v>11</v>
      </c>
      <c r="K10" s="123"/>
      <c r="L10" s="124" t="s">
        <v>245</v>
      </c>
      <c r="M10" s="124" t="s">
        <v>10</v>
      </c>
      <c r="N10" s="122" t="s">
        <v>11</v>
      </c>
      <c r="O10" s="123"/>
      <c r="P10" s="126" t="s">
        <v>8</v>
      </c>
      <c r="Q10" s="126" t="s">
        <v>12</v>
      </c>
    </row>
    <row r="11" spans="1:17" s="1" customFormat="1" ht="62.4" customHeight="1" x14ac:dyDescent="0.3">
      <c r="A11" s="105"/>
      <c r="B11" s="108"/>
      <c r="C11" s="105"/>
      <c r="D11" s="108"/>
      <c r="E11" s="110"/>
      <c r="F11" s="108"/>
      <c r="G11" s="113"/>
      <c r="H11" s="125"/>
      <c r="I11" s="125"/>
      <c r="J11" s="37" t="s">
        <v>13</v>
      </c>
      <c r="K11" s="37" t="s">
        <v>14</v>
      </c>
      <c r="L11" s="125"/>
      <c r="M11" s="125"/>
      <c r="N11" s="37" t="s">
        <v>13</v>
      </c>
      <c r="O11" s="37" t="s">
        <v>14</v>
      </c>
      <c r="P11" s="127"/>
      <c r="Q11" s="127"/>
    </row>
    <row r="12" spans="1:17" s="54" customFormat="1" ht="15.6" x14ac:dyDescent="0.3">
      <c r="A12" s="26" t="s">
        <v>15</v>
      </c>
      <c r="B12" s="27"/>
      <c r="C12" s="27"/>
      <c r="D12" s="114" t="s">
        <v>16</v>
      </c>
      <c r="E12" s="115"/>
      <c r="F12" s="116"/>
      <c r="G12" s="75"/>
      <c r="H12" s="60">
        <f t="shared" ref="H12:O12" si="0">H13</f>
        <v>92748840</v>
      </c>
      <c r="I12" s="60">
        <f t="shared" si="0"/>
        <v>85297840</v>
      </c>
      <c r="J12" s="60">
        <f t="shared" si="0"/>
        <v>7451000</v>
      </c>
      <c r="K12" s="60">
        <f t="shared" si="0"/>
        <v>6551000</v>
      </c>
      <c r="L12" s="60">
        <f t="shared" si="0"/>
        <v>15223169.040000001</v>
      </c>
      <c r="M12" s="60">
        <f t="shared" si="0"/>
        <v>14515899.600000001</v>
      </c>
      <c r="N12" s="60">
        <f t="shared" si="0"/>
        <v>707269.44</v>
      </c>
      <c r="O12" s="60">
        <f t="shared" si="0"/>
        <v>707269.44</v>
      </c>
      <c r="P12" s="60">
        <f>L12/H12</f>
        <v>0.16413325535931231</v>
      </c>
      <c r="Q12" s="60">
        <f>L12-H12</f>
        <v>-77525670.959999993</v>
      </c>
    </row>
    <row r="13" spans="1:17" s="54" customFormat="1" ht="15.6" x14ac:dyDescent="0.3">
      <c r="A13" s="26" t="s">
        <v>17</v>
      </c>
      <c r="B13" s="26"/>
      <c r="C13" s="26"/>
      <c r="D13" s="114" t="s">
        <v>16</v>
      </c>
      <c r="E13" s="115"/>
      <c r="F13" s="116"/>
      <c r="G13" s="75"/>
      <c r="H13" s="60">
        <f t="shared" ref="H13:O13" si="1">SUM(H14:H28)</f>
        <v>92748840</v>
      </c>
      <c r="I13" s="60">
        <f t="shared" si="1"/>
        <v>85297840</v>
      </c>
      <c r="J13" s="60">
        <f t="shared" si="1"/>
        <v>7451000</v>
      </c>
      <c r="K13" s="60">
        <f t="shared" si="1"/>
        <v>6551000</v>
      </c>
      <c r="L13" s="60">
        <f t="shared" si="1"/>
        <v>15223169.040000001</v>
      </c>
      <c r="M13" s="60">
        <f t="shared" si="1"/>
        <v>14515899.600000001</v>
      </c>
      <c r="N13" s="60">
        <f t="shared" si="1"/>
        <v>707269.44</v>
      </c>
      <c r="O13" s="60">
        <f t="shared" si="1"/>
        <v>707269.44</v>
      </c>
      <c r="P13" s="60">
        <f t="shared" ref="P13:P76" si="2">L13/H13</f>
        <v>0.16413325535931231</v>
      </c>
      <c r="Q13" s="60">
        <f>L13-H13</f>
        <v>-77525670.959999993</v>
      </c>
    </row>
    <row r="14" spans="1:17" s="3" customFormat="1" ht="46.8" x14ac:dyDescent="0.3">
      <c r="A14" s="46" t="s">
        <v>18</v>
      </c>
      <c r="B14" s="46" t="s">
        <v>19</v>
      </c>
      <c r="C14" s="46" t="s">
        <v>20</v>
      </c>
      <c r="D14" s="76" t="s">
        <v>21</v>
      </c>
      <c r="E14" s="76">
        <v>15</v>
      </c>
      <c r="F14" s="42" t="s">
        <v>22</v>
      </c>
      <c r="G14" s="31" t="s">
        <v>23</v>
      </c>
      <c r="H14" s="62">
        <f>I14+J14</f>
        <v>41551100</v>
      </c>
      <c r="I14" s="62">
        <f>34002900+511600+5000000</f>
        <v>39514500</v>
      </c>
      <c r="J14" s="62">
        <v>2036600</v>
      </c>
      <c r="K14" s="62">
        <v>2036600</v>
      </c>
      <c r="L14" s="62">
        <f>M14+N14</f>
        <v>6932672.6399999997</v>
      </c>
      <c r="M14" s="62">
        <v>6932672.6399999997</v>
      </c>
      <c r="N14" s="62"/>
      <c r="O14" s="62"/>
      <c r="P14" s="59">
        <f t="shared" si="2"/>
        <v>0.16684690994943574</v>
      </c>
      <c r="Q14" s="59">
        <f>L14-H14</f>
        <v>-34618427.359999999</v>
      </c>
    </row>
    <row r="15" spans="1:17" s="3" customFormat="1" ht="46.8" x14ac:dyDescent="0.3">
      <c r="A15" s="46" t="s">
        <v>24</v>
      </c>
      <c r="B15" s="46" t="s">
        <v>25</v>
      </c>
      <c r="C15" s="46" t="s">
        <v>26</v>
      </c>
      <c r="D15" s="76" t="s">
        <v>27</v>
      </c>
      <c r="E15" s="76">
        <v>15</v>
      </c>
      <c r="F15" s="42" t="s">
        <v>22</v>
      </c>
      <c r="G15" s="31" t="s">
        <v>23</v>
      </c>
      <c r="H15" s="62">
        <f t="shared" ref="H15:H25" si="3">I15+J15</f>
        <v>8701800</v>
      </c>
      <c r="I15" s="62">
        <v>8701800</v>
      </c>
      <c r="J15" s="62"/>
      <c r="K15" s="62"/>
      <c r="L15" s="62">
        <f t="shared" ref="L15:L25" si="4">M15+N15</f>
        <v>1822717.11</v>
      </c>
      <c r="M15" s="62">
        <v>1822717.11</v>
      </c>
      <c r="N15" s="62"/>
      <c r="O15" s="62"/>
      <c r="P15" s="59">
        <f t="shared" si="2"/>
        <v>0.20946437633593051</v>
      </c>
      <c r="Q15" s="59">
        <f t="shared" ref="Q15:Q22" si="5">L15-H15</f>
        <v>-6879082.8899999997</v>
      </c>
    </row>
    <row r="16" spans="1:17" s="3" customFormat="1" ht="46.8" x14ac:dyDescent="0.3">
      <c r="A16" s="31" t="s">
        <v>28</v>
      </c>
      <c r="B16" s="31">
        <v>2111</v>
      </c>
      <c r="C16" s="31" t="s">
        <v>29</v>
      </c>
      <c r="D16" s="45" t="s">
        <v>30</v>
      </c>
      <c r="E16" s="45">
        <v>15</v>
      </c>
      <c r="F16" s="42" t="s">
        <v>22</v>
      </c>
      <c r="G16" s="31" t="s">
        <v>23</v>
      </c>
      <c r="H16" s="62">
        <f t="shared" si="3"/>
        <v>6331500</v>
      </c>
      <c r="I16" s="62">
        <f>4545400+68000</f>
        <v>4613400</v>
      </c>
      <c r="J16" s="62">
        <f>1426100+192000+100000</f>
        <v>1718100</v>
      </c>
      <c r="K16" s="62">
        <f>1426100+192000+100000</f>
        <v>1718100</v>
      </c>
      <c r="L16" s="62">
        <f t="shared" si="4"/>
        <v>714840.73</v>
      </c>
      <c r="M16" s="62">
        <v>714840.73</v>
      </c>
      <c r="N16" s="62"/>
      <c r="O16" s="62"/>
      <c r="P16" s="59">
        <f t="shared" si="2"/>
        <v>0.11290227118376372</v>
      </c>
      <c r="Q16" s="59">
        <f t="shared" si="5"/>
        <v>-5616659.2699999996</v>
      </c>
    </row>
    <row r="17" spans="1:18" s="3" customFormat="1" ht="46.8" x14ac:dyDescent="0.3">
      <c r="A17" s="46" t="s">
        <v>31</v>
      </c>
      <c r="B17" s="46" t="s">
        <v>32</v>
      </c>
      <c r="C17" s="46" t="s">
        <v>33</v>
      </c>
      <c r="D17" s="47" t="s">
        <v>34</v>
      </c>
      <c r="E17" s="47">
        <v>15</v>
      </c>
      <c r="F17" s="42" t="s">
        <v>22</v>
      </c>
      <c r="G17" s="31" t="s">
        <v>23</v>
      </c>
      <c r="H17" s="62">
        <f t="shared" si="3"/>
        <v>10335900</v>
      </c>
      <c r="I17" s="62">
        <f>10835900-500000</f>
        <v>10335900</v>
      </c>
      <c r="J17" s="62"/>
      <c r="K17" s="62"/>
      <c r="L17" s="62">
        <f t="shared" si="4"/>
        <v>2157695.7200000002</v>
      </c>
      <c r="M17" s="62">
        <v>2157695.7200000002</v>
      </c>
      <c r="N17" s="62"/>
      <c r="O17" s="62"/>
      <c r="P17" s="59">
        <f t="shared" si="2"/>
        <v>0.20875741057866273</v>
      </c>
      <c r="Q17" s="59">
        <f t="shared" si="5"/>
        <v>-8178204.2799999993</v>
      </c>
      <c r="R17" s="55"/>
    </row>
    <row r="18" spans="1:18" s="3" customFormat="1" ht="62.4" x14ac:dyDescent="0.3">
      <c r="A18" s="46" t="s">
        <v>31</v>
      </c>
      <c r="B18" s="46" t="s">
        <v>32</v>
      </c>
      <c r="C18" s="46" t="s">
        <v>33</v>
      </c>
      <c r="D18" s="47" t="s">
        <v>34</v>
      </c>
      <c r="E18" s="82">
        <v>69</v>
      </c>
      <c r="F18" s="83" t="s">
        <v>249</v>
      </c>
      <c r="G18" s="31" t="s">
        <v>250</v>
      </c>
      <c r="H18" s="62">
        <f t="shared" si="3"/>
        <v>500000</v>
      </c>
      <c r="I18" s="62">
        <f>500000</f>
        <v>500000</v>
      </c>
      <c r="J18" s="62"/>
      <c r="K18" s="62"/>
      <c r="L18" s="62">
        <f t="shared" si="4"/>
        <v>0</v>
      </c>
      <c r="M18" s="62"/>
      <c r="N18" s="62"/>
      <c r="O18" s="62"/>
      <c r="P18" s="59">
        <f t="shared" si="2"/>
        <v>0</v>
      </c>
      <c r="Q18" s="59">
        <f t="shared" si="5"/>
        <v>-500000</v>
      </c>
    </row>
    <row r="19" spans="1:18" s="3" customFormat="1" ht="46.8" x14ac:dyDescent="0.3">
      <c r="A19" s="77" t="s">
        <v>35</v>
      </c>
      <c r="B19" s="46" t="s">
        <v>36</v>
      </c>
      <c r="C19" s="46" t="s">
        <v>37</v>
      </c>
      <c r="D19" s="48" t="s">
        <v>38</v>
      </c>
      <c r="E19" s="84">
        <v>14</v>
      </c>
      <c r="F19" s="83" t="s">
        <v>39</v>
      </c>
      <c r="G19" s="31" t="s">
        <v>40</v>
      </c>
      <c r="H19" s="91">
        <f t="shared" si="3"/>
        <v>5000000</v>
      </c>
      <c r="I19" s="62">
        <v>5000000</v>
      </c>
      <c r="J19" s="62"/>
      <c r="K19" s="62"/>
      <c r="L19" s="91">
        <f t="shared" si="4"/>
        <v>1220500</v>
      </c>
      <c r="M19" s="62">
        <v>1220500</v>
      </c>
      <c r="N19" s="62"/>
      <c r="O19" s="62"/>
      <c r="P19" s="59">
        <f t="shared" si="2"/>
        <v>0.24410000000000001</v>
      </c>
      <c r="Q19" s="59">
        <f t="shared" si="5"/>
        <v>-3779500</v>
      </c>
    </row>
    <row r="20" spans="1:18" s="3" customFormat="1" ht="46.8" x14ac:dyDescent="0.3">
      <c r="A20" s="46" t="s">
        <v>251</v>
      </c>
      <c r="B20" s="46" t="s">
        <v>206</v>
      </c>
      <c r="C20" s="46" t="s">
        <v>198</v>
      </c>
      <c r="D20" s="48" t="s">
        <v>207</v>
      </c>
      <c r="E20" s="48">
        <v>68</v>
      </c>
      <c r="F20" s="42" t="s">
        <v>252</v>
      </c>
      <c r="G20" s="31" t="s">
        <v>253</v>
      </c>
      <c r="H20" s="91">
        <f t="shared" si="3"/>
        <v>10068500</v>
      </c>
      <c r="I20" s="62">
        <f>8141500-73000+2000000</f>
        <v>10068500</v>
      </c>
      <c r="J20" s="62"/>
      <c r="K20" s="62"/>
      <c r="L20" s="91">
        <f t="shared" si="4"/>
        <v>1039541.24</v>
      </c>
      <c r="M20" s="62">
        <f>467268.14+448946.81+123326.29</f>
        <v>1039541.24</v>
      </c>
      <c r="N20" s="62"/>
      <c r="O20" s="62"/>
      <c r="P20" s="59">
        <f t="shared" si="2"/>
        <v>0.10324688285246064</v>
      </c>
      <c r="Q20" s="59">
        <f t="shared" si="5"/>
        <v>-9028958.7599999998</v>
      </c>
    </row>
    <row r="21" spans="1:18" s="3" customFormat="1" ht="46.8" x14ac:dyDescent="0.3">
      <c r="A21" s="77" t="s">
        <v>254</v>
      </c>
      <c r="B21" s="46" t="s">
        <v>255</v>
      </c>
      <c r="C21" s="46" t="s">
        <v>256</v>
      </c>
      <c r="D21" s="76" t="s">
        <v>257</v>
      </c>
      <c r="E21" s="76">
        <v>61</v>
      </c>
      <c r="F21" s="42" t="s">
        <v>258</v>
      </c>
      <c r="G21" s="31" t="s">
        <v>259</v>
      </c>
      <c r="H21" s="91">
        <f t="shared" si="3"/>
        <v>2294140</v>
      </c>
      <c r="I21" s="62">
        <f>1529300+39240</f>
        <v>1568540</v>
      </c>
      <c r="J21" s="62">
        <f>534000+191600</f>
        <v>725600</v>
      </c>
      <c r="K21" s="62">
        <f>534000+191600</f>
        <v>725600</v>
      </c>
      <c r="L21" s="91">
        <f t="shared" si="4"/>
        <v>690873.76</v>
      </c>
      <c r="M21" s="62">
        <f>141775.76+225+225+2400+12248</f>
        <v>156873.76</v>
      </c>
      <c r="N21" s="62">
        <v>534000</v>
      </c>
      <c r="O21" s="62">
        <v>534000</v>
      </c>
      <c r="P21" s="59">
        <f t="shared" si="2"/>
        <v>0.30114716625838006</v>
      </c>
      <c r="Q21" s="59">
        <f t="shared" si="5"/>
        <v>-1603266.24</v>
      </c>
    </row>
    <row r="22" spans="1:18" s="3" customFormat="1" ht="46.8" x14ac:dyDescent="0.3">
      <c r="A22" s="50" t="s">
        <v>41</v>
      </c>
      <c r="B22" s="50" t="s">
        <v>42</v>
      </c>
      <c r="C22" s="50" t="s">
        <v>43</v>
      </c>
      <c r="D22" s="45" t="s">
        <v>44</v>
      </c>
      <c r="E22" s="45">
        <v>15</v>
      </c>
      <c r="F22" s="42" t="s">
        <v>22</v>
      </c>
      <c r="G22" s="31" t="s">
        <v>23</v>
      </c>
      <c r="H22" s="91">
        <f t="shared" si="3"/>
        <v>1500000</v>
      </c>
      <c r="I22" s="62"/>
      <c r="J22" s="62">
        <f>1000000+500000</f>
        <v>1500000</v>
      </c>
      <c r="K22" s="62">
        <f>1000000+500000</f>
        <v>1500000</v>
      </c>
      <c r="L22" s="91">
        <f t="shared" si="4"/>
        <v>116613.84</v>
      </c>
      <c r="M22" s="62"/>
      <c r="N22" s="62">
        <v>116613.84</v>
      </c>
      <c r="O22" s="62">
        <v>116613.84</v>
      </c>
      <c r="P22" s="59">
        <f t="shared" si="2"/>
        <v>7.7742560000000002E-2</v>
      </c>
      <c r="Q22" s="59">
        <f t="shared" si="5"/>
        <v>-1383386.16</v>
      </c>
    </row>
    <row r="23" spans="1:18" s="54" customFormat="1" ht="46.8" x14ac:dyDescent="0.3">
      <c r="A23" s="77" t="s">
        <v>260</v>
      </c>
      <c r="B23" s="46" t="s">
        <v>261</v>
      </c>
      <c r="C23" s="46" t="s">
        <v>92</v>
      </c>
      <c r="D23" s="45" t="s">
        <v>93</v>
      </c>
      <c r="E23" s="45">
        <v>17</v>
      </c>
      <c r="F23" s="42" t="s">
        <v>219</v>
      </c>
      <c r="G23" s="31" t="s">
        <v>95</v>
      </c>
      <c r="H23" s="91">
        <f t="shared" si="3"/>
        <v>42000</v>
      </c>
      <c r="I23" s="62">
        <f>42000</f>
        <v>42000</v>
      </c>
      <c r="J23" s="62"/>
      <c r="K23" s="62"/>
      <c r="L23" s="91">
        <f t="shared" si="4"/>
        <v>0</v>
      </c>
      <c r="M23" s="62"/>
      <c r="N23" s="62"/>
      <c r="O23" s="62"/>
      <c r="P23" s="62">
        <f t="shared" si="2"/>
        <v>0</v>
      </c>
      <c r="Q23" s="62">
        <f t="shared" ref="Q23" si="6">L23-H23</f>
        <v>-42000</v>
      </c>
    </row>
    <row r="24" spans="1:18" s="54" customFormat="1" ht="124.8" x14ac:dyDescent="0.3">
      <c r="A24" s="50" t="s">
        <v>45</v>
      </c>
      <c r="B24" s="31">
        <v>8220</v>
      </c>
      <c r="C24" s="50" t="s">
        <v>46</v>
      </c>
      <c r="D24" s="45" t="s">
        <v>47</v>
      </c>
      <c r="E24" s="85">
        <v>18</v>
      </c>
      <c r="F24" s="68" t="s">
        <v>48</v>
      </c>
      <c r="G24" s="31" t="s">
        <v>49</v>
      </c>
      <c r="H24" s="62">
        <f t="shared" si="3"/>
        <v>2083400</v>
      </c>
      <c r="I24" s="62">
        <v>2083400</v>
      </c>
      <c r="J24" s="62"/>
      <c r="K24" s="62"/>
      <c r="L24" s="62">
        <f t="shared" si="4"/>
        <v>51840</v>
      </c>
      <c r="M24" s="62">
        <v>51840</v>
      </c>
      <c r="N24" s="62"/>
      <c r="O24" s="62"/>
      <c r="P24" s="62">
        <f t="shared" si="2"/>
        <v>2.4882403763079583E-2</v>
      </c>
      <c r="Q24" s="62">
        <f t="shared" ref="Q24:Q34" si="7">L24-H24</f>
        <v>-2031560</v>
      </c>
    </row>
    <row r="25" spans="1:18" s="3" customFormat="1" ht="78" x14ac:dyDescent="0.3">
      <c r="A25" s="46" t="s">
        <v>50</v>
      </c>
      <c r="B25" s="46" t="s">
        <v>51</v>
      </c>
      <c r="C25" s="46" t="s">
        <v>46</v>
      </c>
      <c r="D25" s="48" t="s">
        <v>52</v>
      </c>
      <c r="E25" s="86">
        <v>66</v>
      </c>
      <c r="F25" s="68" t="s">
        <v>262</v>
      </c>
      <c r="G25" s="31" t="s">
        <v>263</v>
      </c>
      <c r="H25" s="62">
        <f t="shared" si="3"/>
        <v>577000</v>
      </c>
      <c r="I25" s="62">
        <f>403200+173800</f>
        <v>577000</v>
      </c>
      <c r="J25" s="62"/>
      <c r="K25" s="62"/>
      <c r="L25" s="62">
        <f t="shared" si="4"/>
        <v>396452</v>
      </c>
      <c r="M25" s="62">
        <v>396452</v>
      </c>
      <c r="N25" s="62"/>
      <c r="O25" s="62"/>
      <c r="P25" s="59">
        <f t="shared" si="2"/>
        <v>0.68709185441941079</v>
      </c>
      <c r="Q25" s="59">
        <f t="shared" si="7"/>
        <v>-180548</v>
      </c>
    </row>
    <row r="26" spans="1:18" s="3" customFormat="1" ht="62.4" x14ac:dyDescent="0.3">
      <c r="A26" s="46" t="s">
        <v>50</v>
      </c>
      <c r="B26" s="46" t="s">
        <v>51</v>
      </c>
      <c r="C26" s="46" t="s">
        <v>46</v>
      </c>
      <c r="D26" s="48" t="s">
        <v>52</v>
      </c>
      <c r="E26" s="86">
        <v>36</v>
      </c>
      <c r="F26" s="68" t="s">
        <v>53</v>
      </c>
      <c r="G26" s="31" t="s">
        <v>54</v>
      </c>
      <c r="H26" s="62">
        <f>I26+J26</f>
        <v>2784000</v>
      </c>
      <c r="I26" s="62">
        <f>2270000</f>
        <v>2270000</v>
      </c>
      <c r="J26" s="62">
        <v>514000</v>
      </c>
      <c r="K26" s="62">
        <v>514000</v>
      </c>
      <c r="L26" s="62">
        <f>M26+N26</f>
        <v>0</v>
      </c>
      <c r="M26" s="62"/>
      <c r="N26" s="62"/>
      <c r="O26" s="62"/>
      <c r="P26" s="59">
        <f t="shared" si="2"/>
        <v>0</v>
      </c>
      <c r="Q26" s="59">
        <f t="shared" si="7"/>
        <v>-2784000</v>
      </c>
    </row>
    <row r="27" spans="1:18" s="3" customFormat="1" ht="78" x14ac:dyDescent="0.3">
      <c r="A27" s="46" t="s">
        <v>55</v>
      </c>
      <c r="B27" s="46" t="s">
        <v>56</v>
      </c>
      <c r="C27" s="50" t="s">
        <v>46</v>
      </c>
      <c r="D27" s="45" t="s">
        <v>57</v>
      </c>
      <c r="E27" s="85">
        <v>66</v>
      </c>
      <c r="F27" s="68" t="s">
        <v>262</v>
      </c>
      <c r="G27" s="31" t="s">
        <v>263</v>
      </c>
      <c r="H27" s="62">
        <f>I27+J27</f>
        <v>79500</v>
      </c>
      <c r="I27" s="62">
        <v>22800</v>
      </c>
      <c r="J27" s="62">
        <f>200500-22800-121000</f>
        <v>56700</v>
      </c>
      <c r="K27" s="62">
        <f>200500-22800-121000</f>
        <v>56700</v>
      </c>
      <c r="L27" s="62">
        <f>M27+N27</f>
        <v>79422</v>
      </c>
      <c r="M27" s="62">
        <v>22766.400000000001</v>
      </c>
      <c r="N27" s="62">
        <v>56655.6</v>
      </c>
      <c r="O27" s="62">
        <v>56655.6</v>
      </c>
      <c r="P27" s="59">
        <f t="shared" si="2"/>
        <v>0.99901886792452832</v>
      </c>
      <c r="Q27" s="59">
        <f t="shared" si="7"/>
        <v>-78</v>
      </c>
    </row>
    <row r="28" spans="1:18" s="3" customFormat="1" ht="78" x14ac:dyDescent="0.3">
      <c r="A28" s="46" t="s">
        <v>264</v>
      </c>
      <c r="B28" s="46" t="s">
        <v>265</v>
      </c>
      <c r="C28" s="46" t="s">
        <v>266</v>
      </c>
      <c r="D28" s="48" t="s">
        <v>267</v>
      </c>
      <c r="E28" s="86">
        <v>56</v>
      </c>
      <c r="F28" s="68" t="s">
        <v>268</v>
      </c>
      <c r="G28" s="31" t="s">
        <v>269</v>
      </c>
      <c r="H28" s="62">
        <f>I28+J28</f>
        <v>900000</v>
      </c>
      <c r="I28" s="62"/>
      <c r="J28" s="62">
        <v>900000</v>
      </c>
      <c r="K28" s="62"/>
      <c r="L28" s="62">
        <f>M28+N28</f>
        <v>0</v>
      </c>
      <c r="M28" s="62"/>
      <c r="N28" s="62"/>
      <c r="O28" s="62"/>
      <c r="P28" s="59">
        <f t="shared" si="2"/>
        <v>0</v>
      </c>
      <c r="Q28" s="59">
        <f t="shared" si="7"/>
        <v>-900000</v>
      </c>
    </row>
    <row r="29" spans="1:18" s="3" customFormat="1" ht="15.6" x14ac:dyDescent="0.3">
      <c r="A29" s="28" t="s">
        <v>58</v>
      </c>
      <c r="B29" s="28"/>
      <c r="C29" s="28"/>
      <c r="D29" s="95" t="s">
        <v>59</v>
      </c>
      <c r="E29" s="96"/>
      <c r="F29" s="97"/>
      <c r="G29" s="75"/>
      <c r="H29" s="60">
        <f t="shared" ref="H29:O29" si="8">H30</f>
        <v>61121816</v>
      </c>
      <c r="I29" s="60">
        <f t="shared" si="8"/>
        <v>48349800</v>
      </c>
      <c r="J29" s="60">
        <f t="shared" si="8"/>
        <v>12772016</v>
      </c>
      <c r="K29" s="60">
        <f t="shared" si="8"/>
        <v>12772016</v>
      </c>
      <c r="L29" s="60">
        <f t="shared" si="8"/>
        <v>3782725.36</v>
      </c>
      <c r="M29" s="60">
        <f t="shared" si="8"/>
        <v>3310327.29</v>
      </c>
      <c r="N29" s="60">
        <f t="shared" si="8"/>
        <v>472398.07</v>
      </c>
      <c r="O29" s="60">
        <f t="shared" si="8"/>
        <v>472398.07</v>
      </c>
      <c r="P29" s="60">
        <f t="shared" si="2"/>
        <v>6.1888301224557851E-2</v>
      </c>
      <c r="Q29" s="60">
        <f t="shared" si="7"/>
        <v>-57339090.640000001</v>
      </c>
    </row>
    <row r="30" spans="1:18" s="3" customFormat="1" ht="15.6" x14ac:dyDescent="0.3">
      <c r="A30" s="28" t="s">
        <v>60</v>
      </c>
      <c r="B30" s="28"/>
      <c r="C30" s="28"/>
      <c r="D30" s="95" t="s">
        <v>59</v>
      </c>
      <c r="E30" s="96"/>
      <c r="F30" s="97"/>
      <c r="G30" s="75"/>
      <c r="H30" s="60">
        <f>SUM(H31:H46)</f>
        <v>61121816</v>
      </c>
      <c r="I30" s="60">
        <f>SUM(I31:I46)</f>
        <v>48349800</v>
      </c>
      <c r="J30" s="60">
        <f>SUM(J31:J46)</f>
        <v>12772016</v>
      </c>
      <c r="K30" s="60">
        <f t="shared" ref="K30" si="9">SUM(K31:K46)</f>
        <v>12772016</v>
      </c>
      <c r="L30" s="60">
        <f>SUM(L31:L46)</f>
        <v>3782725.36</v>
      </c>
      <c r="M30" s="60">
        <f>SUM(M31:M46)</f>
        <v>3310327.29</v>
      </c>
      <c r="N30" s="60">
        <f>SUM(N31:N46)</f>
        <v>472398.07</v>
      </c>
      <c r="O30" s="60">
        <f t="shared" ref="O30" si="10">SUM(O31:O46)</f>
        <v>472398.07</v>
      </c>
      <c r="P30" s="60">
        <f t="shared" si="2"/>
        <v>6.1888301224557851E-2</v>
      </c>
      <c r="Q30" s="60">
        <f t="shared" si="7"/>
        <v>-57339090.640000001</v>
      </c>
    </row>
    <row r="31" spans="1:18" s="3" customFormat="1" ht="62.4" x14ac:dyDescent="0.3">
      <c r="A31" s="46" t="s">
        <v>61</v>
      </c>
      <c r="B31" s="46" t="s">
        <v>62</v>
      </c>
      <c r="C31" s="46" t="s">
        <v>63</v>
      </c>
      <c r="D31" s="76" t="s">
        <v>64</v>
      </c>
      <c r="E31" s="76">
        <v>13</v>
      </c>
      <c r="F31" s="42" t="s">
        <v>65</v>
      </c>
      <c r="G31" s="30" t="s">
        <v>66</v>
      </c>
      <c r="H31" s="62">
        <f t="shared" ref="H31:H46" si="11">I31+J31</f>
        <v>455000</v>
      </c>
      <c r="I31" s="62">
        <v>455000</v>
      </c>
      <c r="J31" s="62"/>
      <c r="K31" s="62"/>
      <c r="L31" s="62">
        <f t="shared" ref="L31:L32" si="12">M31+N31</f>
        <v>87004</v>
      </c>
      <c r="M31" s="62">
        <v>87004</v>
      </c>
      <c r="N31" s="62"/>
      <c r="O31" s="62"/>
      <c r="P31" s="59">
        <f t="shared" si="2"/>
        <v>0.19121758241758241</v>
      </c>
      <c r="Q31" s="59">
        <f t="shared" si="7"/>
        <v>-367996</v>
      </c>
    </row>
    <row r="32" spans="1:18" s="3" customFormat="1" ht="46.8" x14ac:dyDescent="0.3">
      <c r="A32" s="46" t="s">
        <v>61</v>
      </c>
      <c r="B32" s="46" t="s">
        <v>62</v>
      </c>
      <c r="C32" s="46" t="s">
        <v>63</v>
      </c>
      <c r="D32" s="76" t="s">
        <v>64</v>
      </c>
      <c r="E32" s="76">
        <v>16</v>
      </c>
      <c r="F32" s="42" t="s">
        <v>67</v>
      </c>
      <c r="G32" s="31" t="s">
        <v>68</v>
      </c>
      <c r="H32" s="62">
        <f t="shared" si="11"/>
        <v>5013537</v>
      </c>
      <c r="I32" s="62">
        <f>3240500</f>
        <v>3240500</v>
      </c>
      <c r="J32" s="62">
        <f>1073037+700000</f>
        <v>1773037</v>
      </c>
      <c r="K32" s="62">
        <f>1073037+700000</f>
        <v>1773037</v>
      </c>
      <c r="L32" s="62">
        <f t="shared" si="12"/>
        <v>424127</v>
      </c>
      <c r="M32" s="62">
        <v>424127</v>
      </c>
      <c r="N32" s="62"/>
      <c r="O32" s="62"/>
      <c r="P32" s="59">
        <f t="shared" si="2"/>
        <v>8.4596363804635324E-2</v>
      </c>
      <c r="Q32" s="59">
        <f t="shared" si="7"/>
        <v>-4589410</v>
      </c>
    </row>
    <row r="33" spans="1:17" s="3" customFormat="1" ht="46.8" x14ac:dyDescent="0.3">
      <c r="A33" s="46" t="s">
        <v>69</v>
      </c>
      <c r="B33" s="46" t="s">
        <v>70</v>
      </c>
      <c r="C33" s="46" t="s">
        <v>71</v>
      </c>
      <c r="D33" s="48" t="s">
        <v>72</v>
      </c>
      <c r="E33" s="48">
        <v>16</v>
      </c>
      <c r="F33" s="42" t="s">
        <v>67</v>
      </c>
      <c r="G33" s="31" t="s">
        <v>68</v>
      </c>
      <c r="H33" s="62">
        <f>I33+J33</f>
        <v>32470400</v>
      </c>
      <c r="I33" s="62">
        <f>133000+100000+126700+500000+170000+20800000+652500+6788200+800000</f>
        <v>30070400</v>
      </c>
      <c r="J33" s="62">
        <f>1800000+800000-200000</f>
        <v>2400000</v>
      </c>
      <c r="K33" s="62">
        <f>1800000+800000-200000</f>
        <v>2400000</v>
      </c>
      <c r="L33" s="62">
        <f>M33+N33</f>
        <v>1691750.85</v>
      </c>
      <c r="M33" s="62">
        <f>1575640.85+15600+100510</f>
        <v>1691750.85</v>
      </c>
      <c r="N33" s="62"/>
      <c r="O33" s="62"/>
      <c r="P33" s="59">
        <f t="shared" si="2"/>
        <v>5.2101324591012126E-2</v>
      </c>
      <c r="Q33" s="59">
        <f t="shared" si="7"/>
        <v>-30778649.149999999</v>
      </c>
    </row>
    <row r="34" spans="1:17" s="3" customFormat="1" ht="46.8" x14ac:dyDescent="0.3">
      <c r="A34" s="46" t="s">
        <v>69</v>
      </c>
      <c r="B34" s="46" t="s">
        <v>70</v>
      </c>
      <c r="C34" s="46" t="s">
        <v>71</v>
      </c>
      <c r="D34" s="48" t="s">
        <v>72</v>
      </c>
      <c r="E34" s="48">
        <v>23</v>
      </c>
      <c r="F34" s="42" t="s">
        <v>73</v>
      </c>
      <c r="G34" s="31" t="s">
        <v>74</v>
      </c>
      <c r="H34" s="62">
        <f t="shared" si="11"/>
        <v>200000</v>
      </c>
      <c r="I34" s="62">
        <v>200000</v>
      </c>
      <c r="J34" s="62"/>
      <c r="K34" s="62"/>
      <c r="L34" s="62">
        <f t="shared" ref="L34:L36" si="13">M34+N34</f>
        <v>0</v>
      </c>
      <c r="M34" s="62"/>
      <c r="N34" s="62"/>
      <c r="O34" s="62"/>
      <c r="P34" s="59">
        <f t="shared" si="2"/>
        <v>0</v>
      </c>
      <c r="Q34" s="59">
        <f t="shared" si="7"/>
        <v>-200000</v>
      </c>
    </row>
    <row r="35" spans="1:17" s="54" customFormat="1" ht="62.4" x14ac:dyDescent="0.3">
      <c r="A35" s="46" t="s">
        <v>69</v>
      </c>
      <c r="B35" s="46" t="s">
        <v>70</v>
      </c>
      <c r="C35" s="46" t="s">
        <v>71</v>
      </c>
      <c r="D35" s="48" t="s">
        <v>72</v>
      </c>
      <c r="E35" s="48">
        <v>32</v>
      </c>
      <c r="F35" s="42" t="s">
        <v>75</v>
      </c>
      <c r="G35" s="31" t="s">
        <v>76</v>
      </c>
      <c r="H35" s="62">
        <f t="shared" si="11"/>
        <v>15000</v>
      </c>
      <c r="I35" s="62">
        <v>15000</v>
      </c>
      <c r="J35" s="62"/>
      <c r="K35" s="62"/>
      <c r="L35" s="62">
        <f t="shared" si="13"/>
        <v>0</v>
      </c>
      <c r="M35" s="62"/>
      <c r="N35" s="62"/>
      <c r="O35" s="62"/>
      <c r="P35" s="62">
        <f t="shared" si="2"/>
        <v>0</v>
      </c>
      <c r="Q35" s="62">
        <f t="shared" ref="Q35:Q68" si="14">L35-H35</f>
        <v>-15000</v>
      </c>
    </row>
    <row r="36" spans="1:17" s="54" customFormat="1" ht="62.4" x14ac:dyDescent="0.3">
      <c r="A36" s="46" t="s">
        <v>77</v>
      </c>
      <c r="B36" s="46" t="s">
        <v>78</v>
      </c>
      <c r="C36" s="46" t="s">
        <v>79</v>
      </c>
      <c r="D36" s="48" t="s">
        <v>80</v>
      </c>
      <c r="E36" s="48">
        <v>16</v>
      </c>
      <c r="F36" s="42" t="s">
        <v>67</v>
      </c>
      <c r="G36" s="31" t="s">
        <v>68</v>
      </c>
      <c r="H36" s="62">
        <f>I36+J36</f>
        <v>2837400</v>
      </c>
      <c r="I36" s="62">
        <f>2000000+837400</f>
        <v>2837400</v>
      </c>
      <c r="J36" s="62">
        <f>2915000-2915000</f>
        <v>0</v>
      </c>
      <c r="K36" s="62">
        <f>2915000-2915000</f>
        <v>0</v>
      </c>
      <c r="L36" s="62">
        <f t="shared" si="13"/>
        <v>89097.06</v>
      </c>
      <c r="M36" s="62">
        <v>89097.06</v>
      </c>
      <c r="N36" s="62"/>
      <c r="O36" s="62"/>
      <c r="P36" s="62">
        <f t="shared" si="2"/>
        <v>3.1400951575385916E-2</v>
      </c>
      <c r="Q36" s="62">
        <f t="shared" si="14"/>
        <v>-2748302.94</v>
      </c>
    </row>
    <row r="37" spans="1:17" s="3" customFormat="1" ht="46.8" x14ac:dyDescent="0.3">
      <c r="A37" s="46" t="s">
        <v>270</v>
      </c>
      <c r="B37" s="46" t="s">
        <v>129</v>
      </c>
      <c r="C37" s="31" t="s">
        <v>149</v>
      </c>
      <c r="D37" s="45" t="s">
        <v>271</v>
      </c>
      <c r="E37" s="48">
        <v>16</v>
      </c>
      <c r="F37" s="42" t="s">
        <v>67</v>
      </c>
      <c r="G37" s="31" t="s">
        <v>68</v>
      </c>
      <c r="H37" s="62">
        <f>I37+J37</f>
        <v>793500</v>
      </c>
      <c r="I37" s="62">
        <v>793500</v>
      </c>
      <c r="J37" s="62"/>
      <c r="K37" s="62"/>
      <c r="L37" s="62">
        <f>M37+N37</f>
        <v>0</v>
      </c>
      <c r="M37" s="62"/>
      <c r="N37" s="62"/>
      <c r="O37" s="62"/>
      <c r="P37" s="59">
        <f t="shared" si="2"/>
        <v>0</v>
      </c>
      <c r="Q37" s="59">
        <f t="shared" si="14"/>
        <v>-793500</v>
      </c>
    </row>
    <row r="38" spans="1:17" s="3" customFormat="1" ht="46.8" x14ac:dyDescent="0.3">
      <c r="A38" s="31" t="s">
        <v>272</v>
      </c>
      <c r="B38" s="31" t="s">
        <v>273</v>
      </c>
      <c r="C38" s="31" t="s">
        <v>274</v>
      </c>
      <c r="D38" s="45" t="s">
        <v>275</v>
      </c>
      <c r="E38" s="48">
        <v>16</v>
      </c>
      <c r="F38" s="42" t="s">
        <v>67</v>
      </c>
      <c r="G38" s="31" t="s">
        <v>68</v>
      </c>
      <c r="H38" s="62">
        <f t="shared" ref="H38:H39" si="15">I38+J38</f>
        <v>100000</v>
      </c>
      <c r="I38" s="62">
        <v>100000</v>
      </c>
      <c r="J38" s="62"/>
      <c r="K38" s="62"/>
      <c r="L38" s="62">
        <f t="shared" ref="L38:L39" si="16">M38+N38</f>
        <v>0</v>
      </c>
      <c r="M38" s="62"/>
      <c r="N38" s="62"/>
      <c r="O38" s="62"/>
      <c r="P38" s="59">
        <f t="shared" si="2"/>
        <v>0</v>
      </c>
      <c r="Q38" s="59">
        <f t="shared" si="14"/>
        <v>-100000</v>
      </c>
    </row>
    <row r="39" spans="1:17" s="3" customFormat="1" ht="46.8" x14ac:dyDescent="0.3">
      <c r="A39" s="31" t="s">
        <v>276</v>
      </c>
      <c r="B39" s="31" t="s">
        <v>277</v>
      </c>
      <c r="C39" s="31" t="s">
        <v>274</v>
      </c>
      <c r="D39" s="45" t="s">
        <v>278</v>
      </c>
      <c r="E39" s="48">
        <v>16</v>
      </c>
      <c r="F39" s="42" t="s">
        <v>67</v>
      </c>
      <c r="G39" s="31" t="s">
        <v>68</v>
      </c>
      <c r="H39" s="62">
        <f t="shared" si="15"/>
        <v>145600</v>
      </c>
      <c r="I39" s="62">
        <v>145600</v>
      </c>
      <c r="J39" s="62"/>
      <c r="K39" s="62"/>
      <c r="L39" s="62">
        <f t="shared" si="16"/>
        <v>0</v>
      </c>
      <c r="M39" s="62"/>
      <c r="N39" s="62"/>
      <c r="O39" s="62"/>
      <c r="P39" s="59">
        <f t="shared" si="2"/>
        <v>0</v>
      </c>
      <c r="Q39" s="59">
        <f t="shared" si="14"/>
        <v>-145600</v>
      </c>
    </row>
    <row r="40" spans="1:17" s="3" customFormat="1" ht="78" x14ac:dyDescent="0.3">
      <c r="A40" s="46" t="s">
        <v>279</v>
      </c>
      <c r="B40" s="50" t="s">
        <v>280</v>
      </c>
      <c r="C40" s="50" t="s">
        <v>274</v>
      </c>
      <c r="D40" s="45" t="s">
        <v>281</v>
      </c>
      <c r="E40" s="45">
        <v>16</v>
      </c>
      <c r="F40" s="42" t="s">
        <v>67</v>
      </c>
      <c r="G40" s="31" t="s">
        <v>68</v>
      </c>
      <c r="H40" s="62">
        <f>I40+J40</f>
        <v>1304329</v>
      </c>
      <c r="I40" s="62"/>
      <c r="J40" s="62">
        <v>1304329</v>
      </c>
      <c r="K40" s="62">
        <v>1304329</v>
      </c>
      <c r="L40" s="62">
        <f>M40+N40</f>
        <v>0</v>
      </c>
      <c r="M40" s="62"/>
      <c r="N40" s="62"/>
      <c r="O40" s="62"/>
      <c r="P40" s="59">
        <f t="shared" si="2"/>
        <v>0</v>
      </c>
      <c r="Q40" s="59">
        <f t="shared" si="14"/>
        <v>-1304329</v>
      </c>
    </row>
    <row r="41" spans="1:17" s="3" customFormat="1" ht="62.4" x14ac:dyDescent="0.3">
      <c r="A41" s="46" t="s">
        <v>81</v>
      </c>
      <c r="B41" s="46" t="s">
        <v>82</v>
      </c>
      <c r="C41" s="46" t="s">
        <v>83</v>
      </c>
      <c r="D41" s="78" t="s">
        <v>84</v>
      </c>
      <c r="E41" s="76">
        <v>25</v>
      </c>
      <c r="F41" s="42" t="s">
        <v>85</v>
      </c>
      <c r="G41" s="31" t="s">
        <v>86</v>
      </c>
      <c r="H41" s="62">
        <f t="shared" si="11"/>
        <v>4638400</v>
      </c>
      <c r="I41" s="62">
        <v>4638400</v>
      </c>
      <c r="J41" s="62"/>
      <c r="K41" s="62"/>
      <c r="L41" s="62">
        <f t="shared" ref="L41:L46" si="17">M41+N41</f>
        <v>0</v>
      </c>
      <c r="M41" s="62"/>
      <c r="N41" s="62"/>
      <c r="O41" s="62"/>
      <c r="P41" s="59">
        <f t="shared" si="2"/>
        <v>0</v>
      </c>
      <c r="Q41" s="59">
        <f t="shared" si="14"/>
        <v>-4638400</v>
      </c>
    </row>
    <row r="42" spans="1:17" s="3" customFormat="1" ht="46.8" x14ac:dyDescent="0.3">
      <c r="A42" s="50" t="s">
        <v>87</v>
      </c>
      <c r="B42" s="31">
        <v>3242</v>
      </c>
      <c r="C42" s="31">
        <v>1090</v>
      </c>
      <c r="D42" s="42" t="s">
        <v>88</v>
      </c>
      <c r="E42" s="42">
        <v>1</v>
      </c>
      <c r="F42" s="42" t="s">
        <v>89</v>
      </c>
      <c r="G42" s="31" t="s">
        <v>90</v>
      </c>
      <c r="H42" s="62">
        <f t="shared" si="11"/>
        <v>300000</v>
      </c>
      <c r="I42" s="62">
        <v>300000</v>
      </c>
      <c r="J42" s="62"/>
      <c r="K42" s="62"/>
      <c r="L42" s="62">
        <f t="shared" si="17"/>
        <v>73330</v>
      </c>
      <c r="M42" s="62">
        <v>73330</v>
      </c>
      <c r="N42" s="62"/>
      <c r="O42" s="62"/>
      <c r="P42" s="59">
        <f t="shared" si="2"/>
        <v>0.24443333333333334</v>
      </c>
      <c r="Q42" s="59">
        <f t="shared" si="14"/>
        <v>-226670</v>
      </c>
    </row>
    <row r="43" spans="1:17" s="3" customFormat="1" ht="46.8" x14ac:dyDescent="0.3">
      <c r="A43" s="50" t="s">
        <v>87</v>
      </c>
      <c r="B43" s="31">
        <v>3242</v>
      </c>
      <c r="C43" s="31">
        <v>1090</v>
      </c>
      <c r="D43" s="42" t="s">
        <v>88</v>
      </c>
      <c r="E43" s="42">
        <v>14</v>
      </c>
      <c r="F43" s="42" t="s">
        <v>39</v>
      </c>
      <c r="G43" s="31" t="s">
        <v>40</v>
      </c>
      <c r="H43" s="62">
        <f t="shared" si="11"/>
        <v>3801000</v>
      </c>
      <c r="I43" s="62">
        <v>3801000</v>
      </c>
      <c r="J43" s="62"/>
      <c r="K43" s="62"/>
      <c r="L43" s="62">
        <f t="shared" si="17"/>
        <v>857842.38</v>
      </c>
      <c r="M43" s="62">
        <v>857842.38</v>
      </c>
      <c r="N43" s="62"/>
      <c r="O43" s="62"/>
      <c r="P43" s="59">
        <f t="shared" si="2"/>
        <v>0.22568860299921073</v>
      </c>
      <c r="Q43" s="59">
        <f t="shared" si="14"/>
        <v>-2943157.62</v>
      </c>
    </row>
    <row r="44" spans="1:17" s="3" customFormat="1" ht="46.8" x14ac:dyDescent="0.3">
      <c r="A44" s="31" t="s">
        <v>282</v>
      </c>
      <c r="B44" s="31" t="s">
        <v>283</v>
      </c>
      <c r="C44" s="31" t="s">
        <v>179</v>
      </c>
      <c r="D44" s="45" t="s">
        <v>284</v>
      </c>
      <c r="E44" s="48">
        <v>16</v>
      </c>
      <c r="F44" s="42" t="s">
        <v>67</v>
      </c>
      <c r="G44" s="31" t="s">
        <v>68</v>
      </c>
      <c r="H44" s="62">
        <f t="shared" si="11"/>
        <v>473000</v>
      </c>
      <c r="I44" s="62">
        <v>473000</v>
      </c>
      <c r="J44" s="62"/>
      <c r="K44" s="62"/>
      <c r="L44" s="62">
        <f t="shared" si="17"/>
        <v>0</v>
      </c>
      <c r="M44" s="62"/>
      <c r="N44" s="62"/>
      <c r="O44" s="62"/>
      <c r="P44" s="59">
        <f t="shared" si="2"/>
        <v>0</v>
      </c>
      <c r="Q44" s="59">
        <f t="shared" si="14"/>
        <v>-473000</v>
      </c>
    </row>
    <row r="45" spans="1:17" s="3" customFormat="1" ht="46.8" x14ac:dyDescent="0.3">
      <c r="A45" s="77" t="s">
        <v>285</v>
      </c>
      <c r="B45" s="46" t="s">
        <v>255</v>
      </c>
      <c r="C45" s="46" t="s">
        <v>256</v>
      </c>
      <c r="D45" s="76" t="s">
        <v>257</v>
      </c>
      <c r="E45" s="76">
        <v>61</v>
      </c>
      <c r="F45" s="42" t="s">
        <v>258</v>
      </c>
      <c r="G45" s="31" t="s">
        <v>259</v>
      </c>
      <c r="H45" s="62">
        <f t="shared" si="11"/>
        <v>500000</v>
      </c>
      <c r="I45" s="62">
        <v>500000</v>
      </c>
      <c r="J45" s="62"/>
      <c r="K45" s="62"/>
      <c r="L45" s="62">
        <f t="shared" si="17"/>
        <v>87176</v>
      </c>
      <c r="M45" s="62">
        <v>87176</v>
      </c>
      <c r="N45" s="62"/>
      <c r="O45" s="62"/>
      <c r="P45" s="59">
        <f t="shared" si="2"/>
        <v>0.17435200000000001</v>
      </c>
      <c r="Q45" s="59">
        <f t="shared" si="14"/>
        <v>-412824</v>
      </c>
    </row>
    <row r="46" spans="1:17" s="3" customFormat="1" ht="46.8" x14ac:dyDescent="0.3">
      <c r="A46" s="77" t="s">
        <v>91</v>
      </c>
      <c r="B46" s="46" t="s">
        <v>261</v>
      </c>
      <c r="C46" s="46" t="s">
        <v>92</v>
      </c>
      <c r="D46" s="45" t="s">
        <v>93</v>
      </c>
      <c r="E46" s="45">
        <v>17</v>
      </c>
      <c r="F46" s="42" t="s">
        <v>219</v>
      </c>
      <c r="G46" s="31" t="s">
        <v>95</v>
      </c>
      <c r="H46" s="62">
        <f t="shared" si="11"/>
        <v>8074650</v>
      </c>
      <c r="I46" s="62">
        <v>780000</v>
      </c>
      <c r="J46" s="62">
        <f>200000+6894650+200000</f>
        <v>7294650</v>
      </c>
      <c r="K46" s="62">
        <f>200000+6894650+200000</f>
        <v>7294650</v>
      </c>
      <c r="L46" s="62">
        <f t="shared" si="17"/>
        <v>472398.07</v>
      </c>
      <c r="M46" s="62"/>
      <c r="N46" s="62">
        <v>472398.07</v>
      </c>
      <c r="O46" s="62">
        <v>472398.07</v>
      </c>
      <c r="P46" s="59">
        <f t="shared" si="2"/>
        <v>5.8503844748688798E-2</v>
      </c>
      <c r="Q46" s="59">
        <f t="shared" si="14"/>
        <v>-7602251.9299999997</v>
      </c>
    </row>
    <row r="47" spans="1:17" s="3" customFormat="1" ht="15.6" x14ac:dyDescent="0.3">
      <c r="A47" s="28" t="s">
        <v>96</v>
      </c>
      <c r="B47" s="28"/>
      <c r="C47" s="28"/>
      <c r="D47" s="95" t="s">
        <v>97</v>
      </c>
      <c r="E47" s="96"/>
      <c r="F47" s="97"/>
      <c r="G47" s="75"/>
      <c r="H47" s="60">
        <f>H48</f>
        <v>68989225</v>
      </c>
      <c r="I47" s="60">
        <f>I48</f>
        <v>67997600</v>
      </c>
      <c r="J47" s="60">
        <f t="shared" ref="J47:K47" si="18">J48</f>
        <v>991625</v>
      </c>
      <c r="K47" s="60">
        <f t="shared" si="18"/>
        <v>991625</v>
      </c>
      <c r="L47" s="60">
        <f>L48</f>
        <v>11213123.83</v>
      </c>
      <c r="M47" s="60">
        <f>M48</f>
        <v>11213123.83</v>
      </c>
      <c r="N47" s="60">
        <f t="shared" ref="N47:O47" si="19">N48</f>
        <v>0</v>
      </c>
      <c r="O47" s="60">
        <f t="shared" si="19"/>
        <v>0</v>
      </c>
      <c r="P47" s="60">
        <f t="shared" si="2"/>
        <v>0.1625344222956556</v>
      </c>
      <c r="Q47" s="60">
        <f t="shared" si="14"/>
        <v>-57776101.170000002</v>
      </c>
    </row>
    <row r="48" spans="1:17" s="3" customFormat="1" ht="15.6" x14ac:dyDescent="0.3">
      <c r="A48" s="28" t="s">
        <v>98</v>
      </c>
      <c r="B48" s="28"/>
      <c r="C48" s="28"/>
      <c r="D48" s="95" t="s">
        <v>97</v>
      </c>
      <c r="E48" s="96"/>
      <c r="F48" s="97"/>
      <c r="G48" s="75"/>
      <c r="H48" s="60">
        <f>SUM(H49:H63)</f>
        <v>68989225</v>
      </c>
      <c r="I48" s="60">
        <f>SUM(I49:I63)</f>
        <v>67997600</v>
      </c>
      <c r="J48" s="60">
        <f t="shared" ref="J48:K48" si="20">SUM(J49:J63)</f>
        <v>991625</v>
      </c>
      <c r="K48" s="60">
        <f t="shared" si="20"/>
        <v>991625</v>
      </c>
      <c r="L48" s="60">
        <f>SUM(L49:L63)</f>
        <v>11213123.83</v>
      </c>
      <c r="M48" s="60">
        <f>SUM(M49:M63)</f>
        <v>11213123.83</v>
      </c>
      <c r="N48" s="60">
        <f t="shared" ref="N48:O48" si="21">SUM(N49:N63)</f>
        <v>0</v>
      </c>
      <c r="O48" s="60">
        <f t="shared" si="21"/>
        <v>0</v>
      </c>
      <c r="P48" s="60">
        <f t="shared" si="2"/>
        <v>0.1625344222956556</v>
      </c>
      <c r="Q48" s="60">
        <f t="shared" si="14"/>
        <v>-57776101.170000002</v>
      </c>
    </row>
    <row r="49" spans="1:17" s="3" customFormat="1" ht="62.4" x14ac:dyDescent="0.3">
      <c r="A49" s="46" t="s">
        <v>99</v>
      </c>
      <c r="B49" s="46" t="s">
        <v>100</v>
      </c>
      <c r="C49" s="46" t="s">
        <v>101</v>
      </c>
      <c r="D49" s="79" t="s">
        <v>102</v>
      </c>
      <c r="E49" s="79">
        <v>13</v>
      </c>
      <c r="F49" s="42" t="s">
        <v>65</v>
      </c>
      <c r="G49" s="31" t="s">
        <v>103</v>
      </c>
      <c r="H49" s="62">
        <f>I49+J49</f>
        <v>3153000</v>
      </c>
      <c r="I49" s="62">
        <v>3153000</v>
      </c>
      <c r="J49" s="62"/>
      <c r="K49" s="62"/>
      <c r="L49" s="62">
        <f>M49+N49</f>
        <v>51894.22</v>
      </c>
      <c r="M49" s="62">
        <v>51894.22</v>
      </c>
      <c r="N49" s="62"/>
      <c r="O49" s="62"/>
      <c r="P49" s="62">
        <f t="shared" si="2"/>
        <v>1.6458680621630195E-2</v>
      </c>
      <c r="Q49" s="62">
        <f t="shared" si="14"/>
        <v>-3101105.78</v>
      </c>
    </row>
    <row r="50" spans="1:17" s="3" customFormat="1" ht="46.8" x14ac:dyDescent="0.3">
      <c r="A50" s="46" t="s">
        <v>99</v>
      </c>
      <c r="B50" s="46" t="s">
        <v>100</v>
      </c>
      <c r="C50" s="46" t="s">
        <v>101</v>
      </c>
      <c r="D50" s="79" t="s">
        <v>102</v>
      </c>
      <c r="E50" s="79">
        <v>14</v>
      </c>
      <c r="F50" s="42" t="s">
        <v>39</v>
      </c>
      <c r="G50" s="31" t="s">
        <v>40</v>
      </c>
      <c r="H50" s="62">
        <f>I50+J50</f>
        <v>8000</v>
      </c>
      <c r="I50" s="62">
        <v>8000</v>
      </c>
      <c r="J50" s="62"/>
      <c r="K50" s="62"/>
      <c r="L50" s="62">
        <f>M50+N50</f>
        <v>0</v>
      </c>
      <c r="M50" s="62"/>
      <c r="N50" s="62"/>
      <c r="O50" s="62"/>
      <c r="P50" s="62">
        <f t="shared" si="2"/>
        <v>0</v>
      </c>
      <c r="Q50" s="62">
        <f t="shared" si="14"/>
        <v>-8000</v>
      </c>
    </row>
    <row r="51" spans="1:17" s="3" customFormat="1" ht="46.8" x14ac:dyDescent="0.3">
      <c r="A51" s="46" t="s">
        <v>104</v>
      </c>
      <c r="B51" s="46" t="s">
        <v>105</v>
      </c>
      <c r="C51" s="46" t="s">
        <v>101</v>
      </c>
      <c r="D51" s="79" t="s">
        <v>106</v>
      </c>
      <c r="E51" s="79">
        <v>14</v>
      </c>
      <c r="F51" s="42" t="s">
        <v>39</v>
      </c>
      <c r="G51" s="31" t="s">
        <v>40</v>
      </c>
      <c r="H51" s="62">
        <f t="shared" ref="H51:H63" si="22">I51+J51</f>
        <v>5000</v>
      </c>
      <c r="I51" s="62">
        <v>5000</v>
      </c>
      <c r="J51" s="62"/>
      <c r="K51" s="62"/>
      <c r="L51" s="62">
        <f t="shared" ref="L51" si="23">M51+N51</f>
        <v>1148.71</v>
      </c>
      <c r="M51" s="62">
        <v>1148.71</v>
      </c>
      <c r="N51" s="62"/>
      <c r="O51" s="62"/>
      <c r="P51" s="59">
        <f t="shared" si="2"/>
        <v>0.229742</v>
      </c>
      <c r="Q51" s="59">
        <f t="shared" si="14"/>
        <v>-3851.29</v>
      </c>
    </row>
    <row r="52" spans="1:17" s="3" customFormat="1" ht="46.8" x14ac:dyDescent="0.3">
      <c r="A52" s="46" t="s">
        <v>107</v>
      </c>
      <c r="B52" s="46" t="s">
        <v>108</v>
      </c>
      <c r="C52" s="46" t="s">
        <v>83</v>
      </c>
      <c r="D52" s="76" t="s">
        <v>109</v>
      </c>
      <c r="E52" s="76">
        <v>14</v>
      </c>
      <c r="F52" s="42" t="s">
        <v>39</v>
      </c>
      <c r="G52" s="31" t="s">
        <v>112</v>
      </c>
      <c r="H52" s="62">
        <f>I52+J52</f>
        <v>441400</v>
      </c>
      <c r="I52" s="62">
        <f>343400+98000</f>
        <v>441400</v>
      </c>
      <c r="J52" s="62"/>
      <c r="K52" s="62"/>
      <c r="L52" s="62">
        <f>M52+N52</f>
        <v>13619</v>
      </c>
      <c r="M52" s="62">
        <v>13619</v>
      </c>
      <c r="N52" s="62"/>
      <c r="O52" s="62"/>
      <c r="P52" s="62">
        <f t="shared" si="2"/>
        <v>3.0854100589034889E-2</v>
      </c>
      <c r="Q52" s="62">
        <f t="shared" si="14"/>
        <v>-427781</v>
      </c>
    </row>
    <row r="53" spans="1:17" s="3" customFormat="1" ht="62.4" x14ac:dyDescent="0.3">
      <c r="A53" s="46" t="s">
        <v>107</v>
      </c>
      <c r="B53" s="46" t="s">
        <v>108</v>
      </c>
      <c r="C53" s="46" t="s">
        <v>83</v>
      </c>
      <c r="D53" s="76" t="s">
        <v>109</v>
      </c>
      <c r="E53" s="76">
        <v>13</v>
      </c>
      <c r="F53" s="42" t="s">
        <v>65</v>
      </c>
      <c r="G53" s="31" t="s">
        <v>103</v>
      </c>
      <c r="H53" s="62">
        <f>I53+J53</f>
        <v>991625</v>
      </c>
      <c r="I53" s="62"/>
      <c r="J53" s="62">
        <v>991625</v>
      </c>
      <c r="K53" s="62">
        <v>991625</v>
      </c>
      <c r="L53" s="62">
        <f>M53+N53</f>
        <v>0</v>
      </c>
      <c r="M53" s="62"/>
      <c r="N53" s="62"/>
      <c r="O53" s="62"/>
      <c r="P53" s="62">
        <f t="shared" si="2"/>
        <v>0</v>
      </c>
      <c r="Q53" s="62">
        <f t="shared" si="14"/>
        <v>-991625</v>
      </c>
    </row>
    <row r="54" spans="1:17" s="54" customFormat="1" ht="46.8" x14ac:dyDescent="0.3">
      <c r="A54" s="46" t="s">
        <v>107</v>
      </c>
      <c r="B54" s="46" t="s">
        <v>108</v>
      </c>
      <c r="C54" s="46" t="s">
        <v>83</v>
      </c>
      <c r="D54" s="76" t="s">
        <v>109</v>
      </c>
      <c r="E54" s="76">
        <v>29</v>
      </c>
      <c r="F54" s="42" t="s">
        <v>110</v>
      </c>
      <c r="G54" s="31" t="s">
        <v>111</v>
      </c>
      <c r="H54" s="62">
        <f t="shared" si="22"/>
        <v>287200</v>
      </c>
      <c r="I54" s="62">
        <v>287200</v>
      </c>
      <c r="J54" s="62"/>
      <c r="K54" s="62"/>
      <c r="L54" s="62">
        <f t="shared" ref="L54" si="24">M54+N54</f>
        <v>40596.93</v>
      </c>
      <c r="M54" s="62">
        <v>40596.93</v>
      </c>
      <c r="N54" s="62"/>
      <c r="O54" s="62"/>
      <c r="P54" s="59">
        <f t="shared" si="2"/>
        <v>0.141354213091922</v>
      </c>
      <c r="Q54" s="59">
        <f t="shared" si="14"/>
        <v>-246603.07</v>
      </c>
    </row>
    <row r="55" spans="1:17" s="54" customFormat="1" ht="46.8" x14ac:dyDescent="0.3">
      <c r="A55" s="46" t="s">
        <v>113</v>
      </c>
      <c r="B55" s="46" t="s">
        <v>114</v>
      </c>
      <c r="C55" s="46" t="s">
        <v>83</v>
      </c>
      <c r="D55" s="48" t="s">
        <v>115</v>
      </c>
      <c r="E55" s="48">
        <v>14</v>
      </c>
      <c r="F55" s="42" t="s">
        <v>39</v>
      </c>
      <c r="G55" s="31" t="s">
        <v>116</v>
      </c>
      <c r="H55" s="62">
        <f>I55+J55</f>
        <v>707500</v>
      </c>
      <c r="I55" s="62">
        <v>707500</v>
      </c>
      <c r="J55" s="62"/>
      <c r="K55" s="62"/>
      <c r="L55" s="62">
        <f>M55+N55</f>
        <v>0</v>
      </c>
      <c r="M55" s="62"/>
      <c r="N55" s="62"/>
      <c r="O55" s="62"/>
      <c r="P55" s="59">
        <f t="shared" si="2"/>
        <v>0</v>
      </c>
      <c r="Q55" s="59">
        <f t="shared" si="14"/>
        <v>-707500</v>
      </c>
    </row>
    <row r="56" spans="1:17" s="3" customFormat="1" ht="62.4" x14ac:dyDescent="0.3">
      <c r="A56" s="46" t="s">
        <v>286</v>
      </c>
      <c r="B56" s="46" t="s">
        <v>82</v>
      </c>
      <c r="C56" s="46" t="s">
        <v>83</v>
      </c>
      <c r="D56" s="78" t="s">
        <v>84</v>
      </c>
      <c r="E56" s="76">
        <v>25</v>
      </c>
      <c r="F56" s="42" t="s">
        <v>85</v>
      </c>
      <c r="G56" s="31" t="s">
        <v>86</v>
      </c>
      <c r="H56" s="62">
        <f>I56+J56</f>
        <v>1200000</v>
      </c>
      <c r="I56" s="62">
        <f>200000+1000000</f>
        <v>1200000</v>
      </c>
      <c r="J56" s="62"/>
      <c r="K56" s="62"/>
      <c r="L56" s="62">
        <f>M56+N56</f>
        <v>0</v>
      </c>
      <c r="M56" s="62"/>
      <c r="N56" s="62"/>
      <c r="O56" s="62"/>
      <c r="P56" s="59">
        <f t="shared" si="2"/>
        <v>0</v>
      </c>
      <c r="Q56" s="59">
        <f t="shared" si="14"/>
        <v>-1200000</v>
      </c>
    </row>
    <row r="57" spans="1:17" s="3" customFormat="1" ht="78" x14ac:dyDescent="0.3">
      <c r="A57" s="46" t="s">
        <v>117</v>
      </c>
      <c r="B57" s="46" t="s">
        <v>118</v>
      </c>
      <c r="C57" s="46" t="s">
        <v>62</v>
      </c>
      <c r="D57" s="76" t="s">
        <v>119</v>
      </c>
      <c r="E57" s="76">
        <v>14</v>
      </c>
      <c r="F57" s="42" t="s">
        <v>39</v>
      </c>
      <c r="G57" s="31" t="s">
        <v>40</v>
      </c>
      <c r="H57" s="62">
        <f t="shared" si="22"/>
        <v>3300000</v>
      </c>
      <c r="I57" s="62">
        <v>3300000</v>
      </c>
      <c r="J57" s="62"/>
      <c r="K57" s="62"/>
      <c r="L57" s="62">
        <f t="shared" ref="L57:L60" si="25">M57+N57</f>
        <v>624146.73</v>
      </c>
      <c r="M57" s="62">
        <v>624146.73</v>
      </c>
      <c r="N57" s="62"/>
      <c r="O57" s="62"/>
      <c r="P57" s="59">
        <f t="shared" si="2"/>
        <v>0.18913537272727271</v>
      </c>
      <c r="Q57" s="59">
        <f t="shared" si="14"/>
        <v>-2675853.27</v>
      </c>
    </row>
    <row r="58" spans="1:17" s="3" customFormat="1" ht="62.4" x14ac:dyDescent="0.3">
      <c r="A58" s="46" t="s">
        <v>120</v>
      </c>
      <c r="B58" s="46" t="s">
        <v>121</v>
      </c>
      <c r="C58" s="46" t="s">
        <v>122</v>
      </c>
      <c r="D58" s="76" t="s">
        <v>123</v>
      </c>
      <c r="E58" s="76">
        <v>14</v>
      </c>
      <c r="F58" s="42" t="s">
        <v>39</v>
      </c>
      <c r="G58" s="31" t="s">
        <v>40</v>
      </c>
      <c r="H58" s="62">
        <f t="shared" si="22"/>
        <v>1000000</v>
      </c>
      <c r="I58" s="62">
        <v>1000000</v>
      </c>
      <c r="J58" s="62"/>
      <c r="K58" s="62"/>
      <c r="L58" s="62">
        <f t="shared" si="25"/>
        <v>201551.8</v>
      </c>
      <c r="M58" s="62">
        <v>201551.8</v>
      </c>
      <c r="N58" s="62"/>
      <c r="O58" s="62"/>
      <c r="P58" s="59">
        <f t="shared" si="2"/>
        <v>0.20155179999999998</v>
      </c>
      <c r="Q58" s="59">
        <f t="shared" si="14"/>
        <v>-798448.2</v>
      </c>
    </row>
    <row r="59" spans="1:17" s="3" customFormat="1" ht="46.8" x14ac:dyDescent="0.3">
      <c r="A59" s="46" t="s">
        <v>124</v>
      </c>
      <c r="B59" s="46" t="s">
        <v>125</v>
      </c>
      <c r="C59" s="46" t="s">
        <v>101</v>
      </c>
      <c r="D59" s="76" t="s">
        <v>126</v>
      </c>
      <c r="E59" s="76">
        <v>14</v>
      </c>
      <c r="F59" s="42" t="s">
        <v>39</v>
      </c>
      <c r="G59" s="31" t="s">
        <v>40</v>
      </c>
      <c r="H59" s="62">
        <f t="shared" si="22"/>
        <v>71000</v>
      </c>
      <c r="I59" s="62">
        <v>71000</v>
      </c>
      <c r="J59" s="62"/>
      <c r="K59" s="62"/>
      <c r="L59" s="62">
        <f t="shared" si="25"/>
        <v>11972.15</v>
      </c>
      <c r="M59" s="62">
        <v>11972.15</v>
      </c>
      <c r="N59" s="62"/>
      <c r="O59" s="62"/>
      <c r="P59" s="59">
        <f t="shared" si="2"/>
        <v>0.16862183098591549</v>
      </c>
      <c r="Q59" s="59">
        <f t="shared" si="14"/>
        <v>-59027.85</v>
      </c>
    </row>
    <row r="60" spans="1:17" s="3" customFormat="1" ht="46.8" x14ac:dyDescent="0.3">
      <c r="A60" s="46" t="s">
        <v>127</v>
      </c>
      <c r="B60" s="46" t="s">
        <v>128</v>
      </c>
      <c r="C60" s="46" t="s">
        <v>129</v>
      </c>
      <c r="D60" s="80" t="s">
        <v>130</v>
      </c>
      <c r="E60" s="80">
        <v>14</v>
      </c>
      <c r="F60" s="42" t="s">
        <v>39</v>
      </c>
      <c r="G60" s="31" t="s">
        <v>40</v>
      </c>
      <c r="H60" s="62">
        <f t="shared" si="22"/>
        <v>497600</v>
      </c>
      <c r="I60" s="62">
        <v>497600</v>
      </c>
      <c r="J60" s="62"/>
      <c r="K60" s="62"/>
      <c r="L60" s="62">
        <f t="shared" si="25"/>
        <v>0</v>
      </c>
      <c r="M60" s="62"/>
      <c r="N60" s="62"/>
      <c r="O60" s="62"/>
      <c r="P60" s="59">
        <f t="shared" si="2"/>
        <v>0</v>
      </c>
      <c r="Q60" s="59">
        <f t="shared" si="14"/>
        <v>-497600</v>
      </c>
    </row>
    <row r="61" spans="1:17" s="3" customFormat="1" ht="62.4" x14ac:dyDescent="0.3">
      <c r="A61" s="46" t="s">
        <v>131</v>
      </c>
      <c r="B61" s="46" t="s">
        <v>36</v>
      </c>
      <c r="C61" s="46" t="s">
        <v>37</v>
      </c>
      <c r="D61" s="76" t="s">
        <v>38</v>
      </c>
      <c r="E61" s="76">
        <v>13</v>
      </c>
      <c r="F61" s="42" t="s">
        <v>65</v>
      </c>
      <c r="G61" s="31" t="s">
        <v>132</v>
      </c>
      <c r="H61" s="62">
        <f>I61+J61</f>
        <v>18702800</v>
      </c>
      <c r="I61" s="62">
        <f>6622800+12080000</f>
        <v>18702800</v>
      </c>
      <c r="J61" s="62"/>
      <c r="K61" s="62"/>
      <c r="L61" s="62">
        <f>M61+N61</f>
        <v>3554470</v>
      </c>
      <c r="M61" s="62">
        <v>3554470</v>
      </c>
      <c r="N61" s="62"/>
      <c r="O61" s="62"/>
      <c r="P61" s="62">
        <f t="shared" si="2"/>
        <v>0.19005015291827962</v>
      </c>
      <c r="Q61" s="62">
        <f t="shared" si="14"/>
        <v>-15148330</v>
      </c>
    </row>
    <row r="62" spans="1:17" s="54" customFormat="1" ht="46.8" x14ac:dyDescent="0.3">
      <c r="A62" s="46" t="s">
        <v>131</v>
      </c>
      <c r="B62" s="46" t="s">
        <v>36</v>
      </c>
      <c r="C62" s="46" t="s">
        <v>37</v>
      </c>
      <c r="D62" s="76" t="s">
        <v>38</v>
      </c>
      <c r="E62" s="76">
        <v>14</v>
      </c>
      <c r="F62" s="42" t="s">
        <v>39</v>
      </c>
      <c r="G62" s="31" t="s">
        <v>40</v>
      </c>
      <c r="H62" s="62">
        <f t="shared" si="22"/>
        <v>38345600</v>
      </c>
      <c r="I62" s="62">
        <f>16425600+35000000-12080000-1000000</f>
        <v>38345600</v>
      </c>
      <c r="J62" s="62"/>
      <c r="K62" s="62"/>
      <c r="L62" s="62">
        <f t="shared" ref="L62:L63" si="26">M62+N62</f>
        <v>6682264.29</v>
      </c>
      <c r="M62" s="62">
        <v>6682264.29</v>
      </c>
      <c r="N62" s="62"/>
      <c r="O62" s="62"/>
      <c r="P62" s="62">
        <f t="shared" si="2"/>
        <v>0.17426417346449136</v>
      </c>
      <c r="Q62" s="62">
        <f t="shared" si="14"/>
        <v>-31663335.710000001</v>
      </c>
    </row>
    <row r="63" spans="1:17" s="54" customFormat="1" ht="46.8" x14ac:dyDescent="0.3">
      <c r="A63" s="46" t="s">
        <v>287</v>
      </c>
      <c r="B63" s="46" t="s">
        <v>255</v>
      </c>
      <c r="C63" s="46" t="s">
        <v>256</v>
      </c>
      <c r="D63" s="76" t="s">
        <v>257</v>
      </c>
      <c r="E63" s="76">
        <v>61</v>
      </c>
      <c r="F63" s="42" t="s">
        <v>258</v>
      </c>
      <c r="G63" s="31" t="s">
        <v>259</v>
      </c>
      <c r="H63" s="62">
        <f t="shared" si="22"/>
        <v>278500</v>
      </c>
      <c r="I63" s="62">
        <v>278500</v>
      </c>
      <c r="J63" s="62"/>
      <c r="K63" s="62"/>
      <c r="L63" s="62">
        <f t="shared" si="26"/>
        <v>31460</v>
      </c>
      <c r="M63" s="62">
        <f>20626+3900+6934</f>
        <v>31460</v>
      </c>
      <c r="N63" s="62"/>
      <c r="O63" s="62"/>
      <c r="P63" s="59">
        <f t="shared" si="2"/>
        <v>0.11296229802513465</v>
      </c>
      <c r="Q63" s="59">
        <f t="shared" si="14"/>
        <v>-247040</v>
      </c>
    </row>
    <row r="64" spans="1:17" s="54" customFormat="1" ht="15.6" x14ac:dyDescent="0.3">
      <c r="A64" s="33" t="s">
        <v>133</v>
      </c>
      <c r="B64" s="32" t="s">
        <v>134</v>
      </c>
      <c r="C64" s="32" t="s">
        <v>134</v>
      </c>
      <c r="D64" s="100" t="s">
        <v>135</v>
      </c>
      <c r="E64" s="101"/>
      <c r="F64" s="102"/>
      <c r="G64" s="31"/>
      <c r="H64" s="60">
        <f>H65</f>
        <v>378300</v>
      </c>
      <c r="I64" s="60">
        <f t="shared" ref="I64:O65" si="27">I65</f>
        <v>378300</v>
      </c>
      <c r="J64" s="60">
        <f t="shared" si="27"/>
        <v>0</v>
      </c>
      <c r="K64" s="60">
        <f t="shared" si="27"/>
        <v>0</v>
      </c>
      <c r="L64" s="60">
        <f>L65</f>
        <v>95468</v>
      </c>
      <c r="M64" s="60">
        <f t="shared" si="27"/>
        <v>95468</v>
      </c>
      <c r="N64" s="60">
        <f t="shared" si="27"/>
        <v>0</v>
      </c>
      <c r="O64" s="60">
        <f t="shared" si="27"/>
        <v>0</v>
      </c>
      <c r="P64" s="60">
        <f t="shared" si="2"/>
        <v>0.2523605604017975</v>
      </c>
      <c r="Q64" s="60">
        <f t="shared" si="14"/>
        <v>-282832</v>
      </c>
    </row>
    <row r="65" spans="1:17" s="54" customFormat="1" ht="15.6" x14ac:dyDescent="0.3">
      <c r="A65" s="33" t="s">
        <v>136</v>
      </c>
      <c r="B65" s="32" t="s">
        <v>134</v>
      </c>
      <c r="C65" s="32" t="s">
        <v>134</v>
      </c>
      <c r="D65" s="100" t="s">
        <v>135</v>
      </c>
      <c r="E65" s="101"/>
      <c r="F65" s="102"/>
      <c r="G65" s="31"/>
      <c r="H65" s="60">
        <f>SUM(H66:H68)</f>
        <v>378300</v>
      </c>
      <c r="I65" s="60">
        <f>SUM(I66:I68)</f>
        <v>378300</v>
      </c>
      <c r="J65" s="60">
        <f t="shared" si="27"/>
        <v>0</v>
      </c>
      <c r="K65" s="60">
        <f t="shared" si="27"/>
        <v>0</v>
      </c>
      <c r="L65" s="60">
        <f>SUM(L66:L68)</f>
        <v>95468</v>
      </c>
      <c r="M65" s="60">
        <f>SUM(M66:M68)</f>
        <v>95468</v>
      </c>
      <c r="N65" s="60">
        <f t="shared" si="27"/>
        <v>0</v>
      </c>
      <c r="O65" s="60">
        <f t="shared" si="27"/>
        <v>0</v>
      </c>
      <c r="P65" s="60">
        <f t="shared" si="2"/>
        <v>0.2523605604017975</v>
      </c>
      <c r="Q65" s="60">
        <f t="shared" si="14"/>
        <v>-282832</v>
      </c>
    </row>
    <row r="66" spans="1:17" s="3" customFormat="1" ht="46.8" x14ac:dyDescent="0.3">
      <c r="A66" s="50" t="s">
        <v>137</v>
      </c>
      <c r="B66" s="31" t="s">
        <v>138</v>
      </c>
      <c r="C66" s="31" t="s">
        <v>83</v>
      </c>
      <c r="D66" s="45" t="s">
        <v>139</v>
      </c>
      <c r="E66" s="45">
        <v>14</v>
      </c>
      <c r="F66" s="42" t="s">
        <v>39</v>
      </c>
      <c r="G66" s="30" t="s">
        <v>140</v>
      </c>
      <c r="H66" s="62">
        <f>I66+J66</f>
        <v>263600</v>
      </c>
      <c r="I66" s="62">
        <f>278000-14400</f>
        <v>263600</v>
      </c>
      <c r="J66" s="62"/>
      <c r="K66" s="62"/>
      <c r="L66" s="62">
        <f>M66+N66</f>
        <v>6068</v>
      </c>
      <c r="M66" s="62">
        <v>6068</v>
      </c>
      <c r="N66" s="62"/>
      <c r="O66" s="62"/>
      <c r="P66" s="59">
        <f t="shared" si="2"/>
        <v>2.3019726858877085E-2</v>
      </c>
      <c r="Q66" s="59">
        <f t="shared" si="14"/>
        <v>-257532</v>
      </c>
    </row>
    <row r="67" spans="1:17" s="3" customFormat="1" ht="62.4" x14ac:dyDescent="0.3">
      <c r="A67" s="50" t="s">
        <v>137</v>
      </c>
      <c r="B67" s="31" t="s">
        <v>138</v>
      </c>
      <c r="C67" s="31" t="s">
        <v>83</v>
      </c>
      <c r="D67" s="45" t="s">
        <v>139</v>
      </c>
      <c r="E67" s="87">
        <v>65</v>
      </c>
      <c r="F67" s="61" t="s">
        <v>288</v>
      </c>
      <c r="G67" s="31" t="s">
        <v>289</v>
      </c>
      <c r="H67" s="62">
        <f t="shared" ref="H67:H68" si="28">I67+J67</f>
        <v>14400</v>
      </c>
      <c r="I67" s="62">
        <v>14400</v>
      </c>
      <c r="J67" s="62"/>
      <c r="K67" s="62"/>
      <c r="L67" s="62">
        <f t="shared" ref="L67:L68" si="29">M67+N67</f>
        <v>0</v>
      </c>
      <c r="M67" s="62"/>
      <c r="N67" s="62"/>
      <c r="O67" s="62"/>
      <c r="P67" s="59">
        <f t="shared" si="2"/>
        <v>0</v>
      </c>
      <c r="Q67" s="59">
        <f t="shared" si="14"/>
        <v>-14400</v>
      </c>
    </row>
    <row r="68" spans="1:17" s="3" customFormat="1" ht="46.8" x14ac:dyDescent="0.3">
      <c r="A68" s="46" t="s">
        <v>290</v>
      </c>
      <c r="B68" s="46" t="s">
        <v>255</v>
      </c>
      <c r="C68" s="46" t="s">
        <v>256</v>
      </c>
      <c r="D68" s="76" t="s">
        <v>257</v>
      </c>
      <c r="E68" s="76">
        <v>61</v>
      </c>
      <c r="F68" s="42" t="s">
        <v>258</v>
      </c>
      <c r="G68" s="31" t="s">
        <v>259</v>
      </c>
      <c r="H68" s="62">
        <f t="shared" si="28"/>
        <v>100300</v>
      </c>
      <c r="I68" s="62">
        <v>100300</v>
      </c>
      <c r="J68" s="62"/>
      <c r="K68" s="62"/>
      <c r="L68" s="62">
        <f t="shared" si="29"/>
        <v>89400</v>
      </c>
      <c r="M68" s="62">
        <v>89400</v>
      </c>
      <c r="N68" s="62"/>
      <c r="O68" s="62"/>
      <c r="P68" s="59">
        <f t="shared" si="2"/>
        <v>0.89132602193419741</v>
      </c>
      <c r="Q68" s="59">
        <f t="shared" si="14"/>
        <v>-10900</v>
      </c>
    </row>
    <row r="69" spans="1:17" s="3" customFormat="1" ht="15.6" x14ac:dyDescent="0.3">
      <c r="A69" s="28" t="s">
        <v>141</v>
      </c>
      <c r="B69" s="28"/>
      <c r="C69" s="28"/>
      <c r="D69" s="95" t="s">
        <v>142</v>
      </c>
      <c r="E69" s="96"/>
      <c r="F69" s="97"/>
      <c r="G69" s="75"/>
      <c r="H69" s="60">
        <f t="shared" ref="H69:O69" si="30">H70</f>
        <v>4305400</v>
      </c>
      <c r="I69" s="60">
        <f t="shared" si="30"/>
        <v>3830400</v>
      </c>
      <c r="J69" s="60">
        <f t="shared" si="30"/>
        <v>475000</v>
      </c>
      <c r="K69" s="60">
        <f t="shared" si="30"/>
        <v>200000</v>
      </c>
      <c r="L69" s="60">
        <f t="shared" si="30"/>
        <v>111786.23999999999</v>
      </c>
      <c r="M69" s="60">
        <f t="shared" si="30"/>
        <v>111786.23999999999</v>
      </c>
      <c r="N69" s="60">
        <f t="shared" si="30"/>
        <v>0</v>
      </c>
      <c r="O69" s="60">
        <f t="shared" si="30"/>
        <v>0</v>
      </c>
      <c r="P69" s="60">
        <f t="shared" si="2"/>
        <v>2.5964193803130951E-2</v>
      </c>
      <c r="Q69" s="60">
        <f t="shared" ref="Q69:Q82" si="31">L69-H69</f>
        <v>-4193613.76</v>
      </c>
    </row>
    <row r="70" spans="1:17" s="54" customFormat="1" ht="15.6" x14ac:dyDescent="0.3">
      <c r="A70" s="28" t="s">
        <v>143</v>
      </c>
      <c r="B70" s="28"/>
      <c r="C70" s="28"/>
      <c r="D70" s="95" t="s">
        <v>142</v>
      </c>
      <c r="E70" s="96"/>
      <c r="F70" s="97"/>
      <c r="G70" s="75"/>
      <c r="H70" s="60">
        <f>SUM(H71:H77)</f>
        <v>4305400</v>
      </c>
      <c r="I70" s="60">
        <f>SUM(I71:I77)</f>
        <v>3830400</v>
      </c>
      <c r="J70" s="60">
        <f>SUM(J71:J75)</f>
        <v>475000</v>
      </c>
      <c r="K70" s="60">
        <f>SUM(K71:K75)</f>
        <v>200000</v>
      </c>
      <c r="L70" s="60">
        <f>SUM(L71:L77)</f>
        <v>111786.23999999999</v>
      </c>
      <c r="M70" s="60">
        <f>SUM(M71:M77)</f>
        <v>111786.23999999999</v>
      </c>
      <c r="N70" s="60">
        <f>SUM(N71:N75)</f>
        <v>0</v>
      </c>
      <c r="O70" s="60">
        <f>SUM(O71:O75)</f>
        <v>0</v>
      </c>
      <c r="P70" s="60">
        <f t="shared" si="2"/>
        <v>2.5964193803130951E-2</v>
      </c>
      <c r="Q70" s="60">
        <f t="shared" si="31"/>
        <v>-4193613.76</v>
      </c>
    </row>
    <row r="71" spans="1:17" s="54" customFormat="1" ht="46.8" x14ac:dyDescent="0.3">
      <c r="A71" s="46" t="s">
        <v>147</v>
      </c>
      <c r="B71" s="46" t="s">
        <v>148</v>
      </c>
      <c r="C71" s="46" t="s">
        <v>149</v>
      </c>
      <c r="D71" s="76" t="s">
        <v>150</v>
      </c>
      <c r="E71" s="76">
        <v>28</v>
      </c>
      <c r="F71" s="42" t="s">
        <v>145</v>
      </c>
      <c r="G71" s="30" t="s">
        <v>146</v>
      </c>
      <c r="H71" s="62">
        <f>I71+J71</f>
        <v>862600</v>
      </c>
      <c r="I71" s="62">
        <v>587600</v>
      </c>
      <c r="J71" s="62">
        <v>275000</v>
      </c>
      <c r="K71" s="62"/>
      <c r="L71" s="62">
        <f>M71+N71</f>
        <v>0</v>
      </c>
      <c r="M71" s="62"/>
      <c r="N71" s="62"/>
      <c r="O71" s="62"/>
      <c r="P71" s="59">
        <f t="shared" si="2"/>
        <v>0</v>
      </c>
      <c r="Q71" s="59">
        <f t="shared" si="31"/>
        <v>-862600</v>
      </c>
    </row>
    <row r="72" spans="1:17" s="54" customFormat="1" ht="62.4" x14ac:dyDescent="0.3">
      <c r="A72" s="50" t="s">
        <v>151</v>
      </c>
      <c r="B72" s="31">
        <v>3140</v>
      </c>
      <c r="C72" s="46" t="s">
        <v>83</v>
      </c>
      <c r="D72" s="76" t="s">
        <v>84</v>
      </c>
      <c r="E72" s="76">
        <v>25</v>
      </c>
      <c r="F72" s="42" t="s">
        <v>152</v>
      </c>
      <c r="G72" s="31" t="s">
        <v>86</v>
      </c>
      <c r="H72" s="62">
        <f>I72+J72</f>
        <v>150000</v>
      </c>
      <c r="I72" s="62">
        <v>150000</v>
      </c>
      <c r="J72" s="62"/>
      <c r="K72" s="62"/>
      <c r="L72" s="62">
        <f>M72+N72</f>
        <v>0</v>
      </c>
      <c r="M72" s="62"/>
      <c r="N72" s="62"/>
      <c r="O72" s="62"/>
      <c r="P72" s="59">
        <f t="shared" si="2"/>
        <v>0</v>
      </c>
      <c r="Q72" s="59">
        <f t="shared" si="31"/>
        <v>-150000</v>
      </c>
    </row>
    <row r="73" spans="1:17" s="54" customFormat="1" ht="46.8" x14ac:dyDescent="0.3">
      <c r="A73" s="46" t="s">
        <v>153</v>
      </c>
      <c r="B73" s="46" t="s">
        <v>154</v>
      </c>
      <c r="C73" s="46" t="s">
        <v>155</v>
      </c>
      <c r="D73" s="76" t="s">
        <v>156</v>
      </c>
      <c r="E73" s="76">
        <v>28</v>
      </c>
      <c r="F73" s="42" t="s">
        <v>145</v>
      </c>
      <c r="G73" s="30" t="s">
        <v>146</v>
      </c>
      <c r="H73" s="62">
        <f t="shared" ref="H73:H77" si="32">I73+J73</f>
        <v>555000</v>
      </c>
      <c r="I73" s="62">
        <f>95000+200000+260000</f>
        <v>555000</v>
      </c>
      <c r="J73" s="62"/>
      <c r="K73" s="62"/>
      <c r="L73" s="62">
        <f t="shared" ref="L73:L77" si="33">M73+N73</f>
        <v>0</v>
      </c>
      <c r="M73" s="62"/>
      <c r="N73" s="62"/>
      <c r="O73" s="62"/>
      <c r="P73" s="59">
        <f t="shared" si="2"/>
        <v>0</v>
      </c>
      <c r="Q73" s="59">
        <f t="shared" si="31"/>
        <v>-555000</v>
      </c>
    </row>
    <row r="74" spans="1:17" s="3" customFormat="1" ht="46.8" x14ac:dyDescent="0.3">
      <c r="A74" s="46" t="s">
        <v>157</v>
      </c>
      <c r="B74" s="46" t="s">
        <v>158</v>
      </c>
      <c r="C74" s="46" t="s">
        <v>155</v>
      </c>
      <c r="D74" s="76" t="s">
        <v>159</v>
      </c>
      <c r="E74" s="76">
        <v>28</v>
      </c>
      <c r="F74" s="42" t="s">
        <v>145</v>
      </c>
      <c r="G74" s="31" t="s">
        <v>146</v>
      </c>
      <c r="H74" s="62">
        <f t="shared" si="32"/>
        <v>185500</v>
      </c>
      <c r="I74" s="62">
        <f>49000+136500</f>
        <v>185500</v>
      </c>
      <c r="J74" s="62"/>
      <c r="K74" s="62"/>
      <c r="L74" s="62">
        <f t="shared" si="33"/>
        <v>0</v>
      </c>
      <c r="M74" s="62"/>
      <c r="N74" s="62"/>
      <c r="O74" s="62"/>
      <c r="P74" s="59">
        <f t="shared" si="2"/>
        <v>0</v>
      </c>
      <c r="Q74" s="59">
        <f t="shared" si="31"/>
        <v>-185500</v>
      </c>
    </row>
    <row r="75" spans="1:17" s="3" customFormat="1" ht="46.8" x14ac:dyDescent="0.3">
      <c r="A75" s="46" t="s">
        <v>160</v>
      </c>
      <c r="B75" s="46" t="s">
        <v>161</v>
      </c>
      <c r="C75" s="46" t="s">
        <v>162</v>
      </c>
      <c r="D75" s="76" t="s">
        <v>163</v>
      </c>
      <c r="E75" s="88">
        <v>28</v>
      </c>
      <c r="F75" s="51" t="s">
        <v>145</v>
      </c>
      <c r="G75" s="30" t="s">
        <v>146</v>
      </c>
      <c r="H75" s="62">
        <f t="shared" si="32"/>
        <v>1687300</v>
      </c>
      <c r="I75" s="62">
        <v>1487300</v>
      </c>
      <c r="J75" s="62">
        <v>200000</v>
      </c>
      <c r="K75" s="62">
        <v>200000</v>
      </c>
      <c r="L75" s="62">
        <f t="shared" si="33"/>
        <v>37990.589999999997</v>
      </c>
      <c r="M75" s="62">
        <v>37990.589999999997</v>
      </c>
      <c r="N75" s="62"/>
      <c r="O75" s="62"/>
      <c r="P75" s="59">
        <f t="shared" si="2"/>
        <v>2.2515610739050552E-2</v>
      </c>
      <c r="Q75" s="59">
        <f t="shared" si="31"/>
        <v>-1649309.41</v>
      </c>
    </row>
    <row r="76" spans="1:17" s="3" customFormat="1" ht="46.8" x14ac:dyDescent="0.3">
      <c r="A76" s="46" t="s">
        <v>164</v>
      </c>
      <c r="B76" s="46" t="s">
        <v>165</v>
      </c>
      <c r="C76" s="46" t="s">
        <v>166</v>
      </c>
      <c r="D76" s="76" t="s">
        <v>167</v>
      </c>
      <c r="E76" s="88">
        <v>28</v>
      </c>
      <c r="F76" s="51" t="s">
        <v>145</v>
      </c>
      <c r="G76" s="30" t="s">
        <v>146</v>
      </c>
      <c r="H76" s="62">
        <f t="shared" si="32"/>
        <v>698000</v>
      </c>
      <c r="I76" s="62">
        <f>600000+98000</f>
        <v>698000</v>
      </c>
      <c r="J76" s="62"/>
      <c r="K76" s="62"/>
      <c r="L76" s="62">
        <f t="shared" si="33"/>
        <v>43449</v>
      </c>
      <c r="M76" s="62">
        <v>43449</v>
      </c>
      <c r="N76" s="62"/>
      <c r="O76" s="62"/>
      <c r="P76" s="59">
        <f t="shared" si="2"/>
        <v>6.2247851002865333E-2</v>
      </c>
      <c r="Q76" s="59">
        <f t="shared" si="31"/>
        <v>-654551</v>
      </c>
    </row>
    <row r="77" spans="1:17" s="3" customFormat="1" ht="46.8" x14ac:dyDescent="0.3">
      <c r="A77" s="46" t="s">
        <v>291</v>
      </c>
      <c r="B77" s="46" t="s">
        <v>255</v>
      </c>
      <c r="C77" s="46" t="s">
        <v>256</v>
      </c>
      <c r="D77" s="76" t="s">
        <v>257</v>
      </c>
      <c r="E77" s="76">
        <v>61</v>
      </c>
      <c r="F77" s="42" t="s">
        <v>258</v>
      </c>
      <c r="G77" s="31" t="s">
        <v>259</v>
      </c>
      <c r="H77" s="62">
        <f t="shared" si="32"/>
        <v>167000</v>
      </c>
      <c r="I77" s="62">
        <v>167000</v>
      </c>
      <c r="J77" s="62"/>
      <c r="K77" s="62"/>
      <c r="L77" s="62">
        <f t="shared" si="33"/>
        <v>30346.65</v>
      </c>
      <c r="M77" s="62">
        <v>30346.65</v>
      </c>
      <c r="N77" s="62"/>
      <c r="O77" s="62"/>
      <c r="P77" s="59">
        <f t="shared" ref="P77:P137" si="34">L77/H77</f>
        <v>0.18171646706586828</v>
      </c>
      <c r="Q77" s="59">
        <f t="shared" si="31"/>
        <v>-136653.35</v>
      </c>
    </row>
    <row r="78" spans="1:17" s="3" customFormat="1" ht="15.6" x14ac:dyDescent="0.3">
      <c r="A78" s="28" t="s">
        <v>168</v>
      </c>
      <c r="B78" s="28"/>
      <c r="C78" s="28"/>
      <c r="D78" s="95" t="s">
        <v>169</v>
      </c>
      <c r="E78" s="96"/>
      <c r="F78" s="97"/>
      <c r="G78" s="75"/>
      <c r="H78" s="60">
        <f>H79</f>
        <v>6732300</v>
      </c>
      <c r="I78" s="60">
        <f>I79</f>
        <v>6732300</v>
      </c>
      <c r="J78" s="60"/>
      <c r="K78" s="60"/>
      <c r="L78" s="60">
        <f>L79</f>
        <v>728189.02</v>
      </c>
      <c r="M78" s="60">
        <f>M79</f>
        <v>728189.02</v>
      </c>
      <c r="N78" s="60"/>
      <c r="O78" s="60"/>
      <c r="P78" s="60">
        <f t="shared" si="34"/>
        <v>0.10816348350489431</v>
      </c>
      <c r="Q78" s="60">
        <f t="shared" si="31"/>
        <v>-6004110.9800000004</v>
      </c>
    </row>
    <row r="79" spans="1:17" s="3" customFormat="1" ht="15.6" x14ac:dyDescent="0.3">
      <c r="A79" s="28" t="s">
        <v>170</v>
      </c>
      <c r="B79" s="28"/>
      <c r="C79" s="28"/>
      <c r="D79" s="95" t="s">
        <v>169</v>
      </c>
      <c r="E79" s="96"/>
      <c r="F79" s="97"/>
      <c r="G79" s="75"/>
      <c r="H79" s="60">
        <f>SUM(H80:H84)</f>
        <v>6732300</v>
      </c>
      <c r="I79" s="60">
        <f>SUM(I80:I84)</f>
        <v>6732300</v>
      </c>
      <c r="J79" s="60"/>
      <c r="K79" s="60"/>
      <c r="L79" s="60">
        <f>SUM(L80:L84)</f>
        <v>728189.02</v>
      </c>
      <c r="M79" s="60">
        <f>SUM(M80:M84)</f>
        <v>728189.02</v>
      </c>
      <c r="N79" s="60"/>
      <c r="O79" s="60"/>
      <c r="P79" s="60">
        <f t="shared" si="34"/>
        <v>0.10816348350489431</v>
      </c>
      <c r="Q79" s="60">
        <f t="shared" si="31"/>
        <v>-6004110.9800000004</v>
      </c>
    </row>
    <row r="80" spans="1:17" s="3" customFormat="1" ht="46.8" x14ac:dyDescent="0.3">
      <c r="A80" s="46" t="s">
        <v>174</v>
      </c>
      <c r="B80" s="46" t="s">
        <v>175</v>
      </c>
      <c r="C80" s="46" t="s">
        <v>83</v>
      </c>
      <c r="D80" s="76" t="s">
        <v>176</v>
      </c>
      <c r="E80" s="76">
        <v>29</v>
      </c>
      <c r="F80" s="42" t="s">
        <v>171</v>
      </c>
      <c r="G80" s="31" t="s">
        <v>111</v>
      </c>
      <c r="H80" s="62">
        <f t="shared" ref="H80:H84" si="35">I80+J80</f>
        <v>994300</v>
      </c>
      <c r="I80" s="62">
        <f>1029300-35000</f>
        <v>994300</v>
      </c>
      <c r="J80" s="62"/>
      <c r="K80" s="62"/>
      <c r="L80" s="62">
        <f t="shared" ref="L80:L84" si="36">M80+N80</f>
        <v>2723</v>
      </c>
      <c r="M80" s="62">
        <v>2723</v>
      </c>
      <c r="N80" s="62"/>
      <c r="O80" s="62"/>
      <c r="P80" s="59">
        <f t="shared" si="34"/>
        <v>2.738610077441416E-3</v>
      </c>
      <c r="Q80" s="59">
        <f t="shared" si="31"/>
        <v>-991577</v>
      </c>
    </row>
    <row r="81" spans="1:17" s="3" customFormat="1" ht="46.8" x14ac:dyDescent="0.3">
      <c r="A81" s="46" t="s">
        <v>177</v>
      </c>
      <c r="B81" s="46" t="s">
        <v>178</v>
      </c>
      <c r="C81" s="46" t="s">
        <v>179</v>
      </c>
      <c r="D81" s="76" t="s">
        <v>180</v>
      </c>
      <c r="E81" s="76">
        <v>30</v>
      </c>
      <c r="F81" s="42" t="s">
        <v>172</v>
      </c>
      <c r="G81" s="31" t="s">
        <v>173</v>
      </c>
      <c r="H81" s="62">
        <f t="shared" si="35"/>
        <v>1449000</v>
      </c>
      <c r="I81" s="62">
        <f>1400000+49000</f>
        <v>1449000</v>
      </c>
      <c r="J81" s="62"/>
      <c r="K81" s="62"/>
      <c r="L81" s="62">
        <f t="shared" si="36"/>
        <v>166294</v>
      </c>
      <c r="M81" s="62">
        <v>166294</v>
      </c>
      <c r="N81" s="62"/>
      <c r="O81" s="62"/>
      <c r="P81" s="59">
        <f t="shared" si="34"/>
        <v>0.11476466528640442</v>
      </c>
      <c r="Q81" s="59">
        <f t="shared" si="31"/>
        <v>-1282706</v>
      </c>
    </row>
    <row r="82" spans="1:17" s="3" customFormat="1" ht="46.8" x14ac:dyDescent="0.3">
      <c r="A82" s="46" t="s">
        <v>181</v>
      </c>
      <c r="B82" s="46" t="s">
        <v>182</v>
      </c>
      <c r="C82" s="46" t="s">
        <v>179</v>
      </c>
      <c r="D82" s="76" t="s">
        <v>183</v>
      </c>
      <c r="E82" s="76">
        <v>30</v>
      </c>
      <c r="F82" s="42" t="s">
        <v>172</v>
      </c>
      <c r="G82" s="31" t="s">
        <v>173</v>
      </c>
      <c r="H82" s="62">
        <f t="shared" si="35"/>
        <v>1039000</v>
      </c>
      <c r="I82" s="62">
        <f>990000+49000</f>
        <v>1039000</v>
      </c>
      <c r="J82" s="62"/>
      <c r="K82" s="62"/>
      <c r="L82" s="62">
        <f t="shared" si="36"/>
        <v>69514.02</v>
      </c>
      <c r="M82" s="62">
        <v>69514.02</v>
      </c>
      <c r="N82" s="62"/>
      <c r="O82" s="62"/>
      <c r="P82" s="59">
        <f t="shared" si="34"/>
        <v>6.6904735322425413E-2</v>
      </c>
      <c r="Q82" s="59">
        <f t="shared" si="31"/>
        <v>-969485.98</v>
      </c>
    </row>
    <row r="83" spans="1:17" s="3" customFormat="1" ht="46.8" x14ac:dyDescent="0.3">
      <c r="A83" s="46" t="s">
        <v>184</v>
      </c>
      <c r="B83" s="46" t="s">
        <v>185</v>
      </c>
      <c r="C83" s="46" t="s">
        <v>179</v>
      </c>
      <c r="D83" s="48" t="s">
        <v>186</v>
      </c>
      <c r="E83" s="48">
        <v>30</v>
      </c>
      <c r="F83" s="42" t="s">
        <v>172</v>
      </c>
      <c r="G83" s="31" t="s">
        <v>173</v>
      </c>
      <c r="H83" s="62">
        <f t="shared" si="35"/>
        <v>3185000</v>
      </c>
      <c r="I83" s="62">
        <v>3185000</v>
      </c>
      <c r="J83" s="62"/>
      <c r="K83" s="62"/>
      <c r="L83" s="62">
        <f t="shared" si="36"/>
        <v>472998</v>
      </c>
      <c r="M83" s="62">
        <v>472998</v>
      </c>
      <c r="N83" s="62"/>
      <c r="O83" s="62"/>
      <c r="P83" s="62">
        <f t="shared" si="34"/>
        <v>0.14850800627943486</v>
      </c>
      <c r="Q83" s="62">
        <f t="shared" ref="Q83:Q94" si="37">L83-H83</f>
        <v>-2712002</v>
      </c>
    </row>
    <row r="84" spans="1:17" s="54" customFormat="1" ht="46.8" x14ac:dyDescent="0.3">
      <c r="A84" s="46" t="s">
        <v>292</v>
      </c>
      <c r="B84" s="46" t="s">
        <v>255</v>
      </c>
      <c r="C84" s="46" t="s">
        <v>256</v>
      </c>
      <c r="D84" s="76" t="s">
        <v>257</v>
      </c>
      <c r="E84" s="76">
        <v>61</v>
      </c>
      <c r="F84" s="42" t="s">
        <v>258</v>
      </c>
      <c r="G84" s="31" t="s">
        <v>259</v>
      </c>
      <c r="H84" s="62">
        <f t="shared" si="35"/>
        <v>65000</v>
      </c>
      <c r="I84" s="62">
        <v>65000</v>
      </c>
      <c r="J84" s="62"/>
      <c r="K84" s="62"/>
      <c r="L84" s="62">
        <f t="shared" si="36"/>
        <v>16660</v>
      </c>
      <c r="M84" s="62">
        <v>16660</v>
      </c>
      <c r="N84" s="62"/>
      <c r="O84" s="62"/>
      <c r="P84" s="62">
        <f t="shared" si="34"/>
        <v>0.25630769230769229</v>
      </c>
      <c r="Q84" s="62">
        <f t="shared" si="37"/>
        <v>-48340</v>
      </c>
    </row>
    <row r="85" spans="1:17" s="3" customFormat="1" ht="15.6" x14ac:dyDescent="0.3">
      <c r="A85" s="28" t="s">
        <v>187</v>
      </c>
      <c r="B85" s="28"/>
      <c r="C85" s="28"/>
      <c r="D85" s="95" t="s">
        <v>188</v>
      </c>
      <c r="E85" s="96"/>
      <c r="F85" s="97"/>
      <c r="G85" s="75"/>
      <c r="H85" s="60">
        <f t="shared" ref="H85:O85" si="38">H86</f>
        <v>190077468.18000001</v>
      </c>
      <c r="I85" s="60">
        <f t="shared" si="38"/>
        <v>167524869</v>
      </c>
      <c r="J85" s="60">
        <f t="shared" si="38"/>
        <v>22552599.18</v>
      </c>
      <c r="K85" s="60">
        <f t="shared" si="38"/>
        <v>22168225</v>
      </c>
      <c r="L85" s="60">
        <f t="shared" si="38"/>
        <v>57378807.57</v>
      </c>
      <c r="M85" s="60">
        <f t="shared" si="38"/>
        <v>56676357.57</v>
      </c>
      <c r="N85" s="60">
        <f t="shared" si="38"/>
        <v>702450</v>
      </c>
      <c r="O85" s="60">
        <f t="shared" si="38"/>
        <v>702450</v>
      </c>
      <c r="P85" s="60">
        <f t="shared" si="34"/>
        <v>0.30187064316146761</v>
      </c>
      <c r="Q85" s="60">
        <f t="shared" si="37"/>
        <v>-132698660.61000001</v>
      </c>
    </row>
    <row r="86" spans="1:17" s="3" customFormat="1" ht="15.6" x14ac:dyDescent="0.3">
      <c r="A86" s="28" t="s">
        <v>189</v>
      </c>
      <c r="B86" s="28"/>
      <c r="C86" s="28"/>
      <c r="D86" s="95" t="s">
        <v>188</v>
      </c>
      <c r="E86" s="96"/>
      <c r="F86" s="97"/>
      <c r="G86" s="75"/>
      <c r="H86" s="60">
        <f>SUM(H87:H103)</f>
        <v>190077468.18000001</v>
      </c>
      <c r="I86" s="60">
        <f t="shared" ref="I86:K86" si="39">SUM(I87:I103)</f>
        <v>167524869</v>
      </c>
      <c r="J86" s="60">
        <f t="shared" si="39"/>
        <v>22552599.18</v>
      </c>
      <c r="K86" s="60">
        <f t="shared" si="39"/>
        <v>22168225</v>
      </c>
      <c r="L86" s="60">
        <f>SUM(L87:L103)</f>
        <v>57378807.57</v>
      </c>
      <c r="M86" s="60">
        <f t="shared" ref="M86:O86" si="40">SUM(M87:M103)</f>
        <v>56676357.57</v>
      </c>
      <c r="N86" s="60">
        <f t="shared" si="40"/>
        <v>702450</v>
      </c>
      <c r="O86" s="60">
        <f t="shared" si="40"/>
        <v>702450</v>
      </c>
      <c r="P86" s="60">
        <f t="shared" si="34"/>
        <v>0.30187064316146761</v>
      </c>
      <c r="Q86" s="60">
        <f t="shared" si="37"/>
        <v>-132698660.61000001</v>
      </c>
    </row>
    <row r="87" spans="1:17" s="3" customFormat="1" ht="46.8" x14ac:dyDescent="0.3">
      <c r="A87" s="46" t="s">
        <v>190</v>
      </c>
      <c r="B87" s="46" t="s">
        <v>191</v>
      </c>
      <c r="C87" s="46" t="s">
        <v>192</v>
      </c>
      <c r="D87" s="84" t="s">
        <v>193</v>
      </c>
      <c r="E87" s="89">
        <v>53</v>
      </c>
      <c r="F87" s="51" t="s">
        <v>293</v>
      </c>
      <c r="G87" s="31" t="s">
        <v>294</v>
      </c>
      <c r="H87" s="62">
        <f>I87+J87</f>
        <v>50000</v>
      </c>
      <c r="I87" s="62">
        <v>50000</v>
      </c>
      <c r="J87" s="62"/>
      <c r="K87" s="60"/>
      <c r="L87" s="62">
        <f>M87+N87</f>
        <v>0</v>
      </c>
      <c r="M87" s="62"/>
      <c r="N87" s="62"/>
      <c r="O87" s="60"/>
      <c r="P87" s="59">
        <f t="shared" si="34"/>
        <v>0</v>
      </c>
      <c r="Q87" s="59">
        <f t="shared" si="37"/>
        <v>-50000</v>
      </c>
    </row>
    <row r="88" spans="1:17" s="3" customFormat="1" ht="46.8" x14ac:dyDescent="0.3">
      <c r="A88" s="46" t="s">
        <v>295</v>
      </c>
      <c r="B88" s="31">
        <v>6011</v>
      </c>
      <c r="C88" s="50" t="s">
        <v>194</v>
      </c>
      <c r="D88" s="45" t="s">
        <v>195</v>
      </c>
      <c r="E88" s="45">
        <v>68</v>
      </c>
      <c r="F88" s="42" t="s">
        <v>252</v>
      </c>
      <c r="G88" s="31" t="s">
        <v>253</v>
      </c>
      <c r="H88" s="62">
        <f>I88+J88</f>
        <v>2456569</v>
      </c>
      <c r="I88" s="62">
        <f>319069</f>
        <v>319069</v>
      </c>
      <c r="J88" s="62">
        <f>43200+600000+94300+1400000</f>
        <v>2137500</v>
      </c>
      <c r="K88" s="62">
        <f>43200+600000+94300+1400000</f>
        <v>2137500</v>
      </c>
      <c r="L88" s="62">
        <f>M88+N88</f>
        <v>0</v>
      </c>
      <c r="M88" s="62"/>
      <c r="N88" s="62"/>
      <c r="O88" s="62"/>
      <c r="P88" s="59">
        <f t="shared" si="34"/>
        <v>0</v>
      </c>
      <c r="Q88" s="59">
        <f t="shared" si="37"/>
        <v>-2456569</v>
      </c>
    </row>
    <row r="89" spans="1:17" s="3" customFormat="1" ht="78" x14ac:dyDescent="0.3">
      <c r="A89" s="46" t="s">
        <v>295</v>
      </c>
      <c r="B89" s="31">
        <v>6011</v>
      </c>
      <c r="C89" s="50" t="s">
        <v>194</v>
      </c>
      <c r="D89" s="45" t="s">
        <v>195</v>
      </c>
      <c r="E89" s="45">
        <v>40</v>
      </c>
      <c r="F89" s="42" t="s">
        <v>296</v>
      </c>
      <c r="G89" s="31" t="s">
        <v>297</v>
      </c>
      <c r="H89" s="62">
        <f>I89+J89</f>
        <v>1660017</v>
      </c>
      <c r="I89" s="62"/>
      <c r="J89" s="62">
        <v>1660017</v>
      </c>
      <c r="K89" s="62">
        <v>1660017</v>
      </c>
      <c r="L89" s="62">
        <f>M89+N89</f>
        <v>0</v>
      </c>
      <c r="M89" s="62"/>
      <c r="N89" s="62"/>
      <c r="O89" s="62"/>
      <c r="P89" s="59">
        <f t="shared" si="34"/>
        <v>0</v>
      </c>
      <c r="Q89" s="59">
        <f t="shared" si="37"/>
        <v>-1660017</v>
      </c>
    </row>
    <row r="90" spans="1:17" s="3" customFormat="1" ht="46.8" x14ac:dyDescent="0.3">
      <c r="A90" s="46" t="s">
        <v>196</v>
      </c>
      <c r="B90" s="46" t="s">
        <v>197</v>
      </c>
      <c r="C90" s="46" t="s">
        <v>198</v>
      </c>
      <c r="D90" s="48" t="s">
        <v>199</v>
      </c>
      <c r="E90" s="48">
        <v>9</v>
      </c>
      <c r="F90" s="42" t="s">
        <v>200</v>
      </c>
      <c r="G90" s="31" t="s">
        <v>201</v>
      </c>
      <c r="H90" s="62">
        <f>I90+J90</f>
        <v>5715954</v>
      </c>
      <c r="I90" s="62">
        <v>300000</v>
      </c>
      <c r="J90" s="62">
        <f>7215287-1799333</f>
        <v>5415954</v>
      </c>
      <c r="K90" s="62">
        <v>5415954</v>
      </c>
      <c r="L90" s="62">
        <f>M90+N90</f>
        <v>0</v>
      </c>
      <c r="M90" s="62"/>
      <c r="N90" s="62"/>
      <c r="O90" s="62"/>
      <c r="P90" s="59">
        <f t="shared" si="34"/>
        <v>0</v>
      </c>
      <c r="Q90" s="59">
        <f t="shared" si="37"/>
        <v>-5715954</v>
      </c>
    </row>
    <row r="91" spans="1:17" s="3" customFormat="1" ht="78" x14ac:dyDescent="0.3">
      <c r="A91" s="46" t="s">
        <v>196</v>
      </c>
      <c r="B91" s="46" t="s">
        <v>197</v>
      </c>
      <c r="C91" s="46" t="s">
        <v>198</v>
      </c>
      <c r="D91" s="48" t="s">
        <v>199</v>
      </c>
      <c r="E91" s="48">
        <v>40</v>
      </c>
      <c r="F91" s="42" t="s">
        <v>296</v>
      </c>
      <c r="G91" s="31" t="s">
        <v>297</v>
      </c>
      <c r="H91" s="62">
        <f>I91+J91</f>
        <v>1799333</v>
      </c>
      <c r="I91" s="62"/>
      <c r="J91" s="62">
        <v>1799333</v>
      </c>
      <c r="K91" s="62">
        <v>1799333</v>
      </c>
      <c r="L91" s="62">
        <f>M91+N91</f>
        <v>0</v>
      </c>
      <c r="M91" s="62"/>
      <c r="N91" s="62"/>
      <c r="O91" s="62"/>
      <c r="P91" s="59">
        <f t="shared" si="34"/>
        <v>0</v>
      </c>
      <c r="Q91" s="59">
        <f t="shared" si="37"/>
        <v>-1799333</v>
      </c>
    </row>
    <row r="92" spans="1:17" s="3" customFormat="1" ht="46.8" x14ac:dyDescent="0.3">
      <c r="A92" s="46" t="s">
        <v>202</v>
      </c>
      <c r="B92" s="46" t="s">
        <v>203</v>
      </c>
      <c r="C92" s="46" t="s">
        <v>198</v>
      </c>
      <c r="D92" s="76" t="s">
        <v>204</v>
      </c>
      <c r="E92" s="76">
        <v>68</v>
      </c>
      <c r="F92" s="42" t="s">
        <v>252</v>
      </c>
      <c r="G92" s="31" t="s">
        <v>253</v>
      </c>
      <c r="H92" s="62">
        <f t="shared" ref="H92:H101" si="41">I92+J92</f>
        <v>1720000</v>
      </c>
      <c r="I92" s="62">
        <v>1720000</v>
      </c>
      <c r="J92" s="62"/>
      <c r="K92" s="62"/>
      <c r="L92" s="62">
        <f t="shared" ref="L92:L101" si="42">M92+N92</f>
        <v>251542.6</v>
      </c>
      <c r="M92" s="62">
        <v>251542.6</v>
      </c>
      <c r="N92" s="62"/>
      <c r="O92" s="62"/>
      <c r="P92" s="59">
        <f t="shared" si="34"/>
        <v>0.14624569767441861</v>
      </c>
      <c r="Q92" s="59">
        <f t="shared" si="37"/>
        <v>-1468457.4</v>
      </c>
    </row>
    <row r="93" spans="1:17" s="3" customFormat="1" ht="78" x14ac:dyDescent="0.3">
      <c r="A93" s="46" t="s">
        <v>202</v>
      </c>
      <c r="B93" s="46" t="s">
        <v>203</v>
      </c>
      <c r="C93" s="46" t="s">
        <v>198</v>
      </c>
      <c r="D93" s="76" t="s">
        <v>204</v>
      </c>
      <c r="E93" s="76">
        <v>60</v>
      </c>
      <c r="F93" s="42" t="s">
        <v>298</v>
      </c>
      <c r="G93" s="31" t="s">
        <v>299</v>
      </c>
      <c r="H93" s="62">
        <f t="shared" si="41"/>
        <v>1095000</v>
      </c>
      <c r="I93" s="62"/>
      <c r="J93" s="62">
        <v>1095000</v>
      </c>
      <c r="K93" s="62">
        <v>1095000</v>
      </c>
      <c r="L93" s="62">
        <f t="shared" si="42"/>
        <v>17998.2</v>
      </c>
      <c r="M93" s="62"/>
      <c r="N93" s="62">
        <v>17998.2</v>
      </c>
      <c r="O93" s="62">
        <v>17998.2</v>
      </c>
      <c r="P93" s="59">
        <f t="shared" si="34"/>
        <v>1.6436712328767124E-2</v>
      </c>
      <c r="Q93" s="59">
        <f t="shared" si="37"/>
        <v>-1077001.8</v>
      </c>
    </row>
    <row r="94" spans="1:17" s="3" customFormat="1" ht="46.8" x14ac:dyDescent="0.3">
      <c r="A94" s="46" t="s">
        <v>205</v>
      </c>
      <c r="B94" s="46" t="s">
        <v>206</v>
      </c>
      <c r="C94" s="46" t="s">
        <v>198</v>
      </c>
      <c r="D94" s="48" t="s">
        <v>207</v>
      </c>
      <c r="E94" s="48">
        <v>68</v>
      </c>
      <c r="F94" s="42" t="s">
        <v>252</v>
      </c>
      <c r="G94" s="31" t="s">
        <v>253</v>
      </c>
      <c r="H94" s="62">
        <f t="shared" si="41"/>
        <v>85352500</v>
      </c>
      <c r="I94" s="62">
        <f>84160000+401000+200000-500000</f>
        <v>84261000</v>
      </c>
      <c r="J94" s="62">
        <f>839500+252000</f>
        <v>1091500</v>
      </c>
      <c r="K94" s="62">
        <f>839500+252000</f>
        <v>1091500</v>
      </c>
      <c r="L94" s="62">
        <f t="shared" si="42"/>
        <v>15274768.699999999</v>
      </c>
      <c r="M94" s="62">
        <f>7918211.88+3306078.77+4050478.05</f>
        <v>15274768.699999999</v>
      </c>
      <c r="N94" s="62"/>
      <c r="O94" s="62"/>
      <c r="P94" s="59">
        <f t="shared" si="34"/>
        <v>0.17896099938490379</v>
      </c>
      <c r="Q94" s="59">
        <f t="shared" si="37"/>
        <v>-70077731.299999997</v>
      </c>
    </row>
    <row r="95" spans="1:17" s="3" customFormat="1" ht="46.8" x14ac:dyDescent="0.3">
      <c r="A95" s="31">
        <v>1216091</v>
      </c>
      <c r="B95" s="31">
        <v>6091</v>
      </c>
      <c r="C95" s="50" t="s">
        <v>300</v>
      </c>
      <c r="D95" s="45" t="s">
        <v>223</v>
      </c>
      <c r="E95" s="48">
        <v>68</v>
      </c>
      <c r="F95" s="42" t="s">
        <v>252</v>
      </c>
      <c r="G95" s="31" t="s">
        <v>253</v>
      </c>
      <c r="H95" s="62">
        <f t="shared" si="41"/>
        <v>6400000</v>
      </c>
      <c r="I95" s="62"/>
      <c r="J95" s="62">
        <v>6400000</v>
      </c>
      <c r="K95" s="62">
        <v>6400000</v>
      </c>
      <c r="L95" s="62">
        <f t="shared" si="42"/>
        <v>0</v>
      </c>
      <c r="M95" s="62"/>
      <c r="N95" s="62"/>
      <c r="O95" s="62"/>
      <c r="P95" s="62">
        <f t="shared" si="34"/>
        <v>0</v>
      </c>
      <c r="Q95" s="62">
        <f t="shared" ref="Q95:Q99" si="43">L95-H95</f>
        <v>-6400000</v>
      </c>
    </row>
    <row r="96" spans="1:17" s="54" customFormat="1" ht="62.4" x14ac:dyDescent="0.3">
      <c r="A96" s="46" t="s">
        <v>301</v>
      </c>
      <c r="B96" s="46" t="s">
        <v>302</v>
      </c>
      <c r="C96" s="50" t="s">
        <v>300</v>
      </c>
      <c r="D96" s="45" t="s">
        <v>303</v>
      </c>
      <c r="E96" s="45">
        <v>17</v>
      </c>
      <c r="F96" s="42" t="s">
        <v>219</v>
      </c>
      <c r="G96" s="31" t="s">
        <v>95</v>
      </c>
      <c r="H96" s="62">
        <f t="shared" si="41"/>
        <v>47400</v>
      </c>
      <c r="I96" s="62">
        <v>47400</v>
      </c>
      <c r="J96" s="62"/>
      <c r="K96" s="62"/>
      <c r="L96" s="62">
        <f t="shared" si="42"/>
        <v>0</v>
      </c>
      <c r="M96" s="62"/>
      <c r="N96" s="62"/>
      <c r="O96" s="62"/>
      <c r="P96" s="62">
        <f t="shared" si="34"/>
        <v>0</v>
      </c>
      <c r="Q96" s="62">
        <f t="shared" si="43"/>
        <v>-47400</v>
      </c>
    </row>
    <row r="97" spans="1:17" s="54" customFormat="1" ht="46.8" x14ac:dyDescent="0.3">
      <c r="A97" s="46" t="s">
        <v>208</v>
      </c>
      <c r="B97" s="46" t="s">
        <v>209</v>
      </c>
      <c r="C97" s="46" t="s">
        <v>210</v>
      </c>
      <c r="D97" s="76" t="s">
        <v>211</v>
      </c>
      <c r="E97" s="76">
        <v>68</v>
      </c>
      <c r="F97" s="42" t="s">
        <v>252</v>
      </c>
      <c r="G97" s="31" t="s">
        <v>253</v>
      </c>
      <c r="H97" s="62">
        <f t="shared" si="41"/>
        <v>30000000</v>
      </c>
      <c r="I97" s="62">
        <v>30000000</v>
      </c>
      <c r="J97" s="62"/>
      <c r="K97" s="62"/>
      <c r="L97" s="62">
        <f t="shared" si="42"/>
        <v>7129969.2000000002</v>
      </c>
      <c r="M97" s="62">
        <v>7129969.2000000002</v>
      </c>
      <c r="N97" s="62"/>
      <c r="O97" s="62"/>
      <c r="P97" s="59">
        <f t="shared" si="34"/>
        <v>0.23766564000000001</v>
      </c>
      <c r="Q97" s="59">
        <f t="shared" si="43"/>
        <v>-22870030.800000001</v>
      </c>
    </row>
    <row r="98" spans="1:17" s="54" customFormat="1" ht="46.8" x14ac:dyDescent="0.3">
      <c r="A98" s="46" t="s">
        <v>304</v>
      </c>
      <c r="B98" s="46" t="s">
        <v>255</v>
      </c>
      <c r="C98" s="46" t="s">
        <v>256</v>
      </c>
      <c r="D98" s="76" t="s">
        <v>257</v>
      </c>
      <c r="E98" s="76">
        <v>61</v>
      </c>
      <c r="F98" s="42" t="s">
        <v>258</v>
      </c>
      <c r="G98" s="31" t="s">
        <v>259</v>
      </c>
      <c r="H98" s="62">
        <f t="shared" si="41"/>
        <v>524300</v>
      </c>
      <c r="I98" s="62">
        <v>488300</v>
      </c>
      <c r="J98" s="62">
        <v>36000</v>
      </c>
      <c r="K98" s="62">
        <v>36000</v>
      </c>
      <c r="L98" s="62">
        <f t="shared" si="42"/>
        <v>0</v>
      </c>
      <c r="M98" s="62"/>
      <c r="N98" s="62"/>
      <c r="O98" s="62"/>
      <c r="P98" s="59">
        <f t="shared" si="34"/>
        <v>0</v>
      </c>
      <c r="Q98" s="59">
        <f t="shared" si="43"/>
        <v>-524300</v>
      </c>
    </row>
    <row r="99" spans="1:17" s="3" customFormat="1" ht="46.8" x14ac:dyDescent="0.3">
      <c r="A99" s="46" t="s">
        <v>305</v>
      </c>
      <c r="B99" s="50" t="s">
        <v>306</v>
      </c>
      <c r="C99" s="50" t="s">
        <v>214</v>
      </c>
      <c r="D99" s="45" t="s">
        <v>307</v>
      </c>
      <c r="E99" s="45">
        <v>67</v>
      </c>
      <c r="F99" s="42" t="s">
        <v>308</v>
      </c>
      <c r="G99" s="31" t="s">
        <v>309</v>
      </c>
      <c r="H99" s="62">
        <f t="shared" si="41"/>
        <v>2060000</v>
      </c>
      <c r="I99" s="62"/>
      <c r="J99" s="62">
        <v>2060000</v>
      </c>
      <c r="K99" s="62">
        <v>2060000</v>
      </c>
      <c r="L99" s="62">
        <f t="shared" si="42"/>
        <v>590506.80000000005</v>
      </c>
      <c r="M99" s="62"/>
      <c r="N99" s="62">
        <v>590506.80000000005</v>
      </c>
      <c r="O99" s="62">
        <v>590506.80000000005</v>
      </c>
      <c r="P99" s="59">
        <f t="shared" si="34"/>
        <v>0.28665378640776701</v>
      </c>
      <c r="Q99" s="59">
        <f t="shared" si="43"/>
        <v>-1469493.2</v>
      </c>
    </row>
    <row r="100" spans="1:17" s="3" customFormat="1" ht="109.2" x14ac:dyDescent="0.3">
      <c r="A100" s="50" t="s">
        <v>212</v>
      </c>
      <c r="B100" s="50" t="s">
        <v>213</v>
      </c>
      <c r="C100" s="50" t="s">
        <v>214</v>
      </c>
      <c r="D100" s="45" t="s">
        <v>215</v>
      </c>
      <c r="E100" s="45">
        <v>40</v>
      </c>
      <c r="F100" s="42" t="s">
        <v>296</v>
      </c>
      <c r="G100" s="31" t="s">
        <v>297</v>
      </c>
      <c r="H100" s="62">
        <f t="shared" si="41"/>
        <v>384374.18</v>
      </c>
      <c r="I100" s="62"/>
      <c r="J100" s="62">
        <v>384374.18</v>
      </c>
      <c r="K100" s="62"/>
      <c r="L100" s="62">
        <f t="shared" si="42"/>
        <v>0</v>
      </c>
      <c r="M100" s="62"/>
      <c r="N100" s="62"/>
      <c r="O100" s="62"/>
      <c r="P100" s="62">
        <f t="shared" si="34"/>
        <v>0</v>
      </c>
      <c r="Q100" s="62">
        <f t="shared" ref="Q100:Q108" si="44">L100-H100</f>
        <v>-384374.18</v>
      </c>
    </row>
    <row r="101" spans="1:17" s="3" customFormat="1" ht="46.8" x14ac:dyDescent="0.3">
      <c r="A101" s="46" t="s">
        <v>216</v>
      </c>
      <c r="B101" s="46" t="s">
        <v>217</v>
      </c>
      <c r="C101" s="46" t="s">
        <v>214</v>
      </c>
      <c r="D101" s="48" t="s">
        <v>218</v>
      </c>
      <c r="E101" s="48">
        <v>67</v>
      </c>
      <c r="F101" s="42" t="s">
        <v>308</v>
      </c>
      <c r="G101" s="31" t="s">
        <v>309</v>
      </c>
      <c r="H101" s="62">
        <f t="shared" si="41"/>
        <v>47720800</v>
      </c>
      <c r="I101" s="62">
        <f>43320000+4300000+100800</f>
        <v>47720800</v>
      </c>
      <c r="J101" s="62"/>
      <c r="K101" s="62"/>
      <c r="L101" s="62">
        <f t="shared" si="42"/>
        <v>33599428.68</v>
      </c>
      <c r="M101" s="62">
        <f>599428.68+24000000+9000000</f>
        <v>33599428.68</v>
      </c>
      <c r="N101" s="62"/>
      <c r="O101" s="62"/>
      <c r="P101" s="62">
        <f t="shared" si="34"/>
        <v>0.70408351662168278</v>
      </c>
      <c r="Q101" s="62">
        <f t="shared" si="44"/>
        <v>-14121371.32</v>
      </c>
    </row>
    <row r="102" spans="1:17" s="3" customFormat="1" ht="46.8" x14ac:dyDescent="0.3">
      <c r="A102" s="31">
        <v>1218110</v>
      </c>
      <c r="B102" s="31">
        <v>8110</v>
      </c>
      <c r="C102" s="50" t="s">
        <v>92</v>
      </c>
      <c r="D102" s="45" t="s">
        <v>93</v>
      </c>
      <c r="E102" s="45">
        <v>17</v>
      </c>
      <c r="F102" s="42" t="s">
        <v>219</v>
      </c>
      <c r="G102" s="31" t="s">
        <v>95</v>
      </c>
      <c r="H102" s="62">
        <f>I102+J102</f>
        <v>2997221</v>
      </c>
      <c r="I102" s="62">
        <f>2527200+91100</f>
        <v>2618300</v>
      </c>
      <c r="J102" s="62">
        <v>378921</v>
      </c>
      <c r="K102" s="62">
        <v>378921</v>
      </c>
      <c r="L102" s="62">
        <f>M102+N102</f>
        <v>420648.39</v>
      </c>
      <c r="M102" s="62">
        <f>228786.64+191861.75</f>
        <v>420648.39</v>
      </c>
      <c r="N102" s="62"/>
      <c r="O102" s="62"/>
      <c r="P102" s="59">
        <f t="shared" si="34"/>
        <v>0.14034613730519038</v>
      </c>
      <c r="Q102" s="59">
        <f t="shared" si="44"/>
        <v>-2576572.61</v>
      </c>
    </row>
    <row r="103" spans="1:17" s="3" customFormat="1" ht="78" x14ac:dyDescent="0.3">
      <c r="A103" s="46" t="s">
        <v>220</v>
      </c>
      <c r="B103" s="46" t="s">
        <v>56</v>
      </c>
      <c r="C103" s="50" t="s">
        <v>46</v>
      </c>
      <c r="D103" s="45" t="s">
        <v>57</v>
      </c>
      <c r="E103" s="85">
        <v>66</v>
      </c>
      <c r="F103" s="68" t="s">
        <v>262</v>
      </c>
      <c r="G103" s="31" t="s">
        <v>263</v>
      </c>
      <c r="H103" s="62">
        <f>I103+J103</f>
        <v>94000</v>
      </c>
      <c r="I103" s="62"/>
      <c r="J103" s="62">
        <f>200000-106000</f>
        <v>94000</v>
      </c>
      <c r="K103" s="62">
        <f>200000-106000</f>
        <v>94000</v>
      </c>
      <c r="L103" s="62">
        <f>M103+N103</f>
        <v>93945</v>
      </c>
      <c r="M103" s="62"/>
      <c r="N103" s="62">
        <v>93945</v>
      </c>
      <c r="O103" s="62">
        <v>93945</v>
      </c>
      <c r="P103" s="59">
        <f t="shared" si="34"/>
        <v>0.99941489361702129</v>
      </c>
      <c r="Q103" s="59">
        <f t="shared" si="44"/>
        <v>-55</v>
      </c>
    </row>
    <row r="104" spans="1:17" s="3" customFormat="1" ht="15.6" x14ac:dyDescent="0.3">
      <c r="A104" s="32" t="s">
        <v>221</v>
      </c>
      <c r="B104" s="32" t="s">
        <v>134</v>
      </c>
      <c r="C104" s="32" t="s">
        <v>134</v>
      </c>
      <c r="D104" s="100" t="s">
        <v>310</v>
      </c>
      <c r="E104" s="101"/>
      <c r="F104" s="102"/>
      <c r="G104" s="31"/>
      <c r="H104" s="60">
        <f>H105</f>
        <v>160854947.63</v>
      </c>
      <c r="I104" s="60">
        <f t="shared" ref="I104:O104" si="45">I105</f>
        <v>46300</v>
      </c>
      <c r="J104" s="60">
        <f t="shared" si="45"/>
        <v>160808647.63</v>
      </c>
      <c r="K104" s="60">
        <f t="shared" si="45"/>
        <v>160808647.63</v>
      </c>
      <c r="L104" s="60">
        <f>L105</f>
        <v>4107820.48</v>
      </c>
      <c r="M104" s="60">
        <f t="shared" si="45"/>
        <v>20362</v>
      </c>
      <c r="N104" s="60">
        <f t="shared" si="45"/>
        <v>4087458.48</v>
      </c>
      <c r="O104" s="60">
        <f t="shared" si="45"/>
        <v>4087458.48</v>
      </c>
      <c r="P104" s="60">
        <f t="shared" si="34"/>
        <v>2.5537420766496073E-2</v>
      </c>
      <c r="Q104" s="60">
        <f t="shared" si="44"/>
        <v>-156747127.15000001</v>
      </c>
    </row>
    <row r="105" spans="1:17" s="3" customFormat="1" ht="15.6" x14ac:dyDescent="0.3">
      <c r="A105" s="32" t="s">
        <v>222</v>
      </c>
      <c r="B105" s="32" t="s">
        <v>134</v>
      </c>
      <c r="C105" s="32" t="s">
        <v>134</v>
      </c>
      <c r="D105" s="100" t="s">
        <v>310</v>
      </c>
      <c r="E105" s="101"/>
      <c r="F105" s="102"/>
      <c r="G105" s="31"/>
      <c r="H105" s="60">
        <f>SUM(H106:H113)</f>
        <v>160854947.63</v>
      </c>
      <c r="I105" s="60">
        <f t="shared" ref="I105:K105" si="46">SUM(I106:I113)</f>
        <v>46300</v>
      </c>
      <c r="J105" s="60">
        <f t="shared" si="46"/>
        <v>160808647.63</v>
      </c>
      <c r="K105" s="60">
        <f t="shared" si="46"/>
        <v>160808647.63</v>
      </c>
      <c r="L105" s="60">
        <f>SUM(L106:L113)</f>
        <v>4107820.48</v>
      </c>
      <c r="M105" s="60">
        <f t="shared" ref="M105:O105" si="47">SUM(M106:M113)</f>
        <v>20362</v>
      </c>
      <c r="N105" s="60">
        <f t="shared" si="47"/>
        <v>4087458.48</v>
      </c>
      <c r="O105" s="60">
        <f t="shared" si="47"/>
        <v>4087458.48</v>
      </c>
      <c r="P105" s="60">
        <f t="shared" si="34"/>
        <v>2.5537420766496073E-2</v>
      </c>
      <c r="Q105" s="60">
        <f t="shared" si="44"/>
        <v>-156747127.15000001</v>
      </c>
    </row>
    <row r="106" spans="1:17" s="3" customFormat="1" ht="46.8" x14ac:dyDescent="0.3">
      <c r="A106" s="31">
        <v>1511300</v>
      </c>
      <c r="B106" s="50" t="s">
        <v>311</v>
      </c>
      <c r="C106" s="50" t="s">
        <v>274</v>
      </c>
      <c r="D106" s="45" t="s">
        <v>312</v>
      </c>
      <c r="E106" s="45">
        <v>17</v>
      </c>
      <c r="F106" s="42" t="s">
        <v>219</v>
      </c>
      <c r="G106" s="31" t="s">
        <v>95</v>
      </c>
      <c r="H106" s="62">
        <f t="shared" ref="H106:H113" si="48">I106+J106</f>
        <v>87018800</v>
      </c>
      <c r="I106" s="60"/>
      <c r="J106" s="62">
        <f>83518800+3500000</f>
        <v>87018800</v>
      </c>
      <c r="K106" s="62">
        <f>83518800+3500000</f>
        <v>87018800</v>
      </c>
      <c r="L106" s="62">
        <f t="shared" ref="L106:L113" si="49">M106+N106</f>
        <v>0</v>
      </c>
      <c r="M106" s="60"/>
      <c r="N106" s="62"/>
      <c r="O106" s="62"/>
      <c r="P106" s="59">
        <f t="shared" si="34"/>
        <v>0</v>
      </c>
      <c r="Q106" s="59">
        <f t="shared" si="44"/>
        <v>-87018800</v>
      </c>
    </row>
    <row r="107" spans="1:17" s="3" customFormat="1" ht="46.8" x14ac:dyDescent="0.3">
      <c r="A107" s="31">
        <v>1512171</v>
      </c>
      <c r="B107" s="50" t="s">
        <v>313</v>
      </c>
      <c r="C107" s="50" t="s">
        <v>33</v>
      </c>
      <c r="D107" s="45" t="s">
        <v>314</v>
      </c>
      <c r="E107" s="45">
        <v>17</v>
      </c>
      <c r="F107" s="42" t="s">
        <v>219</v>
      </c>
      <c r="G107" s="31" t="s">
        <v>95</v>
      </c>
      <c r="H107" s="62">
        <f t="shared" si="48"/>
        <v>550000</v>
      </c>
      <c r="I107" s="60"/>
      <c r="J107" s="62">
        <v>550000</v>
      </c>
      <c r="K107" s="62">
        <v>550000</v>
      </c>
      <c r="L107" s="62">
        <f t="shared" si="49"/>
        <v>0</v>
      </c>
      <c r="M107" s="60"/>
      <c r="N107" s="62"/>
      <c r="O107" s="62"/>
      <c r="P107" s="59">
        <f t="shared" si="34"/>
        <v>0</v>
      </c>
      <c r="Q107" s="59">
        <f t="shared" si="44"/>
        <v>-550000</v>
      </c>
    </row>
    <row r="108" spans="1:17" s="3" customFormat="1" ht="62.4" x14ac:dyDescent="0.3">
      <c r="A108" s="31">
        <v>1516015</v>
      </c>
      <c r="B108" s="50" t="s">
        <v>197</v>
      </c>
      <c r="C108" s="50" t="s">
        <v>198</v>
      </c>
      <c r="D108" s="45" t="s">
        <v>199</v>
      </c>
      <c r="E108" s="87">
        <v>20</v>
      </c>
      <c r="F108" s="61" t="s">
        <v>315</v>
      </c>
      <c r="G108" s="31" t="s">
        <v>316</v>
      </c>
      <c r="H108" s="62">
        <f t="shared" si="48"/>
        <v>486000</v>
      </c>
      <c r="I108" s="60"/>
      <c r="J108" s="62">
        <v>486000</v>
      </c>
      <c r="K108" s="62">
        <v>486000</v>
      </c>
      <c r="L108" s="62">
        <f t="shared" si="49"/>
        <v>0</v>
      </c>
      <c r="M108" s="60"/>
      <c r="N108" s="62"/>
      <c r="O108" s="62"/>
      <c r="P108" s="59">
        <f t="shared" si="34"/>
        <v>0</v>
      </c>
      <c r="Q108" s="59">
        <f t="shared" si="44"/>
        <v>-486000</v>
      </c>
    </row>
    <row r="109" spans="1:17" s="56" customFormat="1" ht="46.8" x14ac:dyDescent="0.3">
      <c r="A109" s="31">
        <v>1516091</v>
      </c>
      <c r="B109" s="50" t="s">
        <v>317</v>
      </c>
      <c r="C109" s="50" t="s">
        <v>300</v>
      </c>
      <c r="D109" s="45" t="s">
        <v>223</v>
      </c>
      <c r="E109" s="45">
        <v>68</v>
      </c>
      <c r="F109" s="42" t="s">
        <v>252</v>
      </c>
      <c r="G109" s="31" t="s">
        <v>253</v>
      </c>
      <c r="H109" s="62">
        <f t="shared" si="48"/>
        <v>30226232.009999998</v>
      </c>
      <c r="I109" s="60"/>
      <c r="J109" s="62">
        <f>14033601.01+10981383+4148102+926970+136176</f>
        <v>30226232.009999998</v>
      </c>
      <c r="K109" s="62">
        <f>14033601.01+10981383+4148102+926970+136176</f>
        <v>30226232.009999998</v>
      </c>
      <c r="L109" s="62">
        <f t="shared" si="49"/>
        <v>0</v>
      </c>
      <c r="M109" s="60"/>
      <c r="N109" s="62"/>
      <c r="O109" s="62"/>
      <c r="P109" s="62">
        <f t="shared" si="34"/>
        <v>0</v>
      </c>
      <c r="Q109" s="62">
        <f t="shared" ref="Q109" si="50">L109-H109</f>
        <v>-30226232.009999998</v>
      </c>
    </row>
    <row r="110" spans="1:17" s="54" customFormat="1" ht="46.8" x14ac:dyDescent="0.3">
      <c r="A110" s="31">
        <v>1517368</v>
      </c>
      <c r="B110" s="50" t="s">
        <v>318</v>
      </c>
      <c r="C110" s="50" t="s">
        <v>214</v>
      </c>
      <c r="D110" s="45" t="s">
        <v>319</v>
      </c>
      <c r="E110" s="45">
        <v>17</v>
      </c>
      <c r="F110" s="42" t="s">
        <v>219</v>
      </c>
      <c r="G110" s="31" t="s">
        <v>95</v>
      </c>
      <c r="H110" s="62">
        <f t="shared" si="48"/>
        <v>15815727.619999999</v>
      </c>
      <c r="I110" s="60"/>
      <c r="J110" s="62">
        <v>15815727.619999999</v>
      </c>
      <c r="K110" s="62">
        <v>15815727.619999999</v>
      </c>
      <c r="L110" s="62">
        <f t="shared" si="49"/>
        <v>3667373.17</v>
      </c>
      <c r="M110" s="60"/>
      <c r="N110" s="62">
        <v>3667373.17</v>
      </c>
      <c r="O110" s="62">
        <v>3667373.17</v>
      </c>
      <c r="P110" s="59">
        <f t="shared" si="34"/>
        <v>0.23188140679423261</v>
      </c>
      <c r="Q110" s="59">
        <f t="shared" ref="Q110:Q136" si="51">L110-H110</f>
        <v>-12148354.449999999</v>
      </c>
    </row>
    <row r="111" spans="1:17" s="3" customFormat="1" ht="62.4" x14ac:dyDescent="0.3">
      <c r="A111" s="31">
        <v>1517370</v>
      </c>
      <c r="B111" s="50" t="s">
        <v>225</v>
      </c>
      <c r="C111" s="50" t="s">
        <v>214</v>
      </c>
      <c r="D111" s="45" t="s">
        <v>224</v>
      </c>
      <c r="E111" s="87">
        <v>20</v>
      </c>
      <c r="F111" s="61" t="s">
        <v>315</v>
      </c>
      <c r="G111" s="31" t="s">
        <v>316</v>
      </c>
      <c r="H111" s="62">
        <f t="shared" si="48"/>
        <v>19920588</v>
      </c>
      <c r="I111" s="60"/>
      <c r="J111" s="62">
        <v>19920588</v>
      </c>
      <c r="K111" s="62">
        <v>19920588</v>
      </c>
      <c r="L111" s="62">
        <f t="shared" si="49"/>
        <v>420085.31</v>
      </c>
      <c r="M111" s="60"/>
      <c r="N111" s="62">
        <v>420085.31</v>
      </c>
      <c r="O111" s="62">
        <v>420085.31</v>
      </c>
      <c r="P111" s="59">
        <f t="shared" si="34"/>
        <v>2.1087997502884957E-2</v>
      </c>
      <c r="Q111" s="59">
        <f t="shared" si="51"/>
        <v>-19500502.690000001</v>
      </c>
    </row>
    <row r="112" spans="1:17" s="3" customFormat="1" ht="46.8" x14ac:dyDescent="0.3">
      <c r="A112" s="31">
        <v>1517520</v>
      </c>
      <c r="B112" s="31">
        <v>7520</v>
      </c>
      <c r="C112" s="31">
        <v>460</v>
      </c>
      <c r="D112" s="76" t="s">
        <v>257</v>
      </c>
      <c r="E112" s="76">
        <v>61</v>
      </c>
      <c r="F112" s="42" t="s">
        <v>258</v>
      </c>
      <c r="G112" s="31" t="s">
        <v>259</v>
      </c>
      <c r="H112" s="62">
        <f t="shared" si="48"/>
        <v>46300</v>
      </c>
      <c r="I112" s="62">
        <v>46300</v>
      </c>
      <c r="J112" s="62"/>
      <c r="K112" s="62"/>
      <c r="L112" s="62">
        <f t="shared" si="49"/>
        <v>20362</v>
      </c>
      <c r="M112" s="62">
        <v>20362</v>
      </c>
      <c r="N112" s="62"/>
      <c r="O112" s="62"/>
      <c r="P112" s="59">
        <f t="shared" si="34"/>
        <v>0.43978401727861771</v>
      </c>
      <c r="Q112" s="59">
        <f t="shared" si="51"/>
        <v>-25938</v>
      </c>
    </row>
    <row r="113" spans="1:18" s="3" customFormat="1" ht="46.8" x14ac:dyDescent="0.3">
      <c r="A113" s="50" t="s">
        <v>320</v>
      </c>
      <c r="B113" s="50" t="s">
        <v>261</v>
      </c>
      <c r="C113" s="50" t="s">
        <v>92</v>
      </c>
      <c r="D113" s="45" t="s">
        <v>93</v>
      </c>
      <c r="E113" s="45">
        <v>17</v>
      </c>
      <c r="F113" s="42" t="s">
        <v>219</v>
      </c>
      <c r="G113" s="31" t="s">
        <v>95</v>
      </c>
      <c r="H113" s="62">
        <f t="shared" si="48"/>
        <v>6791300</v>
      </c>
      <c r="I113" s="62"/>
      <c r="J113" s="62">
        <v>6791300</v>
      </c>
      <c r="K113" s="62">
        <v>6791300</v>
      </c>
      <c r="L113" s="62">
        <f t="shared" si="49"/>
        <v>0</v>
      </c>
      <c r="M113" s="62"/>
      <c r="N113" s="62"/>
      <c r="O113" s="62"/>
      <c r="P113" s="59">
        <f t="shared" si="34"/>
        <v>0</v>
      </c>
      <c r="Q113" s="59">
        <f t="shared" si="51"/>
        <v>-6791300</v>
      </c>
    </row>
    <row r="114" spans="1:18" s="3" customFormat="1" ht="15.6" x14ac:dyDescent="0.3">
      <c r="A114" s="28" t="s">
        <v>226</v>
      </c>
      <c r="B114" s="28"/>
      <c r="C114" s="28"/>
      <c r="D114" s="95" t="s">
        <v>227</v>
      </c>
      <c r="E114" s="96"/>
      <c r="F114" s="97"/>
      <c r="G114" s="75"/>
      <c r="H114" s="60">
        <f t="shared" ref="H114:O114" si="52">H115</f>
        <v>21714600</v>
      </c>
      <c r="I114" s="60">
        <f t="shared" si="52"/>
        <v>21714600</v>
      </c>
      <c r="J114" s="60">
        <f t="shared" si="52"/>
        <v>0</v>
      </c>
      <c r="K114" s="60">
        <f t="shared" si="52"/>
        <v>0</v>
      </c>
      <c r="L114" s="60">
        <f t="shared" si="52"/>
        <v>4373440.3899999997</v>
      </c>
      <c r="M114" s="60">
        <f t="shared" si="52"/>
        <v>4373440.3899999997</v>
      </c>
      <c r="N114" s="60">
        <f t="shared" si="52"/>
        <v>0</v>
      </c>
      <c r="O114" s="60">
        <f t="shared" si="52"/>
        <v>0</v>
      </c>
      <c r="P114" s="60">
        <f t="shared" si="34"/>
        <v>0.20140552393320621</v>
      </c>
      <c r="Q114" s="60">
        <f t="shared" si="51"/>
        <v>-17341159.609999999</v>
      </c>
    </row>
    <row r="115" spans="1:18" s="3" customFormat="1" ht="15.6" x14ac:dyDescent="0.3">
      <c r="A115" s="28" t="s">
        <v>228</v>
      </c>
      <c r="B115" s="28"/>
      <c r="C115" s="28"/>
      <c r="D115" s="95" t="s">
        <v>227</v>
      </c>
      <c r="E115" s="96"/>
      <c r="F115" s="97"/>
      <c r="G115" s="75"/>
      <c r="H115" s="60">
        <f>SUM(H116:H119)</f>
        <v>21714600</v>
      </c>
      <c r="I115" s="60">
        <f>SUM(I116:I119)</f>
        <v>21714600</v>
      </c>
      <c r="J115" s="60">
        <f>SUM(J118:J119)</f>
        <v>0</v>
      </c>
      <c r="K115" s="60">
        <f>SUM(K118:K119)</f>
        <v>0</v>
      </c>
      <c r="L115" s="60">
        <f>SUM(L116:L119)</f>
        <v>4373440.3899999997</v>
      </c>
      <c r="M115" s="60">
        <f>SUM(M116:M119)</f>
        <v>4373440.3899999997</v>
      </c>
      <c r="N115" s="60">
        <f>SUM(N118:N119)</f>
        <v>0</v>
      </c>
      <c r="O115" s="60">
        <f>SUM(O118:O119)</f>
        <v>0</v>
      </c>
      <c r="P115" s="60">
        <f t="shared" si="34"/>
        <v>0.20140552393320621</v>
      </c>
      <c r="Q115" s="60">
        <f t="shared" si="51"/>
        <v>-17341159.609999999</v>
      </c>
    </row>
    <row r="116" spans="1:18" s="3" customFormat="1" ht="109.2" x14ac:dyDescent="0.3">
      <c r="A116" s="50" t="s">
        <v>321</v>
      </c>
      <c r="B116" s="31">
        <v>6090</v>
      </c>
      <c r="C116" s="50" t="s">
        <v>300</v>
      </c>
      <c r="D116" s="45" t="s">
        <v>322</v>
      </c>
      <c r="E116" s="45">
        <v>45</v>
      </c>
      <c r="F116" s="45" t="s">
        <v>229</v>
      </c>
      <c r="G116" s="43" t="s">
        <v>323</v>
      </c>
      <c r="H116" s="62">
        <f t="shared" ref="H116:H117" si="53">I116+J116</f>
        <v>1500000</v>
      </c>
      <c r="I116" s="62">
        <v>1500000</v>
      </c>
      <c r="J116" s="60"/>
      <c r="K116" s="60"/>
      <c r="L116" s="62">
        <f t="shared" ref="L116:L117" si="54">M116+N116</f>
        <v>321640</v>
      </c>
      <c r="M116" s="62">
        <v>321640</v>
      </c>
      <c r="N116" s="60"/>
      <c r="O116" s="60"/>
      <c r="P116" s="59">
        <f t="shared" si="34"/>
        <v>0.21442666666666665</v>
      </c>
      <c r="Q116" s="59">
        <f t="shared" si="51"/>
        <v>-1178360</v>
      </c>
    </row>
    <row r="117" spans="1:18" s="3" customFormat="1" ht="46.8" x14ac:dyDescent="0.3">
      <c r="A117" s="31">
        <v>3117520</v>
      </c>
      <c r="B117" s="31">
        <v>7520</v>
      </c>
      <c r="C117" s="31">
        <v>460</v>
      </c>
      <c r="D117" s="76" t="s">
        <v>257</v>
      </c>
      <c r="E117" s="76">
        <v>61</v>
      </c>
      <c r="F117" s="42" t="s">
        <v>258</v>
      </c>
      <c r="G117" s="31" t="s">
        <v>259</v>
      </c>
      <c r="H117" s="62">
        <f t="shared" si="53"/>
        <v>48600</v>
      </c>
      <c r="I117" s="62">
        <f>8600+40000</f>
        <v>48600</v>
      </c>
      <c r="J117" s="60"/>
      <c r="K117" s="60"/>
      <c r="L117" s="62">
        <f t="shared" si="54"/>
        <v>40000</v>
      </c>
      <c r="M117" s="62">
        <v>40000</v>
      </c>
      <c r="N117" s="60"/>
      <c r="O117" s="60"/>
      <c r="P117" s="59">
        <f t="shared" si="34"/>
        <v>0.82304526748971196</v>
      </c>
      <c r="Q117" s="59">
        <f t="shared" si="51"/>
        <v>-8600</v>
      </c>
    </row>
    <row r="118" spans="1:18" s="3" customFormat="1" ht="46.8" x14ac:dyDescent="0.3">
      <c r="A118" s="46" t="s">
        <v>231</v>
      </c>
      <c r="B118" s="46" t="s">
        <v>217</v>
      </c>
      <c r="C118" s="46" t="s">
        <v>214</v>
      </c>
      <c r="D118" s="48" t="s">
        <v>218</v>
      </c>
      <c r="E118" s="48">
        <v>67</v>
      </c>
      <c r="F118" s="42" t="s">
        <v>308</v>
      </c>
      <c r="G118" s="31" t="s">
        <v>309</v>
      </c>
      <c r="H118" s="62">
        <f>I118+J118</f>
        <v>20021000</v>
      </c>
      <c r="I118" s="62">
        <v>20021000</v>
      </c>
      <c r="J118" s="62"/>
      <c r="K118" s="62"/>
      <c r="L118" s="62">
        <f>M118+N118</f>
        <v>3990093.08</v>
      </c>
      <c r="M118" s="62">
        <f>565148.02+3424945.06</f>
        <v>3990093.08</v>
      </c>
      <c r="N118" s="62"/>
      <c r="O118" s="62"/>
      <c r="P118" s="59">
        <f t="shared" si="34"/>
        <v>0.19929539383647171</v>
      </c>
      <c r="Q118" s="59">
        <f t="shared" si="51"/>
        <v>-16030906.92</v>
      </c>
    </row>
    <row r="119" spans="1:18" s="3" customFormat="1" ht="78" x14ac:dyDescent="0.3">
      <c r="A119" s="46" t="s">
        <v>232</v>
      </c>
      <c r="B119" s="46" t="s">
        <v>56</v>
      </c>
      <c r="C119" s="46" t="s">
        <v>46</v>
      </c>
      <c r="D119" s="48" t="s">
        <v>57</v>
      </c>
      <c r="E119" s="86">
        <v>66</v>
      </c>
      <c r="F119" s="68" t="s">
        <v>324</v>
      </c>
      <c r="G119" s="31" t="s">
        <v>263</v>
      </c>
      <c r="H119" s="62">
        <f>I119+J119</f>
        <v>145000</v>
      </c>
      <c r="I119" s="62">
        <v>145000</v>
      </c>
      <c r="J119" s="62"/>
      <c r="K119" s="62"/>
      <c r="L119" s="62">
        <f>M119+N119</f>
        <v>21707.31</v>
      </c>
      <c r="M119" s="62">
        <v>21707.31</v>
      </c>
      <c r="N119" s="62"/>
      <c r="O119" s="62"/>
      <c r="P119" s="59">
        <f t="shared" si="34"/>
        <v>0.14970558620689656</v>
      </c>
      <c r="Q119" s="59">
        <f t="shared" si="51"/>
        <v>-123292.69</v>
      </c>
    </row>
    <row r="120" spans="1:18" s="3" customFormat="1" ht="15.6" x14ac:dyDescent="0.3">
      <c r="A120" s="28" t="s">
        <v>233</v>
      </c>
      <c r="B120" s="28"/>
      <c r="C120" s="28"/>
      <c r="D120" s="95" t="s">
        <v>234</v>
      </c>
      <c r="E120" s="96"/>
      <c r="F120" s="97"/>
      <c r="G120" s="31"/>
      <c r="H120" s="60">
        <f t="shared" ref="H120:O120" si="55">H121</f>
        <v>111411900</v>
      </c>
      <c r="I120" s="60">
        <f t="shared" si="55"/>
        <v>102306900</v>
      </c>
      <c r="J120" s="60">
        <f t="shared" si="55"/>
        <v>9105000</v>
      </c>
      <c r="K120" s="60">
        <f t="shared" si="55"/>
        <v>9105000</v>
      </c>
      <c r="L120" s="60">
        <f t="shared" si="55"/>
        <v>31534804</v>
      </c>
      <c r="M120" s="60">
        <f t="shared" si="55"/>
        <v>22429804</v>
      </c>
      <c r="N120" s="60">
        <f t="shared" si="55"/>
        <v>9105000</v>
      </c>
      <c r="O120" s="60">
        <f t="shared" si="55"/>
        <v>9105000</v>
      </c>
      <c r="P120" s="60">
        <f t="shared" si="34"/>
        <v>0.28304699946774087</v>
      </c>
      <c r="Q120" s="60">
        <f t="shared" si="51"/>
        <v>-79877096</v>
      </c>
    </row>
    <row r="121" spans="1:18" s="3" customFormat="1" ht="15.6" x14ac:dyDescent="0.3">
      <c r="A121" s="28" t="s">
        <v>235</v>
      </c>
      <c r="B121" s="28"/>
      <c r="C121" s="28"/>
      <c r="D121" s="95" t="s">
        <v>234</v>
      </c>
      <c r="E121" s="96"/>
      <c r="F121" s="97"/>
      <c r="G121" s="31"/>
      <c r="H121" s="60">
        <f>SUM(H122:H130)</f>
        <v>111411900</v>
      </c>
      <c r="I121" s="60">
        <f>SUM(I122:I130)</f>
        <v>102306900</v>
      </c>
      <c r="J121" s="60">
        <f t="shared" ref="J121:K121" si="56">SUM(J122:J130)</f>
        <v>9105000</v>
      </c>
      <c r="K121" s="60">
        <f t="shared" si="56"/>
        <v>9105000</v>
      </c>
      <c r="L121" s="60">
        <f>SUM(L122:L130)</f>
        <v>31534804</v>
      </c>
      <c r="M121" s="60">
        <f>SUM(M122:M130)</f>
        <v>22429804</v>
      </c>
      <c r="N121" s="60">
        <f t="shared" ref="N121:O121" si="57">SUM(N122:N130)</f>
        <v>9105000</v>
      </c>
      <c r="O121" s="60">
        <f t="shared" si="57"/>
        <v>9105000</v>
      </c>
      <c r="P121" s="60">
        <f t="shared" si="34"/>
        <v>0.28304699946774087</v>
      </c>
      <c r="Q121" s="60">
        <f t="shared" si="51"/>
        <v>-79877096</v>
      </c>
    </row>
    <row r="122" spans="1:18" s="3" customFormat="1" ht="31.2" x14ac:dyDescent="0.3">
      <c r="A122" s="31">
        <v>3717520</v>
      </c>
      <c r="B122" s="31">
        <v>7520</v>
      </c>
      <c r="C122" s="31">
        <v>460</v>
      </c>
      <c r="D122" s="76" t="s">
        <v>257</v>
      </c>
      <c r="E122" s="76">
        <v>61</v>
      </c>
      <c r="F122" s="42" t="s">
        <v>258</v>
      </c>
      <c r="G122" s="31" t="s">
        <v>325</v>
      </c>
      <c r="H122" s="62">
        <f>I122+J122</f>
        <v>92500</v>
      </c>
      <c r="I122" s="62">
        <v>92500</v>
      </c>
      <c r="J122" s="60"/>
      <c r="K122" s="60"/>
      <c r="L122" s="62">
        <f>M122+N122</f>
        <v>13104</v>
      </c>
      <c r="M122" s="62">
        <v>13104</v>
      </c>
      <c r="N122" s="60"/>
      <c r="O122" s="60"/>
      <c r="P122" s="62">
        <f t="shared" si="34"/>
        <v>0.14166486486486488</v>
      </c>
      <c r="Q122" s="62">
        <f t="shared" si="51"/>
        <v>-79396</v>
      </c>
    </row>
    <row r="123" spans="1:18" s="3" customFormat="1" ht="46.8" x14ac:dyDescent="0.3">
      <c r="A123" s="31">
        <v>3719770</v>
      </c>
      <c r="B123" s="52">
        <v>9770</v>
      </c>
      <c r="C123" s="50" t="s">
        <v>144</v>
      </c>
      <c r="D123" s="90" t="s">
        <v>236</v>
      </c>
      <c r="E123" s="90">
        <v>14</v>
      </c>
      <c r="F123" s="42" t="s">
        <v>39</v>
      </c>
      <c r="G123" s="31" t="s">
        <v>40</v>
      </c>
      <c r="H123" s="62">
        <f>I123+J123</f>
        <v>2241100</v>
      </c>
      <c r="I123" s="62">
        <f>2251200-10100</f>
        <v>2241100</v>
      </c>
      <c r="J123" s="62"/>
      <c r="K123" s="62"/>
      <c r="L123" s="62">
        <f>M123+N123</f>
        <v>573400</v>
      </c>
      <c r="M123" s="62">
        <v>573400</v>
      </c>
      <c r="N123" s="62"/>
      <c r="O123" s="62"/>
      <c r="P123" s="62">
        <f t="shared" si="34"/>
        <v>0.25585649904064967</v>
      </c>
      <c r="Q123" s="62">
        <f t="shared" si="51"/>
        <v>-1667700</v>
      </c>
    </row>
    <row r="124" spans="1:18" s="3" customFormat="1" ht="31.2" x14ac:dyDescent="0.3">
      <c r="A124" s="31">
        <v>3719770</v>
      </c>
      <c r="B124" s="52">
        <v>9770</v>
      </c>
      <c r="C124" s="50" t="s">
        <v>144</v>
      </c>
      <c r="D124" s="90" t="s">
        <v>236</v>
      </c>
      <c r="E124" s="90">
        <v>71</v>
      </c>
      <c r="F124" s="45" t="s">
        <v>326</v>
      </c>
      <c r="G124" s="31" t="s">
        <v>327</v>
      </c>
      <c r="H124" s="62">
        <f>I124+J124</f>
        <v>500000</v>
      </c>
      <c r="I124" s="62">
        <v>500000</v>
      </c>
      <c r="J124" s="62"/>
      <c r="K124" s="62"/>
      <c r="L124" s="62">
        <f>M124+N124</f>
        <v>0</v>
      </c>
      <c r="M124" s="62"/>
      <c r="N124" s="62"/>
      <c r="O124" s="62"/>
      <c r="P124" s="62">
        <f t="shared" si="34"/>
        <v>0</v>
      </c>
      <c r="Q124" s="62">
        <f t="shared" si="51"/>
        <v>-500000</v>
      </c>
    </row>
    <row r="125" spans="1:18" s="3" customFormat="1" ht="93.6" x14ac:dyDescent="0.3">
      <c r="A125" s="31">
        <v>3719770</v>
      </c>
      <c r="B125" s="52">
        <v>9770</v>
      </c>
      <c r="C125" s="50" t="s">
        <v>144</v>
      </c>
      <c r="D125" s="90" t="s">
        <v>236</v>
      </c>
      <c r="E125" s="90">
        <v>70</v>
      </c>
      <c r="F125" s="42" t="s">
        <v>328</v>
      </c>
      <c r="G125" s="31" t="s">
        <v>329</v>
      </c>
      <c r="H125" s="62">
        <f>I125+J125</f>
        <v>1958700</v>
      </c>
      <c r="I125" s="62">
        <f>1760700+198000</f>
        <v>1958700</v>
      </c>
      <c r="J125" s="62"/>
      <c r="K125" s="62"/>
      <c r="L125" s="62">
        <f>M125+N125</f>
        <v>1958700</v>
      </c>
      <c r="M125" s="62">
        <v>1958700</v>
      </c>
      <c r="N125" s="62"/>
      <c r="O125" s="62"/>
      <c r="P125" s="62">
        <f t="shared" si="34"/>
        <v>1</v>
      </c>
      <c r="Q125" s="62">
        <f t="shared" si="51"/>
        <v>0</v>
      </c>
    </row>
    <row r="126" spans="1:18" s="3" customFormat="1" ht="46.8" x14ac:dyDescent="0.3">
      <c r="A126" s="31">
        <v>3719800</v>
      </c>
      <c r="B126" s="52">
        <v>9800</v>
      </c>
      <c r="C126" s="50" t="s">
        <v>144</v>
      </c>
      <c r="D126" s="81" t="s">
        <v>237</v>
      </c>
      <c r="E126" s="45">
        <v>15</v>
      </c>
      <c r="F126" s="42" t="s">
        <v>22</v>
      </c>
      <c r="G126" s="31" t="s">
        <v>23</v>
      </c>
      <c r="H126" s="62">
        <f>I126+J126</f>
        <v>200000</v>
      </c>
      <c r="I126" s="62">
        <v>200000</v>
      </c>
      <c r="J126" s="62"/>
      <c r="K126" s="62"/>
      <c r="L126" s="62">
        <f>M126+N126</f>
        <v>200000</v>
      </c>
      <c r="M126" s="62">
        <v>200000</v>
      </c>
      <c r="N126" s="62"/>
      <c r="O126" s="62"/>
      <c r="P126" s="62">
        <f t="shared" si="34"/>
        <v>1</v>
      </c>
      <c r="Q126" s="62">
        <f t="shared" si="51"/>
        <v>0</v>
      </c>
    </row>
    <row r="127" spans="1:18" s="3" customFormat="1" ht="78" x14ac:dyDescent="0.3">
      <c r="A127" s="31">
        <v>3719800</v>
      </c>
      <c r="B127" s="52">
        <v>9800</v>
      </c>
      <c r="C127" s="50" t="s">
        <v>144</v>
      </c>
      <c r="D127" s="81" t="s">
        <v>237</v>
      </c>
      <c r="E127" s="81">
        <v>66</v>
      </c>
      <c r="F127" s="42" t="s">
        <v>330</v>
      </c>
      <c r="G127" s="31" t="s">
        <v>263</v>
      </c>
      <c r="H127" s="62">
        <f t="shared" ref="H127:H130" si="58">I127+J127</f>
        <v>100000000</v>
      </c>
      <c r="I127" s="62">
        <f>1690000+14000000+77500000</f>
        <v>93190000</v>
      </c>
      <c r="J127" s="62">
        <f>2310000+4500000</f>
        <v>6810000</v>
      </c>
      <c r="K127" s="62">
        <f>2310000+4500000</f>
        <v>6810000</v>
      </c>
      <c r="L127" s="62">
        <f t="shared" ref="L127:L130" si="59">M127+N127</f>
        <v>22500000</v>
      </c>
      <c r="M127" s="62">
        <v>15690000</v>
      </c>
      <c r="N127" s="62">
        <v>6810000</v>
      </c>
      <c r="O127" s="62">
        <v>6810000</v>
      </c>
      <c r="P127" s="62">
        <f t="shared" si="34"/>
        <v>0.22500000000000001</v>
      </c>
      <c r="Q127" s="62">
        <f t="shared" si="51"/>
        <v>-77500000</v>
      </c>
      <c r="R127" s="55"/>
    </row>
    <row r="128" spans="1:18" s="3" customFormat="1" ht="46.8" x14ac:dyDescent="0.3">
      <c r="A128" s="31">
        <v>3719800</v>
      </c>
      <c r="B128" s="52">
        <v>9800</v>
      </c>
      <c r="C128" s="50" t="s">
        <v>144</v>
      </c>
      <c r="D128" s="45" t="s">
        <v>237</v>
      </c>
      <c r="E128" s="45">
        <v>72</v>
      </c>
      <c r="F128" s="42" t="s">
        <v>331</v>
      </c>
      <c r="G128" s="31" t="s">
        <v>332</v>
      </c>
      <c r="H128" s="62">
        <f t="shared" si="58"/>
        <v>3000000</v>
      </c>
      <c r="I128" s="62">
        <v>2000000</v>
      </c>
      <c r="J128" s="62">
        <v>1000000</v>
      </c>
      <c r="K128" s="62">
        <v>1000000</v>
      </c>
      <c r="L128" s="62">
        <f t="shared" si="59"/>
        <v>2870000</v>
      </c>
      <c r="M128" s="62">
        <v>1870000</v>
      </c>
      <c r="N128" s="62">
        <v>1000000</v>
      </c>
      <c r="O128" s="62">
        <v>1000000</v>
      </c>
      <c r="P128" s="62">
        <f t="shared" si="34"/>
        <v>0.95666666666666667</v>
      </c>
      <c r="Q128" s="62">
        <f t="shared" si="51"/>
        <v>-130000</v>
      </c>
    </row>
    <row r="129" spans="1:17" s="3" customFormat="1" ht="46.8" x14ac:dyDescent="0.3">
      <c r="A129" s="31">
        <v>3719800</v>
      </c>
      <c r="B129" s="52">
        <v>9800</v>
      </c>
      <c r="C129" s="50" t="s">
        <v>144</v>
      </c>
      <c r="D129" s="45" t="s">
        <v>237</v>
      </c>
      <c r="E129" s="45">
        <v>73</v>
      </c>
      <c r="F129" s="42" t="s">
        <v>333</v>
      </c>
      <c r="G129" s="31" t="s">
        <v>334</v>
      </c>
      <c r="H129" s="62">
        <f t="shared" si="58"/>
        <v>2000000</v>
      </c>
      <c r="I129" s="62">
        <v>2000000</v>
      </c>
      <c r="J129" s="62"/>
      <c r="K129" s="62"/>
      <c r="L129" s="62">
        <f t="shared" si="59"/>
        <v>2000000</v>
      </c>
      <c r="M129" s="62">
        <v>2000000</v>
      </c>
      <c r="N129" s="62"/>
      <c r="O129" s="62"/>
      <c r="P129" s="62">
        <f t="shared" si="34"/>
        <v>1</v>
      </c>
      <c r="Q129" s="62">
        <f t="shared" si="51"/>
        <v>0</v>
      </c>
    </row>
    <row r="130" spans="1:17" s="3" customFormat="1" ht="46.8" x14ac:dyDescent="0.3">
      <c r="A130" s="31">
        <v>3719800</v>
      </c>
      <c r="B130" s="52">
        <v>9800</v>
      </c>
      <c r="C130" s="50" t="s">
        <v>144</v>
      </c>
      <c r="D130" s="45" t="s">
        <v>237</v>
      </c>
      <c r="E130" s="45">
        <v>74</v>
      </c>
      <c r="F130" s="42" t="s">
        <v>335</v>
      </c>
      <c r="G130" s="31" t="s">
        <v>334</v>
      </c>
      <c r="H130" s="62">
        <f t="shared" si="58"/>
        <v>1419600</v>
      </c>
      <c r="I130" s="62">
        <v>124600</v>
      </c>
      <c r="J130" s="62">
        <v>1295000</v>
      </c>
      <c r="K130" s="62">
        <v>1295000</v>
      </c>
      <c r="L130" s="62">
        <f t="shared" si="59"/>
        <v>1419600</v>
      </c>
      <c r="M130" s="62">
        <v>124600</v>
      </c>
      <c r="N130" s="62">
        <v>1295000</v>
      </c>
      <c r="O130" s="62">
        <v>1295000</v>
      </c>
      <c r="P130" s="62">
        <f t="shared" si="34"/>
        <v>1</v>
      </c>
      <c r="Q130" s="62">
        <f t="shared" si="51"/>
        <v>0</v>
      </c>
    </row>
    <row r="131" spans="1:17" s="3" customFormat="1" ht="15.6" x14ac:dyDescent="0.3">
      <c r="A131" s="75"/>
      <c r="B131" s="75"/>
      <c r="C131" s="75"/>
      <c r="D131" s="98" t="s">
        <v>238</v>
      </c>
      <c r="E131" s="98"/>
      <c r="F131" s="98"/>
      <c r="G131" s="75"/>
      <c r="H131" s="60">
        <f t="shared" ref="H131:O131" si="60">H12+H29+H47+H64+H69+H78+H85+H114+H120+H105</f>
        <v>718334796.81000006</v>
      </c>
      <c r="I131" s="60">
        <f t="shared" si="60"/>
        <v>504178909</v>
      </c>
      <c r="J131" s="60">
        <f t="shared" si="60"/>
        <v>214155887.81</v>
      </c>
      <c r="K131" s="60">
        <f t="shared" si="60"/>
        <v>212596513.63</v>
      </c>
      <c r="L131" s="60">
        <f t="shared" si="60"/>
        <v>128549333.93000001</v>
      </c>
      <c r="M131" s="60">
        <f t="shared" si="60"/>
        <v>113474757.94</v>
      </c>
      <c r="N131" s="60">
        <f t="shared" si="60"/>
        <v>15074575.99</v>
      </c>
      <c r="O131" s="60">
        <f t="shared" si="60"/>
        <v>15074575.99</v>
      </c>
      <c r="P131" s="60">
        <f t="shared" si="34"/>
        <v>0.17895462464141407</v>
      </c>
      <c r="Q131" s="60">
        <f t="shared" si="51"/>
        <v>-589785462.88000011</v>
      </c>
    </row>
    <row r="132" spans="1:17" s="3" customFormat="1" ht="46.8" x14ac:dyDescent="0.3">
      <c r="A132" s="31">
        <v>1</v>
      </c>
      <c r="B132" s="38"/>
      <c r="C132" s="38"/>
      <c r="D132" s="39"/>
      <c r="E132" s="38">
        <v>1</v>
      </c>
      <c r="F132" s="29" t="s">
        <v>89</v>
      </c>
      <c r="G132" s="31" t="s">
        <v>239</v>
      </c>
      <c r="H132" s="62">
        <f>H42</f>
        <v>300000</v>
      </c>
      <c r="I132" s="62">
        <f>I42</f>
        <v>300000</v>
      </c>
      <c r="J132" s="62"/>
      <c r="K132" s="62"/>
      <c r="L132" s="62">
        <f>L42</f>
        <v>73330</v>
      </c>
      <c r="M132" s="62">
        <f>M42</f>
        <v>73330</v>
      </c>
      <c r="N132" s="62"/>
      <c r="O132" s="62"/>
      <c r="P132" s="62">
        <f t="shared" si="34"/>
        <v>0.24443333333333334</v>
      </c>
      <c r="Q132" s="62">
        <f t="shared" si="51"/>
        <v>-226670</v>
      </c>
    </row>
    <row r="133" spans="1:17" s="3" customFormat="1" ht="46.8" x14ac:dyDescent="0.3">
      <c r="A133" s="31">
        <v>2</v>
      </c>
      <c r="B133" s="38"/>
      <c r="C133" s="38"/>
      <c r="D133" s="39"/>
      <c r="E133" s="38">
        <v>9</v>
      </c>
      <c r="F133" s="29" t="s">
        <v>200</v>
      </c>
      <c r="G133" s="31" t="s">
        <v>201</v>
      </c>
      <c r="H133" s="62">
        <f t="shared" ref="H133:O133" si="61">H90</f>
        <v>5715954</v>
      </c>
      <c r="I133" s="62">
        <f t="shared" si="61"/>
        <v>300000</v>
      </c>
      <c r="J133" s="62">
        <f t="shared" si="61"/>
        <v>5415954</v>
      </c>
      <c r="K133" s="62">
        <f t="shared" si="61"/>
        <v>5415954</v>
      </c>
      <c r="L133" s="62">
        <f t="shared" si="61"/>
        <v>0</v>
      </c>
      <c r="M133" s="62">
        <f t="shared" si="61"/>
        <v>0</v>
      </c>
      <c r="N133" s="62">
        <f t="shared" si="61"/>
        <v>0</v>
      </c>
      <c r="O133" s="62">
        <f t="shared" si="61"/>
        <v>0</v>
      </c>
      <c r="P133" s="62">
        <f t="shared" si="34"/>
        <v>0</v>
      </c>
      <c r="Q133" s="62">
        <f t="shared" si="51"/>
        <v>-5715954</v>
      </c>
    </row>
    <row r="134" spans="1:17" s="3" customFormat="1" ht="62.4" x14ac:dyDescent="0.3">
      <c r="A134" s="31">
        <v>3</v>
      </c>
      <c r="B134" s="38"/>
      <c r="C134" s="38"/>
      <c r="D134" s="39"/>
      <c r="E134" s="38">
        <v>13</v>
      </c>
      <c r="F134" s="29" t="s">
        <v>65</v>
      </c>
      <c r="G134" s="31" t="s">
        <v>66</v>
      </c>
      <c r="H134" s="62">
        <f>H49+H53+H61+H31</f>
        <v>23302425</v>
      </c>
      <c r="I134" s="62">
        <f t="shared" ref="I134:K134" si="62">I49+I53+I61+I31</f>
        <v>22310800</v>
      </c>
      <c r="J134" s="62">
        <f t="shared" si="62"/>
        <v>991625</v>
      </c>
      <c r="K134" s="62">
        <f t="shared" si="62"/>
        <v>991625</v>
      </c>
      <c r="L134" s="62">
        <f>L49+L53+L61+L31</f>
        <v>3693368.22</v>
      </c>
      <c r="M134" s="62">
        <f t="shared" ref="M134:O134" si="63">M49+M53+M61+M31</f>
        <v>3693368.22</v>
      </c>
      <c r="N134" s="62">
        <f t="shared" si="63"/>
        <v>0</v>
      </c>
      <c r="O134" s="62">
        <f t="shared" si="63"/>
        <v>0</v>
      </c>
      <c r="P134" s="62">
        <f t="shared" si="34"/>
        <v>0.15849716156151131</v>
      </c>
      <c r="Q134" s="62">
        <f t="shared" si="51"/>
        <v>-19609056.780000001</v>
      </c>
    </row>
    <row r="135" spans="1:17" s="3" customFormat="1" ht="46.8" x14ac:dyDescent="0.3">
      <c r="A135" s="31">
        <v>4</v>
      </c>
      <c r="B135" s="38"/>
      <c r="C135" s="38"/>
      <c r="D135" s="39"/>
      <c r="E135" s="38">
        <v>14</v>
      </c>
      <c r="F135" s="29" t="s">
        <v>39</v>
      </c>
      <c r="G135" s="31" t="s">
        <v>40</v>
      </c>
      <c r="H135" s="62">
        <f t="shared" ref="H135:O135" si="64">H19+H43+H50+H51+H52+H55+H57+H58+H59+H60+H62+H66+H123</f>
        <v>55681800</v>
      </c>
      <c r="I135" s="62">
        <f t="shared" si="64"/>
        <v>55681800</v>
      </c>
      <c r="J135" s="62">
        <f t="shared" si="64"/>
        <v>0</v>
      </c>
      <c r="K135" s="62">
        <f t="shared" si="64"/>
        <v>0</v>
      </c>
      <c r="L135" s="62">
        <f t="shared" si="64"/>
        <v>10192513.059999999</v>
      </c>
      <c r="M135" s="62">
        <f t="shared" si="64"/>
        <v>10192513.059999999</v>
      </c>
      <c r="N135" s="62">
        <f t="shared" si="64"/>
        <v>0</v>
      </c>
      <c r="O135" s="62">
        <f t="shared" si="64"/>
        <v>0</v>
      </c>
      <c r="P135" s="62">
        <f t="shared" si="34"/>
        <v>0.18304927390996698</v>
      </c>
      <c r="Q135" s="62">
        <f t="shared" si="51"/>
        <v>-45489286.939999998</v>
      </c>
    </row>
    <row r="136" spans="1:17" s="3" customFormat="1" ht="46.8" x14ac:dyDescent="0.3">
      <c r="A136" s="31">
        <v>5</v>
      </c>
      <c r="B136" s="38"/>
      <c r="C136" s="38"/>
      <c r="D136" s="40"/>
      <c r="E136" s="62">
        <v>15</v>
      </c>
      <c r="F136" s="29" t="s">
        <v>22</v>
      </c>
      <c r="G136" s="31" t="s">
        <v>23</v>
      </c>
      <c r="H136" s="62">
        <f>H14+H15+H16+H17+H22+H126</f>
        <v>68620300</v>
      </c>
      <c r="I136" s="62">
        <f t="shared" ref="I136:K136" si="65">I14+I15+I16+I17+I22+I126</f>
        <v>63365600</v>
      </c>
      <c r="J136" s="62">
        <f t="shared" si="65"/>
        <v>5254700</v>
      </c>
      <c r="K136" s="62">
        <f t="shared" si="65"/>
        <v>5254700</v>
      </c>
      <c r="L136" s="62">
        <f>L14+L15+L16+L17+L22+L126</f>
        <v>11944540.040000001</v>
      </c>
      <c r="M136" s="62">
        <f t="shared" ref="M136:O136" si="66">M14+M15+M16+M17+M22+M126</f>
        <v>11827926.200000001</v>
      </c>
      <c r="N136" s="62">
        <f t="shared" si="66"/>
        <v>116613.84</v>
      </c>
      <c r="O136" s="62">
        <f t="shared" si="66"/>
        <v>116613.84</v>
      </c>
      <c r="P136" s="62">
        <f t="shared" si="34"/>
        <v>0.17406714980843863</v>
      </c>
      <c r="Q136" s="62">
        <f t="shared" si="51"/>
        <v>-56675759.960000001</v>
      </c>
    </row>
    <row r="137" spans="1:17" s="57" customFormat="1" ht="46.8" x14ac:dyDescent="0.3">
      <c r="A137" s="31">
        <v>6</v>
      </c>
      <c r="B137" s="38"/>
      <c r="C137" s="38"/>
      <c r="D137" s="40"/>
      <c r="E137" s="62">
        <v>16</v>
      </c>
      <c r="F137" s="29" t="s">
        <v>67</v>
      </c>
      <c r="G137" s="31" t="s">
        <v>68</v>
      </c>
      <c r="H137" s="62">
        <f t="shared" ref="H137:O137" si="67">H32+H33+H36+H37+H38+H39+H40+H44</f>
        <v>43137766</v>
      </c>
      <c r="I137" s="62">
        <f t="shared" si="67"/>
        <v>37660400</v>
      </c>
      <c r="J137" s="62">
        <f t="shared" si="67"/>
        <v>5477366</v>
      </c>
      <c r="K137" s="62">
        <f t="shared" si="67"/>
        <v>5477366</v>
      </c>
      <c r="L137" s="62">
        <f t="shared" si="67"/>
        <v>2204974.91</v>
      </c>
      <c r="M137" s="62">
        <f t="shared" si="67"/>
        <v>2204974.91</v>
      </c>
      <c r="N137" s="62">
        <f t="shared" si="67"/>
        <v>0</v>
      </c>
      <c r="O137" s="62">
        <f t="shared" si="67"/>
        <v>0</v>
      </c>
      <c r="P137" s="62">
        <f t="shared" si="34"/>
        <v>5.1114721842572937E-2</v>
      </c>
      <c r="Q137" s="62">
        <f t="shared" ref="Q137" si="68">L137-H137</f>
        <v>-40932791.090000004</v>
      </c>
    </row>
    <row r="138" spans="1:17" s="57" customFormat="1" ht="46.8" x14ac:dyDescent="0.3">
      <c r="A138" s="31">
        <v>7</v>
      </c>
      <c r="B138" s="38"/>
      <c r="C138" s="38"/>
      <c r="D138" s="39"/>
      <c r="E138" s="38">
        <v>17</v>
      </c>
      <c r="F138" s="29" t="s">
        <v>94</v>
      </c>
      <c r="G138" s="31" t="s">
        <v>95</v>
      </c>
      <c r="H138" s="62">
        <f>H23+H96+H102+H46+H106+H107+H110+H113</f>
        <v>121337098.62</v>
      </c>
      <c r="I138" s="62">
        <f>I23+I96+I102+I103+I46+I106+I107+I110+I113</f>
        <v>3487700</v>
      </c>
      <c r="J138" s="62">
        <f>J23+J96+J102+J46+J106+J107+J110+J113</f>
        <v>117849398.62</v>
      </c>
      <c r="K138" s="62">
        <f>K23+K96+K102+K46+K106+K107+K110+K113</f>
        <v>117849398.62</v>
      </c>
      <c r="L138" s="62">
        <f>L23+L96+L102+L46+L106+L107+L110+L113</f>
        <v>4560419.63</v>
      </c>
      <c r="M138" s="62">
        <f>M23+M96+M102+M103+M46+M106+M107+M110+M113</f>
        <v>420648.39</v>
      </c>
      <c r="N138" s="62">
        <f>N23+N96+N102+N46+N106+N107+N110+N113</f>
        <v>4139771.2399999998</v>
      </c>
      <c r="O138" s="62">
        <f>O23+O96+O102+O46+O106+O107+O110+O113</f>
        <v>4139771.2399999998</v>
      </c>
      <c r="P138" s="62">
        <f t="shared" ref="P138:P164" si="69">L138/H138</f>
        <v>3.7584709720826517E-2</v>
      </c>
      <c r="Q138" s="62">
        <f t="shared" ref="Q138:Q164" si="70">L138-H138</f>
        <v>-116776678.99000001</v>
      </c>
    </row>
    <row r="139" spans="1:17" s="58" customFormat="1" ht="124.8" x14ac:dyDescent="0.3">
      <c r="A139" s="31">
        <v>8</v>
      </c>
      <c r="B139" s="38"/>
      <c r="C139" s="38"/>
      <c r="D139" s="39"/>
      <c r="E139" s="63">
        <v>18</v>
      </c>
      <c r="F139" s="41" t="s">
        <v>48</v>
      </c>
      <c r="G139" s="31" t="s">
        <v>49</v>
      </c>
      <c r="H139" s="62">
        <f t="shared" ref="H139:O139" si="71">H24</f>
        <v>2083400</v>
      </c>
      <c r="I139" s="62">
        <f t="shared" si="71"/>
        <v>2083400</v>
      </c>
      <c r="J139" s="62">
        <f t="shared" si="71"/>
        <v>0</v>
      </c>
      <c r="K139" s="62">
        <f t="shared" si="71"/>
        <v>0</v>
      </c>
      <c r="L139" s="62">
        <f t="shared" si="71"/>
        <v>51840</v>
      </c>
      <c r="M139" s="62">
        <f t="shared" si="71"/>
        <v>51840</v>
      </c>
      <c r="N139" s="62">
        <f t="shared" si="71"/>
        <v>0</v>
      </c>
      <c r="O139" s="62">
        <f t="shared" si="71"/>
        <v>0</v>
      </c>
      <c r="P139" s="62">
        <f t="shared" si="69"/>
        <v>2.4882403763079583E-2</v>
      </c>
      <c r="Q139" s="62">
        <f t="shared" si="70"/>
        <v>-2031560</v>
      </c>
    </row>
    <row r="140" spans="1:17" s="2" customFormat="1" ht="62.4" x14ac:dyDescent="0.3">
      <c r="A140" s="31">
        <v>9</v>
      </c>
      <c r="B140" s="38"/>
      <c r="C140" s="38"/>
      <c r="D140" s="39"/>
      <c r="E140" s="64">
        <v>20</v>
      </c>
      <c r="F140" s="61" t="s">
        <v>315</v>
      </c>
      <c r="G140" s="31" t="s">
        <v>316</v>
      </c>
      <c r="H140" s="62">
        <f>H108+H111</f>
        <v>20406588</v>
      </c>
      <c r="I140" s="62">
        <f t="shared" ref="I140:K140" si="72">I108+I111</f>
        <v>0</v>
      </c>
      <c r="J140" s="62">
        <f t="shared" si="72"/>
        <v>20406588</v>
      </c>
      <c r="K140" s="62">
        <f t="shared" si="72"/>
        <v>20406588</v>
      </c>
      <c r="L140" s="62">
        <f>L108+L111</f>
        <v>420085.31</v>
      </c>
      <c r="M140" s="62">
        <f t="shared" ref="M140:O140" si="73">M108+M111</f>
        <v>0</v>
      </c>
      <c r="N140" s="62">
        <f t="shared" si="73"/>
        <v>420085.31</v>
      </c>
      <c r="O140" s="62">
        <f t="shared" si="73"/>
        <v>420085.31</v>
      </c>
      <c r="P140" s="62">
        <f t="shared" si="69"/>
        <v>2.0585769164350259E-2</v>
      </c>
      <c r="Q140" s="62">
        <f t="shared" si="70"/>
        <v>-19986502.690000001</v>
      </c>
    </row>
    <row r="141" spans="1:17" ht="46.8" x14ac:dyDescent="0.3">
      <c r="A141" s="31">
        <v>10</v>
      </c>
      <c r="B141" s="38"/>
      <c r="C141" s="38"/>
      <c r="D141" s="39"/>
      <c r="E141" s="63">
        <v>23</v>
      </c>
      <c r="F141" s="41" t="s">
        <v>73</v>
      </c>
      <c r="G141" s="31" t="s">
        <v>240</v>
      </c>
      <c r="H141" s="62">
        <f>H34</f>
        <v>200000</v>
      </c>
      <c r="I141" s="62">
        <f>I34</f>
        <v>200000</v>
      </c>
      <c r="J141" s="62"/>
      <c r="K141" s="62"/>
      <c r="L141" s="62">
        <f>L34</f>
        <v>0</v>
      </c>
      <c r="M141" s="62">
        <f>M34</f>
        <v>0</v>
      </c>
      <c r="N141" s="62"/>
      <c r="O141" s="62"/>
      <c r="P141" s="62">
        <f t="shared" si="69"/>
        <v>0</v>
      </c>
      <c r="Q141" s="62">
        <f t="shared" si="70"/>
        <v>-200000</v>
      </c>
    </row>
    <row r="142" spans="1:17" ht="46.8" x14ac:dyDescent="0.3">
      <c r="A142" s="31">
        <v>11</v>
      </c>
      <c r="B142" s="38"/>
      <c r="C142" s="38"/>
      <c r="D142" s="39"/>
      <c r="E142" s="38">
        <v>25</v>
      </c>
      <c r="F142" s="42" t="s">
        <v>85</v>
      </c>
      <c r="G142" s="31" t="s">
        <v>86</v>
      </c>
      <c r="H142" s="62">
        <f>H41+H72+H56</f>
        <v>5988400</v>
      </c>
      <c r="I142" s="62">
        <f>I41+I72+I56</f>
        <v>5988400</v>
      </c>
      <c r="J142" s="62">
        <f>J41+J72</f>
        <v>0</v>
      </c>
      <c r="K142" s="62">
        <f>K41+K72</f>
        <v>0</v>
      </c>
      <c r="L142" s="62">
        <f>L41+L72+L56</f>
        <v>0</v>
      </c>
      <c r="M142" s="62">
        <f>M41+M72+M56</f>
        <v>0</v>
      </c>
      <c r="N142" s="62">
        <f>N41+N72</f>
        <v>0</v>
      </c>
      <c r="O142" s="62">
        <f>O41+O72</f>
        <v>0</v>
      </c>
      <c r="P142" s="62">
        <f t="shared" si="69"/>
        <v>0</v>
      </c>
      <c r="Q142" s="62">
        <f t="shared" si="70"/>
        <v>-5988400</v>
      </c>
    </row>
    <row r="143" spans="1:17" s="4" customFormat="1" ht="46.8" x14ac:dyDescent="0.3">
      <c r="A143" s="31">
        <v>12</v>
      </c>
      <c r="B143" s="38"/>
      <c r="C143" s="38"/>
      <c r="D143" s="39"/>
      <c r="E143" s="38">
        <v>28</v>
      </c>
      <c r="F143" s="42" t="s">
        <v>145</v>
      </c>
      <c r="G143" s="30" t="s">
        <v>146</v>
      </c>
      <c r="H143" s="62">
        <f>H71+H73+H74+H75+H76</f>
        <v>3988400</v>
      </c>
      <c r="I143" s="62">
        <f>I71+I73+I74+I75+I76</f>
        <v>3513400</v>
      </c>
      <c r="J143" s="62">
        <f>J71+J73+J74+J75+J76</f>
        <v>475000</v>
      </c>
      <c r="K143" s="62">
        <f>K71+K73+K74+K75</f>
        <v>200000</v>
      </c>
      <c r="L143" s="62">
        <f>L71+L73+L74+L75+L76</f>
        <v>81439.59</v>
      </c>
      <c r="M143" s="62">
        <f>M71+M73+M74+M75+M76</f>
        <v>81439.59</v>
      </c>
      <c r="N143" s="62">
        <f>N71+N73+N74+N75+N76</f>
        <v>0</v>
      </c>
      <c r="O143" s="62">
        <f>O71+O73+O74+O75</f>
        <v>0</v>
      </c>
      <c r="P143" s="62">
        <f t="shared" si="69"/>
        <v>2.041911292748972E-2</v>
      </c>
      <c r="Q143" s="62">
        <f t="shared" si="70"/>
        <v>-3906960.41</v>
      </c>
    </row>
    <row r="144" spans="1:17" s="4" customFormat="1" ht="46.8" x14ac:dyDescent="0.3">
      <c r="A144" s="31">
        <v>13</v>
      </c>
      <c r="B144" s="38"/>
      <c r="C144" s="38"/>
      <c r="D144" s="39"/>
      <c r="E144" s="38">
        <v>29</v>
      </c>
      <c r="F144" s="29" t="s">
        <v>171</v>
      </c>
      <c r="G144" s="31" t="s">
        <v>111</v>
      </c>
      <c r="H144" s="62">
        <f t="shared" ref="H144:O144" si="74">H54+H80</f>
        <v>1281500</v>
      </c>
      <c r="I144" s="62">
        <f t="shared" si="74"/>
        <v>1281500</v>
      </c>
      <c r="J144" s="62">
        <f t="shared" si="74"/>
        <v>0</v>
      </c>
      <c r="K144" s="62">
        <f t="shared" si="74"/>
        <v>0</v>
      </c>
      <c r="L144" s="62">
        <f t="shared" si="74"/>
        <v>43319.93</v>
      </c>
      <c r="M144" s="62">
        <f t="shared" si="74"/>
        <v>43319.93</v>
      </c>
      <c r="N144" s="62">
        <f t="shared" si="74"/>
        <v>0</v>
      </c>
      <c r="O144" s="62">
        <f t="shared" si="74"/>
        <v>0</v>
      </c>
      <c r="P144" s="62">
        <f t="shared" si="69"/>
        <v>3.3804081154896609E-2</v>
      </c>
      <c r="Q144" s="62">
        <f t="shared" si="70"/>
        <v>-1238180.07</v>
      </c>
    </row>
    <row r="145" spans="1:17" ht="46.8" x14ac:dyDescent="0.3">
      <c r="A145" s="31">
        <v>14</v>
      </c>
      <c r="B145" s="38"/>
      <c r="C145" s="38"/>
      <c r="D145" s="39"/>
      <c r="E145" s="38">
        <v>30</v>
      </c>
      <c r="F145" s="29" t="s">
        <v>172</v>
      </c>
      <c r="G145" s="31" t="s">
        <v>173</v>
      </c>
      <c r="H145" s="62">
        <f t="shared" ref="H145:O145" si="75">H81+H82+H83</f>
        <v>5673000</v>
      </c>
      <c r="I145" s="62">
        <f t="shared" si="75"/>
        <v>5673000</v>
      </c>
      <c r="J145" s="62">
        <f t="shared" si="75"/>
        <v>0</v>
      </c>
      <c r="K145" s="62">
        <f t="shared" si="75"/>
        <v>0</v>
      </c>
      <c r="L145" s="62">
        <f t="shared" si="75"/>
        <v>708806.02</v>
      </c>
      <c r="M145" s="62">
        <f t="shared" si="75"/>
        <v>708806.02</v>
      </c>
      <c r="N145" s="62">
        <f t="shared" si="75"/>
        <v>0</v>
      </c>
      <c r="O145" s="62">
        <f t="shared" si="75"/>
        <v>0</v>
      </c>
      <c r="P145" s="62">
        <f t="shared" si="69"/>
        <v>0.12494377225453905</v>
      </c>
      <c r="Q145" s="62">
        <f t="shared" si="70"/>
        <v>-4964193.9800000004</v>
      </c>
    </row>
    <row r="146" spans="1:17" ht="62.4" x14ac:dyDescent="0.3">
      <c r="A146" s="31">
        <v>15</v>
      </c>
      <c r="B146" s="38"/>
      <c r="C146" s="38"/>
      <c r="D146" s="39"/>
      <c r="E146" s="38">
        <v>32</v>
      </c>
      <c r="F146" s="29" t="s">
        <v>75</v>
      </c>
      <c r="G146" s="31" t="s">
        <v>76</v>
      </c>
      <c r="H146" s="62">
        <f t="shared" ref="H146:O146" si="76">H35</f>
        <v>15000</v>
      </c>
      <c r="I146" s="62">
        <f t="shared" si="76"/>
        <v>15000</v>
      </c>
      <c r="J146" s="62">
        <f t="shared" si="76"/>
        <v>0</v>
      </c>
      <c r="K146" s="62">
        <f t="shared" si="76"/>
        <v>0</v>
      </c>
      <c r="L146" s="62">
        <f t="shared" si="76"/>
        <v>0</v>
      </c>
      <c r="M146" s="62">
        <f t="shared" si="76"/>
        <v>0</v>
      </c>
      <c r="N146" s="62">
        <f t="shared" si="76"/>
        <v>0</v>
      </c>
      <c r="O146" s="62">
        <f t="shared" si="76"/>
        <v>0</v>
      </c>
      <c r="P146" s="62">
        <f t="shared" si="69"/>
        <v>0</v>
      </c>
      <c r="Q146" s="62">
        <f t="shared" si="70"/>
        <v>-15000</v>
      </c>
    </row>
    <row r="147" spans="1:17" ht="62.4" x14ac:dyDescent="0.3">
      <c r="A147" s="31">
        <v>16</v>
      </c>
      <c r="B147" s="38"/>
      <c r="C147" s="38"/>
      <c r="D147" s="39"/>
      <c r="E147" s="63">
        <v>36</v>
      </c>
      <c r="F147" s="41" t="s">
        <v>53</v>
      </c>
      <c r="G147" s="31" t="s">
        <v>54</v>
      </c>
      <c r="H147" s="62">
        <f t="shared" ref="H147:O147" si="77">H26</f>
        <v>2784000</v>
      </c>
      <c r="I147" s="62">
        <f t="shared" si="77"/>
        <v>2270000</v>
      </c>
      <c r="J147" s="62">
        <f t="shared" si="77"/>
        <v>514000</v>
      </c>
      <c r="K147" s="62">
        <f t="shared" si="77"/>
        <v>514000</v>
      </c>
      <c r="L147" s="62">
        <f t="shared" si="77"/>
        <v>0</v>
      </c>
      <c r="M147" s="62">
        <f t="shared" si="77"/>
        <v>0</v>
      </c>
      <c r="N147" s="62">
        <f t="shared" si="77"/>
        <v>0</v>
      </c>
      <c r="O147" s="62">
        <f t="shared" si="77"/>
        <v>0</v>
      </c>
      <c r="P147" s="62">
        <f t="shared" si="69"/>
        <v>0</v>
      </c>
      <c r="Q147" s="62">
        <f t="shared" si="70"/>
        <v>-2784000</v>
      </c>
    </row>
    <row r="148" spans="1:17" s="5" customFormat="1" ht="78" x14ac:dyDescent="0.3">
      <c r="A148" s="31">
        <v>17</v>
      </c>
      <c r="B148" s="38"/>
      <c r="C148" s="38"/>
      <c r="D148" s="39"/>
      <c r="E148" s="38">
        <v>40</v>
      </c>
      <c r="F148" s="42" t="s">
        <v>296</v>
      </c>
      <c r="G148" s="31" t="s">
        <v>297</v>
      </c>
      <c r="H148" s="62">
        <f>H89+H91+H100</f>
        <v>3843724.18</v>
      </c>
      <c r="I148" s="62">
        <f>I89+I100</f>
        <v>0</v>
      </c>
      <c r="J148" s="62">
        <f>J89+J91+J100</f>
        <v>3843724.18</v>
      </c>
      <c r="K148" s="62">
        <f>K89+K91+K100</f>
        <v>3459350</v>
      </c>
      <c r="L148" s="62">
        <f>L89+L91+L100</f>
        <v>0</v>
      </c>
      <c r="M148" s="62">
        <f>M89+M100</f>
        <v>0</v>
      </c>
      <c r="N148" s="62">
        <f>N89+N91+N100</f>
        <v>0</v>
      </c>
      <c r="O148" s="62">
        <f>O89+O91+O100</f>
        <v>0</v>
      </c>
      <c r="P148" s="62">
        <f t="shared" si="69"/>
        <v>0</v>
      </c>
      <c r="Q148" s="62">
        <f t="shared" si="70"/>
        <v>-3843724.18</v>
      </c>
    </row>
    <row r="149" spans="1:17" ht="109.2" x14ac:dyDescent="0.3">
      <c r="A149" s="31">
        <v>18</v>
      </c>
      <c r="B149" s="38"/>
      <c r="C149" s="38"/>
      <c r="D149" s="39"/>
      <c r="E149" s="38">
        <v>45</v>
      </c>
      <c r="F149" s="45" t="s">
        <v>229</v>
      </c>
      <c r="G149" s="43" t="s">
        <v>230</v>
      </c>
      <c r="H149" s="62">
        <f>H116</f>
        <v>1500000</v>
      </c>
      <c r="I149" s="62">
        <f>I116</f>
        <v>1500000</v>
      </c>
      <c r="J149" s="62">
        <f>K149</f>
        <v>0</v>
      </c>
      <c r="K149" s="62"/>
      <c r="L149" s="62">
        <f>L116</f>
        <v>321640</v>
      </c>
      <c r="M149" s="62">
        <f>M116</f>
        <v>321640</v>
      </c>
      <c r="N149" s="62">
        <f>O149</f>
        <v>0</v>
      </c>
      <c r="O149" s="62"/>
      <c r="P149" s="62">
        <f t="shared" si="69"/>
        <v>0.21442666666666665</v>
      </c>
      <c r="Q149" s="62">
        <f t="shared" si="70"/>
        <v>-1178360</v>
      </c>
    </row>
    <row r="150" spans="1:17" ht="46.8" x14ac:dyDescent="0.3">
      <c r="A150" s="31">
        <v>19</v>
      </c>
      <c r="B150" s="38"/>
      <c r="C150" s="38"/>
      <c r="D150" s="39"/>
      <c r="E150" s="38">
        <v>53</v>
      </c>
      <c r="F150" s="29" t="s">
        <v>293</v>
      </c>
      <c r="G150" s="31" t="s">
        <v>294</v>
      </c>
      <c r="H150" s="62">
        <f>H87</f>
        <v>50000</v>
      </c>
      <c r="I150" s="62">
        <f>I87</f>
        <v>50000</v>
      </c>
      <c r="J150" s="62"/>
      <c r="K150" s="62"/>
      <c r="L150" s="62">
        <f>L87</f>
        <v>0</v>
      </c>
      <c r="M150" s="62">
        <f>M87</f>
        <v>0</v>
      </c>
      <c r="N150" s="62"/>
      <c r="O150" s="62"/>
      <c r="P150" s="62">
        <f t="shared" si="69"/>
        <v>0</v>
      </c>
      <c r="Q150" s="62">
        <f t="shared" si="70"/>
        <v>-50000</v>
      </c>
    </row>
    <row r="151" spans="1:17" ht="78" x14ac:dyDescent="0.3">
      <c r="A151" s="31">
        <v>20</v>
      </c>
      <c r="B151" s="65"/>
      <c r="C151" s="38"/>
      <c r="D151" s="39"/>
      <c r="E151" s="38">
        <v>56</v>
      </c>
      <c r="F151" s="29" t="s">
        <v>268</v>
      </c>
      <c r="G151" s="31" t="s">
        <v>269</v>
      </c>
      <c r="H151" s="92">
        <f>I151+J151</f>
        <v>900000</v>
      </c>
      <c r="I151" s="92"/>
      <c r="J151" s="92">
        <f>J28</f>
        <v>900000</v>
      </c>
      <c r="K151" s="92">
        <f>K28</f>
        <v>0</v>
      </c>
      <c r="L151" s="92">
        <f>M151+N151</f>
        <v>0</v>
      </c>
      <c r="M151" s="92"/>
      <c r="N151" s="92">
        <f>N28</f>
        <v>0</v>
      </c>
      <c r="O151" s="92">
        <f>O28</f>
        <v>0</v>
      </c>
      <c r="P151" s="62">
        <f t="shared" si="69"/>
        <v>0</v>
      </c>
      <c r="Q151" s="62">
        <f t="shared" si="70"/>
        <v>-900000</v>
      </c>
    </row>
    <row r="152" spans="1:17" ht="78" x14ac:dyDescent="0.3">
      <c r="A152" s="30">
        <v>21</v>
      </c>
      <c r="B152" s="65"/>
      <c r="C152" s="65"/>
      <c r="D152" s="66"/>
      <c r="E152" s="65">
        <v>60</v>
      </c>
      <c r="F152" s="51" t="s">
        <v>298</v>
      </c>
      <c r="G152" s="30" t="s">
        <v>299</v>
      </c>
      <c r="H152" s="92">
        <f t="shared" ref="H152:O152" si="78">H93</f>
        <v>1095000</v>
      </c>
      <c r="I152" s="92">
        <f t="shared" si="78"/>
        <v>0</v>
      </c>
      <c r="J152" s="92">
        <f t="shared" si="78"/>
        <v>1095000</v>
      </c>
      <c r="K152" s="92">
        <f t="shared" si="78"/>
        <v>1095000</v>
      </c>
      <c r="L152" s="92">
        <f t="shared" si="78"/>
        <v>17998.2</v>
      </c>
      <c r="M152" s="92">
        <f t="shared" si="78"/>
        <v>0</v>
      </c>
      <c r="N152" s="92">
        <f t="shared" si="78"/>
        <v>17998.2</v>
      </c>
      <c r="O152" s="92">
        <f t="shared" si="78"/>
        <v>17998.2</v>
      </c>
      <c r="P152" s="62">
        <f t="shared" si="69"/>
        <v>1.6436712328767124E-2</v>
      </c>
      <c r="Q152" s="62">
        <f t="shared" si="70"/>
        <v>-1077001.8</v>
      </c>
    </row>
    <row r="153" spans="1:17" ht="46.8" x14ac:dyDescent="0.3">
      <c r="A153" s="31">
        <v>22</v>
      </c>
      <c r="B153" s="38"/>
      <c r="C153" s="38"/>
      <c r="D153" s="39"/>
      <c r="E153" s="38">
        <v>61</v>
      </c>
      <c r="F153" s="42" t="s">
        <v>258</v>
      </c>
      <c r="G153" s="31" t="s">
        <v>259</v>
      </c>
      <c r="H153" s="62">
        <f>I153+J153</f>
        <v>4116640</v>
      </c>
      <c r="I153" s="62">
        <f>I21+I45+I63+I68+I77+I84+I98+I112+I117+I122</f>
        <v>3355040</v>
      </c>
      <c r="J153" s="62">
        <f>J21+J45+J63+J68+J77+J84+J98+J112+J117+J122</f>
        <v>761600</v>
      </c>
      <c r="K153" s="62">
        <f>K21+K45+K63+K68+K77+K84+K98+K112+K117+K122</f>
        <v>761600</v>
      </c>
      <c r="L153" s="62">
        <f>M153+N153</f>
        <v>1019382.41</v>
      </c>
      <c r="M153" s="62">
        <f>M21+M45+M63+M68+M77+M84+M98+M112+M117+M122</f>
        <v>485382.41000000003</v>
      </c>
      <c r="N153" s="62">
        <f>N21+N45+N63+N68+N77+N84+N98+N112+N117+N122</f>
        <v>534000</v>
      </c>
      <c r="O153" s="62">
        <f>O21+O45+O63+O68+O77+O84+O98+O112+O117+O122</f>
        <v>534000</v>
      </c>
      <c r="P153" s="62">
        <f t="shared" si="69"/>
        <v>0.24762486153756463</v>
      </c>
      <c r="Q153" s="62">
        <f t="shared" si="70"/>
        <v>-3097257.59</v>
      </c>
    </row>
    <row r="154" spans="1:17" ht="62.4" x14ac:dyDescent="0.3">
      <c r="A154" s="43">
        <v>23</v>
      </c>
      <c r="B154" s="63"/>
      <c r="C154" s="63"/>
      <c r="D154" s="67"/>
      <c r="E154" s="63">
        <v>65</v>
      </c>
      <c r="F154" s="68" t="s">
        <v>336</v>
      </c>
      <c r="G154" s="43" t="s">
        <v>289</v>
      </c>
      <c r="H154" s="93">
        <f>H67</f>
        <v>14400</v>
      </c>
      <c r="I154" s="93">
        <f>I67</f>
        <v>14400</v>
      </c>
      <c r="J154" s="93"/>
      <c r="K154" s="93"/>
      <c r="L154" s="93">
        <f>L67</f>
        <v>0</v>
      </c>
      <c r="M154" s="93">
        <f>M67</f>
        <v>0</v>
      </c>
      <c r="N154" s="93"/>
      <c r="O154" s="93"/>
      <c r="P154" s="62">
        <f t="shared" si="69"/>
        <v>0</v>
      </c>
      <c r="Q154" s="62">
        <f t="shared" si="70"/>
        <v>-14400</v>
      </c>
    </row>
    <row r="155" spans="1:17" ht="78" x14ac:dyDescent="0.3">
      <c r="A155" s="31">
        <v>24</v>
      </c>
      <c r="B155" s="38"/>
      <c r="C155" s="38"/>
      <c r="D155" s="39"/>
      <c r="E155" s="63">
        <v>66</v>
      </c>
      <c r="F155" s="41" t="s">
        <v>262</v>
      </c>
      <c r="G155" s="31" t="s">
        <v>263</v>
      </c>
      <c r="H155" s="62">
        <f t="shared" ref="H155:O155" si="79">H25+H27+H103+H119+H127</f>
        <v>100895500</v>
      </c>
      <c r="I155" s="62">
        <f t="shared" si="79"/>
        <v>93934800</v>
      </c>
      <c r="J155" s="62">
        <f t="shared" si="79"/>
        <v>6960700</v>
      </c>
      <c r="K155" s="62">
        <f t="shared" si="79"/>
        <v>6960700</v>
      </c>
      <c r="L155" s="62">
        <f t="shared" si="79"/>
        <v>23091526.309999999</v>
      </c>
      <c r="M155" s="62">
        <f t="shared" si="79"/>
        <v>16130925.710000001</v>
      </c>
      <c r="N155" s="62">
        <f t="shared" si="79"/>
        <v>6960600.5999999996</v>
      </c>
      <c r="O155" s="62">
        <f t="shared" si="79"/>
        <v>6960600.5999999996</v>
      </c>
      <c r="P155" s="62">
        <f t="shared" si="69"/>
        <v>0.22886577012849926</v>
      </c>
      <c r="Q155" s="62">
        <f t="shared" si="70"/>
        <v>-77803973.689999998</v>
      </c>
    </row>
    <row r="156" spans="1:17" ht="46.8" x14ac:dyDescent="0.3">
      <c r="A156" s="31">
        <v>25</v>
      </c>
      <c r="B156" s="38"/>
      <c r="C156" s="38"/>
      <c r="D156" s="39"/>
      <c r="E156" s="38">
        <v>67</v>
      </c>
      <c r="F156" s="42" t="s">
        <v>308</v>
      </c>
      <c r="G156" s="31" t="s">
        <v>309</v>
      </c>
      <c r="H156" s="62">
        <f t="shared" ref="H156:O156" si="80">H99+H101+H118</f>
        <v>69801800</v>
      </c>
      <c r="I156" s="62">
        <f t="shared" si="80"/>
        <v>67741800</v>
      </c>
      <c r="J156" s="62">
        <f t="shared" si="80"/>
        <v>2060000</v>
      </c>
      <c r="K156" s="62">
        <f t="shared" si="80"/>
        <v>2060000</v>
      </c>
      <c r="L156" s="62">
        <f t="shared" si="80"/>
        <v>38180028.559999995</v>
      </c>
      <c r="M156" s="62">
        <f t="shared" si="80"/>
        <v>37589521.759999998</v>
      </c>
      <c r="N156" s="62">
        <f t="shared" si="80"/>
        <v>590506.80000000005</v>
      </c>
      <c r="O156" s="62">
        <f t="shared" si="80"/>
        <v>590506.80000000005</v>
      </c>
      <c r="P156" s="62">
        <f t="shared" si="69"/>
        <v>0.54697770773819576</v>
      </c>
      <c r="Q156" s="62">
        <f t="shared" si="70"/>
        <v>-31621771.440000005</v>
      </c>
    </row>
    <row r="157" spans="1:17" ht="46.8" x14ac:dyDescent="0.3">
      <c r="A157" s="31">
        <v>26</v>
      </c>
      <c r="B157" s="38"/>
      <c r="C157" s="38"/>
      <c r="D157" s="39"/>
      <c r="E157" s="38">
        <v>68</v>
      </c>
      <c r="F157" s="42" t="s">
        <v>252</v>
      </c>
      <c r="G157" s="31" t="s">
        <v>253</v>
      </c>
      <c r="H157" s="62">
        <f t="shared" ref="H157:O157" si="81">H20+H88+H92+H94+H95+H97+H109</f>
        <v>166223801.00999999</v>
      </c>
      <c r="I157" s="62">
        <f t="shared" si="81"/>
        <v>126368569</v>
      </c>
      <c r="J157" s="62">
        <f t="shared" si="81"/>
        <v>39855232.009999998</v>
      </c>
      <c r="K157" s="62">
        <f t="shared" si="81"/>
        <v>39855232.009999998</v>
      </c>
      <c r="L157" s="62">
        <f t="shared" si="81"/>
        <v>23695821.739999998</v>
      </c>
      <c r="M157" s="62">
        <f t="shared" si="81"/>
        <v>23695821.739999998</v>
      </c>
      <c r="N157" s="62">
        <f t="shared" si="81"/>
        <v>0</v>
      </c>
      <c r="O157" s="62">
        <f t="shared" si="81"/>
        <v>0</v>
      </c>
      <c r="P157" s="62">
        <f t="shared" si="69"/>
        <v>0.14255372332975627</v>
      </c>
      <c r="Q157" s="62">
        <f t="shared" si="70"/>
        <v>-142527979.26999998</v>
      </c>
    </row>
    <row r="158" spans="1:17" ht="46.8" x14ac:dyDescent="0.3">
      <c r="A158" s="31">
        <v>27</v>
      </c>
      <c r="B158" s="38"/>
      <c r="C158" s="38"/>
      <c r="D158" s="39"/>
      <c r="E158" s="69">
        <v>69</v>
      </c>
      <c r="F158" s="49" t="s">
        <v>337</v>
      </c>
      <c r="G158" s="31" t="s">
        <v>250</v>
      </c>
      <c r="H158" s="62">
        <f t="shared" ref="H158:O158" si="82">H18</f>
        <v>500000</v>
      </c>
      <c r="I158" s="62">
        <f t="shared" si="82"/>
        <v>500000</v>
      </c>
      <c r="J158" s="62">
        <f t="shared" si="82"/>
        <v>0</v>
      </c>
      <c r="K158" s="62">
        <f t="shared" si="82"/>
        <v>0</v>
      </c>
      <c r="L158" s="62">
        <f t="shared" si="82"/>
        <v>0</v>
      </c>
      <c r="M158" s="62">
        <f t="shared" si="82"/>
        <v>0</v>
      </c>
      <c r="N158" s="62">
        <f t="shared" si="82"/>
        <v>0</v>
      </c>
      <c r="O158" s="62">
        <f t="shared" si="82"/>
        <v>0</v>
      </c>
      <c r="P158" s="62">
        <f t="shared" si="69"/>
        <v>0</v>
      </c>
      <c r="Q158" s="62">
        <f t="shared" si="70"/>
        <v>-500000</v>
      </c>
    </row>
    <row r="159" spans="1:17" ht="93.6" x14ac:dyDescent="0.3">
      <c r="A159" s="31">
        <v>28</v>
      </c>
      <c r="B159" s="38"/>
      <c r="C159" s="38"/>
      <c r="D159" s="39"/>
      <c r="E159" s="38">
        <v>70</v>
      </c>
      <c r="F159" s="29" t="s">
        <v>328</v>
      </c>
      <c r="G159" s="31" t="s">
        <v>329</v>
      </c>
      <c r="H159" s="62">
        <f t="shared" ref="H159:O159" si="83">H125</f>
        <v>1958700</v>
      </c>
      <c r="I159" s="62">
        <f t="shared" si="83"/>
        <v>1958700</v>
      </c>
      <c r="J159" s="62">
        <f t="shared" si="83"/>
        <v>0</v>
      </c>
      <c r="K159" s="62">
        <f t="shared" si="83"/>
        <v>0</v>
      </c>
      <c r="L159" s="62">
        <f t="shared" si="83"/>
        <v>1958700</v>
      </c>
      <c r="M159" s="62">
        <f t="shared" si="83"/>
        <v>1958700</v>
      </c>
      <c r="N159" s="62">
        <f t="shared" si="83"/>
        <v>0</v>
      </c>
      <c r="O159" s="62">
        <f t="shared" si="83"/>
        <v>0</v>
      </c>
      <c r="P159" s="62">
        <f t="shared" si="69"/>
        <v>1</v>
      </c>
      <c r="Q159" s="62">
        <f t="shared" si="70"/>
        <v>0</v>
      </c>
    </row>
    <row r="160" spans="1:17" ht="31.2" x14ac:dyDescent="0.3">
      <c r="A160" s="31">
        <v>29</v>
      </c>
      <c r="B160" s="38"/>
      <c r="C160" s="38"/>
      <c r="D160" s="39"/>
      <c r="E160" s="38">
        <v>71</v>
      </c>
      <c r="F160" s="45" t="s">
        <v>338</v>
      </c>
      <c r="G160" s="31" t="s">
        <v>327</v>
      </c>
      <c r="H160" s="62">
        <f t="shared" ref="H160:O160" si="84">H124</f>
        <v>500000</v>
      </c>
      <c r="I160" s="62">
        <f t="shared" si="84"/>
        <v>500000</v>
      </c>
      <c r="J160" s="62">
        <f t="shared" si="84"/>
        <v>0</v>
      </c>
      <c r="K160" s="62">
        <f t="shared" si="84"/>
        <v>0</v>
      </c>
      <c r="L160" s="62">
        <f t="shared" si="84"/>
        <v>0</v>
      </c>
      <c r="M160" s="62">
        <f t="shared" si="84"/>
        <v>0</v>
      </c>
      <c r="N160" s="62">
        <f t="shared" si="84"/>
        <v>0</v>
      </c>
      <c r="O160" s="62">
        <f t="shared" si="84"/>
        <v>0</v>
      </c>
      <c r="P160" s="62">
        <f t="shared" si="69"/>
        <v>0</v>
      </c>
      <c r="Q160" s="62">
        <f t="shared" si="70"/>
        <v>-500000</v>
      </c>
    </row>
    <row r="161" spans="1:17" ht="46.8" x14ac:dyDescent="0.3">
      <c r="A161" s="31">
        <v>30</v>
      </c>
      <c r="B161" s="38"/>
      <c r="C161" s="38"/>
      <c r="D161" s="39"/>
      <c r="E161" s="38">
        <v>72</v>
      </c>
      <c r="F161" s="45" t="s">
        <v>331</v>
      </c>
      <c r="G161" s="31" t="s">
        <v>332</v>
      </c>
      <c r="H161" s="62">
        <f>H128</f>
        <v>3000000</v>
      </c>
      <c r="I161" s="62">
        <f t="shared" ref="I161:K163" si="85">I128</f>
        <v>2000000</v>
      </c>
      <c r="J161" s="62">
        <f t="shared" si="85"/>
        <v>1000000</v>
      </c>
      <c r="K161" s="62">
        <f t="shared" si="85"/>
        <v>1000000</v>
      </c>
      <c r="L161" s="62">
        <f>L128</f>
        <v>2870000</v>
      </c>
      <c r="M161" s="62">
        <f t="shared" ref="M161:O161" si="86">M128</f>
        <v>1870000</v>
      </c>
      <c r="N161" s="62">
        <f t="shared" si="86"/>
        <v>1000000</v>
      </c>
      <c r="O161" s="62">
        <f t="shared" si="86"/>
        <v>1000000</v>
      </c>
      <c r="P161" s="62">
        <f t="shared" si="69"/>
        <v>0.95666666666666667</v>
      </c>
      <c r="Q161" s="62">
        <f t="shared" si="70"/>
        <v>-130000</v>
      </c>
    </row>
    <row r="162" spans="1:17" ht="46.8" x14ac:dyDescent="0.3">
      <c r="A162" s="31">
        <v>31</v>
      </c>
      <c r="B162" s="38"/>
      <c r="C162" s="38"/>
      <c r="D162" s="39"/>
      <c r="E162" s="53">
        <v>73</v>
      </c>
      <c r="F162" s="29" t="s">
        <v>333</v>
      </c>
      <c r="G162" s="31" t="s">
        <v>334</v>
      </c>
      <c r="H162" s="62">
        <f>H129</f>
        <v>2000000</v>
      </c>
      <c r="I162" s="62">
        <f t="shared" si="85"/>
        <v>2000000</v>
      </c>
      <c r="J162" s="62">
        <f t="shared" si="85"/>
        <v>0</v>
      </c>
      <c r="K162" s="62">
        <f t="shared" si="85"/>
        <v>0</v>
      </c>
      <c r="L162" s="62">
        <f>L129</f>
        <v>2000000</v>
      </c>
      <c r="M162" s="62">
        <f t="shared" ref="M162:O162" si="87">M129</f>
        <v>2000000</v>
      </c>
      <c r="N162" s="62">
        <f t="shared" si="87"/>
        <v>0</v>
      </c>
      <c r="O162" s="62">
        <f t="shared" si="87"/>
        <v>0</v>
      </c>
      <c r="P162" s="62">
        <f t="shared" si="69"/>
        <v>1</v>
      </c>
      <c r="Q162" s="62">
        <f t="shared" si="70"/>
        <v>0</v>
      </c>
    </row>
    <row r="163" spans="1:17" ht="46.8" x14ac:dyDescent="0.3">
      <c r="A163" s="31">
        <v>32</v>
      </c>
      <c r="B163" s="38"/>
      <c r="C163" s="38"/>
      <c r="D163" s="39"/>
      <c r="E163" s="53">
        <v>74</v>
      </c>
      <c r="F163" s="29" t="s">
        <v>335</v>
      </c>
      <c r="G163" s="31" t="s">
        <v>334</v>
      </c>
      <c r="H163" s="62">
        <f>H130</f>
        <v>1419600</v>
      </c>
      <c r="I163" s="62">
        <f t="shared" si="85"/>
        <v>124600</v>
      </c>
      <c r="J163" s="62">
        <f t="shared" si="85"/>
        <v>1295000</v>
      </c>
      <c r="K163" s="62">
        <f t="shared" si="85"/>
        <v>1295000</v>
      </c>
      <c r="L163" s="62">
        <f>L130</f>
        <v>1419600</v>
      </c>
      <c r="M163" s="62">
        <f t="shared" ref="M163:O163" si="88">M130</f>
        <v>124600</v>
      </c>
      <c r="N163" s="62">
        <f t="shared" si="88"/>
        <v>1295000</v>
      </c>
      <c r="O163" s="62">
        <f t="shared" si="88"/>
        <v>1295000</v>
      </c>
      <c r="P163" s="62">
        <f t="shared" si="69"/>
        <v>1</v>
      </c>
      <c r="Q163" s="62">
        <f t="shared" si="70"/>
        <v>0</v>
      </c>
    </row>
    <row r="164" spans="1:17" ht="17.399999999999999" x14ac:dyDescent="0.3">
      <c r="A164" s="99" t="s">
        <v>241</v>
      </c>
      <c r="B164" s="99"/>
      <c r="C164" s="99"/>
      <c r="D164" s="99"/>
      <c r="E164" s="99"/>
      <c r="F164" s="99"/>
      <c r="G164" s="99"/>
      <c r="H164" s="94">
        <f>I164+J164</f>
        <v>718334796.80999994</v>
      </c>
      <c r="I164" s="94">
        <f>SUM(I132:I163)</f>
        <v>504178909</v>
      </c>
      <c r="J164" s="94">
        <f t="shared" ref="J164:K164" si="89">SUM(J132:J163)</f>
        <v>214155887.81</v>
      </c>
      <c r="K164" s="94">
        <f t="shared" si="89"/>
        <v>212596513.63</v>
      </c>
      <c r="L164" s="94">
        <f>M164+N164</f>
        <v>128549333.92999998</v>
      </c>
      <c r="M164" s="94">
        <f>SUM(M132:M163)</f>
        <v>113474757.93999998</v>
      </c>
      <c r="N164" s="94">
        <f t="shared" ref="N164:O164" si="90">SUM(N132:N163)</f>
        <v>15074575.99</v>
      </c>
      <c r="O164" s="94">
        <f t="shared" si="90"/>
        <v>15074575.99</v>
      </c>
      <c r="P164" s="60">
        <f t="shared" si="69"/>
        <v>0.17895462464141407</v>
      </c>
      <c r="Q164" s="60">
        <f t="shared" si="70"/>
        <v>-589785462.88</v>
      </c>
    </row>
    <row r="165" spans="1:17" ht="15.6" x14ac:dyDescent="0.3">
      <c r="A165" s="70"/>
      <c r="B165" s="70"/>
      <c r="C165" s="70"/>
      <c r="D165" s="3"/>
      <c r="E165" s="70"/>
      <c r="F165" s="71"/>
      <c r="G165" s="72"/>
      <c r="H165" s="73"/>
      <c r="I165" s="73"/>
      <c r="J165" s="73"/>
      <c r="K165" s="73"/>
      <c r="L165" s="73"/>
      <c r="M165" s="73"/>
      <c r="N165" s="73"/>
      <c r="O165" s="73"/>
      <c r="P165" s="73"/>
      <c r="Q165" s="73"/>
    </row>
    <row r="166" spans="1:17" ht="15.6" x14ac:dyDescent="0.3">
      <c r="A166" s="74"/>
      <c r="B166" s="70"/>
      <c r="C166" s="74"/>
      <c r="F166" s="2" t="s">
        <v>242</v>
      </c>
      <c r="H166" s="70"/>
      <c r="I166" s="44"/>
      <c r="K166" s="70"/>
      <c r="L166" s="70" t="s">
        <v>243</v>
      </c>
    </row>
  </sheetData>
  <mergeCells count="45">
    <mergeCell ref="I1:K1"/>
    <mergeCell ref="O1:P1"/>
    <mergeCell ref="I2:K2"/>
    <mergeCell ref="A5:P5"/>
    <mergeCell ref="A6:B6"/>
    <mergeCell ref="H9:K9"/>
    <mergeCell ref="L9:O9"/>
    <mergeCell ref="P9:Q9"/>
    <mergeCell ref="J10:K10"/>
    <mergeCell ref="N10:O10"/>
    <mergeCell ref="H10:H11"/>
    <mergeCell ref="I10:I11"/>
    <mergeCell ref="L10:L11"/>
    <mergeCell ref="M10:M11"/>
    <mergeCell ref="P10:P11"/>
    <mergeCell ref="Q10:Q11"/>
    <mergeCell ref="D78:F78"/>
    <mergeCell ref="D79:F79"/>
    <mergeCell ref="D47:F47"/>
    <mergeCell ref="D48:F48"/>
    <mergeCell ref="D12:F12"/>
    <mergeCell ref="D13:F13"/>
    <mergeCell ref="D29:F29"/>
    <mergeCell ref="D30:F30"/>
    <mergeCell ref="F9:F11"/>
    <mergeCell ref="G9:G11"/>
    <mergeCell ref="D69:F69"/>
    <mergeCell ref="D70:F70"/>
    <mergeCell ref="D64:F64"/>
    <mergeCell ref="D65:F65"/>
    <mergeCell ref="A9:A11"/>
    <mergeCell ref="B9:B11"/>
    <mergeCell ref="C9:C11"/>
    <mergeCell ref="D9:D11"/>
    <mergeCell ref="E10:E11"/>
    <mergeCell ref="D85:F85"/>
    <mergeCell ref="D86:F86"/>
    <mergeCell ref="D104:F104"/>
    <mergeCell ref="D105:F105"/>
    <mergeCell ref="D114:F114"/>
    <mergeCell ref="D115:F115"/>
    <mergeCell ref="D120:F120"/>
    <mergeCell ref="D121:F121"/>
    <mergeCell ref="D131:F131"/>
    <mergeCell ref="A164:G164"/>
  </mergeCells>
  <pageMargins left="0.39370078740157483" right="0.39370078740157483" top="0.19685039370078741" bottom="0.19685039370078741" header="0.51181102362204722" footer="0.51181102362204722"/>
  <pageSetup paperSize="9" scale="38" fitToHeight="14" orientation="landscape" r:id="rId1"/>
  <headerFooter differentFirst="1">
    <oddHeader>&amp;C&amp;P</oddHeader>
  </headerFooter>
  <rowBreaks count="1" manualBreakCount="1">
    <brk id="34"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2025-04-02T11:51:13Z</cp:lastPrinted>
  <dcterms:created xsi:type="dcterms:W3CDTF">2006-09-28T05:33:00Z</dcterms:created>
  <dcterms:modified xsi:type="dcterms:W3CDTF">2025-05-26T11:17:30Z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54136967F0674003BECD1FA72E5405E7</vt:lpwstr>
  </property>
  <property fmtid="{D5CDD505-2E9C-101B-9397-08002B2CF9AE}" pid="3" name="KSOProductBuildVer">
    <vt:lpwstr>1033-12.2.0.16731</vt:lpwstr>
  </property>
</Properties>
</file>