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SHARE\0-Старые данные\SHARE\Бюджет 2025\ПРОГРАМА ЦИВІЛЬНИЙ ЗАХИСТ\6. НАСТУПНЕ\"/>
    </mc:Choice>
  </mc:AlternateContent>
  <bookViews>
    <workbookView xWindow="-108" yWindow="-108" windowWidth="23256" windowHeight="12576"/>
  </bookViews>
  <sheets>
    <sheet name="Лист1" sheetId="1" r:id="rId1"/>
  </sheets>
  <definedNames>
    <definedName name="_xlnm.Print_Titles" localSheetId="0">Лист1!$6:$8</definedName>
    <definedName name="_xlnm.Print_Area" localSheetId="0">Лист1!$A$1:$K$136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9" i="1" l="1"/>
  <c r="K44" i="1"/>
  <c r="K73" i="1" l="1"/>
  <c r="K41" i="1"/>
  <c r="H74" i="1" l="1"/>
  <c r="I74" i="1"/>
  <c r="J74" i="1"/>
  <c r="G74" i="1"/>
  <c r="F70" i="1"/>
  <c r="K51" i="1" l="1"/>
  <c r="J51" i="1"/>
  <c r="I51" i="1"/>
  <c r="H51" i="1"/>
  <c r="G51" i="1"/>
  <c r="F35" i="1"/>
  <c r="K29" i="1" l="1"/>
  <c r="K27" i="1"/>
  <c r="K22" i="1"/>
  <c r="K53" i="1" l="1"/>
  <c r="K69" i="1" l="1"/>
  <c r="K31" i="1"/>
  <c r="K19" i="1" l="1"/>
  <c r="K117" i="1"/>
  <c r="K72" i="1" l="1"/>
  <c r="K74" i="1" s="1"/>
  <c r="K20" i="1" l="1"/>
  <c r="K32" i="1"/>
  <c r="F32" i="1" s="1"/>
  <c r="K130" i="1" l="1"/>
  <c r="K131" i="1"/>
  <c r="F50" i="1" l="1"/>
  <c r="J34" i="1" l="1"/>
  <c r="J22" i="1" l="1"/>
  <c r="K52" i="1" l="1"/>
  <c r="J100" i="1" l="1"/>
  <c r="K106" i="1" l="1"/>
  <c r="G106" i="1"/>
  <c r="F105" i="1"/>
  <c r="F104" i="1"/>
  <c r="F103" i="1"/>
  <c r="J106" i="1" l="1"/>
  <c r="J33" i="1" l="1"/>
  <c r="J131" i="1" l="1"/>
  <c r="F131" i="1" s="1"/>
  <c r="F34" i="1" l="1"/>
  <c r="F73" i="1" l="1"/>
  <c r="J72" i="1"/>
  <c r="F72" i="1" s="1"/>
  <c r="F74" i="1" s="1"/>
  <c r="J130" i="1" l="1"/>
  <c r="F130" i="1" s="1"/>
  <c r="J89" i="1" l="1"/>
  <c r="F46" i="1" l="1"/>
  <c r="F100" i="1"/>
  <c r="F101" i="1"/>
  <c r="F33" i="1"/>
  <c r="I110" i="1" l="1"/>
  <c r="J110" i="1"/>
  <c r="K110" i="1"/>
  <c r="G110" i="1"/>
  <c r="F126" i="1"/>
  <c r="F31" i="1" l="1"/>
  <c r="F29" i="1" l="1"/>
  <c r="F25" i="1" l="1"/>
  <c r="F26" i="1"/>
  <c r="F30" i="1"/>
  <c r="G89" i="1" l="1"/>
  <c r="K89" i="1"/>
  <c r="G92" i="1"/>
  <c r="F85" i="1"/>
  <c r="I61" i="1" l="1"/>
  <c r="I65" i="1" s="1"/>
  <c r="J61" i="1"/>
  <c r="J65" i="1" s="1"/>
  <c r="J49" i="1"/>
  <c r="F49" i="1" s="1"/>
  <c r="F44" i="1"/>
  <c r="F22" i="1" l="1"/>
  <c r="F48" i="1" l="1"/>
  <c r="G15" i="1"/>
  <c r="H15" i="1"/>
  <c r="J15" i="1"/>
  <c r="K15" i="1"/>
  <c r="F14" i="1"/>
  <c r="J52" i="1" l="1"/>
  <c r="F52" i="1" s="1"/>
  <c r="F27" i="1" l="1"/>
  <c r="F28" i="1"/>
  <c r="I69" i="1" l="1"/>
  <c r="I20" i="1" l="1"/>
  <c r="I113" i="1" l="1"/>
  <c r="I112" i="1"/>
  <c r="I96" i="1"/>
  <c r="I106" i="1" s="1"/>
  <c r="I9" i="1"/>
  <c r="I15" i="1" s="1"/>
  <c r="F53" i="1" l="1"/>
  <c r="F54" i="1"/>
  <c r="F71" i="1" l="1"/>
  <c r="H60" i="1" l="1"/>
  <c r="H62" i="1" l="1"/>
  <c r="H61" i="1" s="1"/>
  <c r="H65" i="1" s="1"/>
  <c r="G65" i="1"/>
  <c r="F57" i="1"/>
  <c r="F58" i="1"/>
  <c r="F59" i="1"/>
  <c r="F60" i="1"/>
  <c r="F63" i="1"/>
  <c r="F64" i="1"/>
  <c r="F62" i="1" l="1"/>
  <c r="F61" i="1"/>
  <c r="I83" i="1"/>
  <c r="I79" i="1" s="1"/>
  <c r="I120" i="1" l="1"/>
  <c r="F38" i="1"/>
  <c r="H108" i="1" l="1"/>
  <c r="H110" i="1" l="1"/>
  <c r="F110" i="1" s="1"/>
  <c r="F108" i="1"/>
  <c r="F19" i="1" l="1"/>
  <c r="F23" i="1" l="1"/>
  <c r="F69" i="1"/>
  <c r="F68" i="1" l="1"/>
  <c r="F45" i="1" l="1"/>
  <c r="F47" i="1"/>
  <c r="F43" i="1"/>
  <c r="F88" i="1" l="1"/>
  <c r="K125" i="1"/>
  <c r="J125" i="1"/>
  <c r="I125" i="1"/>
  <c r="H125" i="1"/>
  <c r="G125" i="1"/>
  <c r="F124" i="1"/>
  <c r="F123" i="1"/>
  <c r="F122" i="1"/>
  <c r="F121" i="1"/>
  <c r="K120" i="1"/>
  <c r="J120" i="1"/>
  <c r="H120" i="1"/>
  <c r="G120" i="1"/>
  <c r="G127" i="1" s="1"/>
  <c r="G129" i="1" s="1"/>
  <c r="F119" i="1"/>
  <c r="F118" i="1"/>
  <c r="F117" i="1"/>
  <c r="F116" i="1"/>
  <c r="F115" i="1"/>
  <c r="F114" i="1"/>
  <c r="F113" i="1"/>
  <c r="F112" i="1"/>
  <c r="F111" i="1"/>
  <c r="F107" i="1"/>
  <c r="F102" i="1"/>
  <c r="F99" i="1"/>
  <c r="F98" i="1"/>
  <c r="F97" i="1"/>
  <c r="H96" i="1"/>
  <c r="F95" i="1"/>
  <c r="H94" i="1"/>
  <c r="F93" i="1"/>
  <c r="K92" i="1"/>
  <c r="J92" i="1"/>
  <c r="I92" i="1"/>
  <c r="F91" i="1"/>
  <c r="H90" i="1"/>
  <c r="F90" i="1" s="1"/>
  <c r="H87" i="1"/>
  <c r="F87" i="1" s="1"/>
  <c r="H86" i="1"/>
  <c r="F84" i="1"/>
  <c r="H83" i="1"/>
  <c r="H82" i="1"/>
  <c r="F82" i="1" s="1"/>
  <c r="H81" i="1"/>
  <c r="F78" i="1"/>
  <c r="H77" i="1"/>
  <c r="F77" i="1" s="1"/>
  <c r="H76" i="1"/>
  <c r="F76" i="1" s="1"/>
  <c r="I75" i="1"/>
  <c r="I89" i="1" s="1"/>
  <c r="H75" i="1"/>
  <c r="F67" i="1"/>
  <c r="F66" i="1"/>
  <c r="F55" i="1"/>
  <c r="H42" i="1"/>
  <c r="F41" i="1"/>
  <c r="F40" i="1"/>
  <c r="F39" i="1"/>
  <c r="H37" i="1"/>
  <c r="F36" i="1"/>
  <c r="F24" i="1"/>
  <c r="F21" i="1"/>
  <c r="F18" i="1"/>
  <c r="F16" i="1"/>
  <c r="F13" i="1"/>
  <c r="F12" i="1"/>
  <c r="F10" i="1"/>
  <c r="F9" i="1"/>
  <c r="F96" i="1" l="1"/>
  <c r="H106" i="1"/>
  <c r="F106" i="1"/>
  <c r="J127" i="1"/>
  <c r="J129" i="1" s="1"/>
  <c r="I127" i="1"/>
  <c r="I129" i="1" s="1"/>
  <c r="K127" i="1"/>
  <c r="H79" i="1"/>
  <c r="F79" i="1" s="1"/>
  <c r="F20" i="1"/>
  <c r="F51" i="1" s="1"/>
  <c r="F75" i="1"/>
  <c r="F92" i="1"/>
  <c r="F125" i="1"/>
  <c r="F11" i="1"/>
  <c r="F15" i="1" s="1"/>
  <c r="F42" i="1"/>
  <c r="F56" i="1"/>
  <c r="F65" i="1" s="1"/>
  <c r="F120" i="1"/>
  <c r="H92" i="1"/>
  <c r="F37" i="1"/>
  <c r="F81" i="1"/>
  <c r="F83" i="1"/>
  <c r="F86" i="1"/>
  <c r="F94" i="1"/>
  <c r="F109" i="1"/>
  <c r="K129" i="1" l="1"/>
  <c r="F89" i="1"/>
  <c r="F127" i="1" s="1"/>
  <c r="H89" i="1"/>
  <c r="H127" i="1" s="1"/>
  <c r="H129" i="1" s="1"/>
  <c r="F129" i="1" l="1"/>
</calcChain>
</file>

<file path=xl/sharedStrings.xml><?xml version="1.0" encoding="utf-8"?>
<sst xmlns="http://schemas.openxmlformats.org/spreadsheetml/2006/main" count="299" uniqueCount="192">
  <si>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</si>
  <si>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</si>
  <si>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</si>
  <si>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</si>
  <si>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</si>
  <si>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</si>
  <si>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</si>
  <si>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</si>
  <si>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</si>
  <si>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</si>
  <si>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</si>
  <si>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</si>
  <si>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</si>
  <si>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</si>
  <si>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</si>
  <si>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</si>
  <si>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</si>
  <si>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</si>
  <si>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</si>
  <si>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</si>
  <si>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</si>
  <si>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</si>
  <si>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</si>
  <si>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</si>
  <si>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</si>
  <si>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</si>
  <si>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</si>
  <si>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</si>
  <si>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</si>
  <si>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</si>
  <si>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</si>
  <si>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</si>
  <si>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</si>
  <si>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</si>
  <si>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</si>
  <si>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</si>
  <si>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</si>
  <si>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</si>
  <si>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</si>
  <si>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</si>
  <si>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</si>
  <si>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</si>
  <si>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</si>
  <si>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</si>
  <si>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</si>
  <si>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</si>
  <si>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</si>
  <si>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</si>
  <si>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</si>
  <si>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</si>
  <si>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</si>
  <si>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</si>
  <si>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</si>
  <si>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</si>
  <si>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</si>
  <si>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</si>
  <si>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</si>
  <si>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</si>
  <si>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</si>
  <si>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</si>
  <si>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</si>
  <si>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</si>
  <si>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</si>
  <si>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</si>
  <si>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</si>
  <si>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</si>
  <si>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</si>
  <si>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</si>
  <si>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</si>
  <si>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</si>
  <si>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</si>
  <si>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</si>
  <si>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</si>
  <si>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</si>
  <si>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</si>
  <si>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</si>
  <si>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</si>
  <si>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</si>
  <si>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</si>
  <si>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</si>
  <si>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</si>
  <si>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</si>
  <si>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</si>
  <si>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</si>
  <si>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</si>
  <si>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</si>
  <si>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</si>
  <si>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</si>
  <si>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</si>
  <si>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</si>
  <si>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</si>
  <si>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</si>
  <si>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</si>
  <si>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</si>
  <si>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</si>
  <si>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</si>
  <si>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</si>
  <si>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</si>
  <si>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</si>
  <si>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</si>
  <si>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</si>
  <si>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</si>
  <si>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</si>
  <si>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</si>
  <si>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</si>
  <si>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</si>
  <si>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</si>
  <si>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</si>
  <si>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</si>
  <si>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</si>
  <si>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</si>
  <si>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</si>
  <si>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</si>
  <si>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</si>
  <si>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</si>
  <si>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</si>
  <si>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</si>
  <si>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</si>
  <si>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</si>
  <si>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</si>
  <si>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</si>
  <si>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</si>
  <si>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</si>
  <si>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</si>
  <si>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</si>
  <si>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</si>
  <si>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</si>
  <si>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</si>
  <si>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</si>
  <si>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</si>
  <si>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</si>
  <si>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</si>
  <si>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</si>
  <si>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</si>
  <si>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</si>
  <si>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</si>
  <si>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</si>
  <si>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</si>
  <si>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Придбання  комп’ютерної техніки,  програмного забезпечення, телекомунікаційного обладнання та інше; канцтоварів, журналів, наочної агітації для 22-ДПРЧ 7 ДПРЗ</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</si>
  <si>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</si>
  <si>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</si>
  <si>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</si>
  <si>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</si>
  <si>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</si>
  <si>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</si>
  <si>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</si>
  <si>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</si>
  <si>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</si>
  <si>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</si>
  <si>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</si>
  <si>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</si>
  <si>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</si>
  <si>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</si>
  <si>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</si>
  <si>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</si>
  <si>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</si>
  <si>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</si>
  <si>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</si>
  <si>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</si>
  <si>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</si>
  <si>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</si>
  <si>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</si>
  <si>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 xml:space="preserve">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t>
  </si>
  <si>
    <t>17.</t>
  </si>
  <si>
    <t>Придбання генераторів для забезпечення безперебійної роботи закладів освіти у період відключення електроенергії</t>
  </si>
  <si>
    <t>Придбання генераторів для забезпечення безперебійної роботи підприємства у період відключення електроенергії</t>
  </si>
  <si>
    <t>в тому числі за рахунок коштів:</t>
  </si>
  <si>
    <t>бюджету Чорноморської міської територіальної громади</t>
  </si>
  <si>
    <t>Державного бюджету</t>
  </si>
  <si>
    <t xml:space="preserve">Забезпечення функціонування Пунктів Незламності </t>
  </si>
  <si>
    <t>Реалізація проектів (заходів) з відновлення медичних установ та закладів, пошкоджених / знищених внаслідок збройної агресії
разом, в т.ч.:</t>
  </si>
  <si>
    <t>обласного бюджету Одеської області</t>
  </si>
  <si>
    <t xml:space="preserve">Створення запасів харчових продуктів і напоїв в укриттях та сховищах закладів  освіти Чорноморської міської ради Одеського району Одеської області </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</si>
  <si>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вул.Перемоги, 35-а</t>
  </si>
  <si>
    <t xml:space="preserve">Управління капітального будівництва Чорноморської міської ради Одеського району Одеської області
</t>
  </si>
  <si>
    <t xml:space="preserve">Придбання та встановлення наметів, джерел резервного живлення, зарядних станцій,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</si>
  <si>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 xml:space="preserve">Оплата послуг з оренди вантажних автомобілей вантажопідйомністю 3-6т (12 од) для забезпечення населення Чорноморської міської територіальної  громади водою </t>
  </si>
  <si>
    <t xml:space="preserve">Оплата послуг з оренди автоцистерн ємністю 5-8 куб (14 од) для забезпечення населення Чорноморської міської територіальної  громади водою </t>
  </si>
  <si>
    <t xml:space="preserve">Харчування учасників, які забезпечують життєдіяльність Чорноморської міської територіальної громади в період "блекауту"  (орієнтовно 100 ос) </t>
  </si>
  <si>
    <t xml:space="preserve">*2022-2024 роки - видатки зазначені відповідно до звіту про виконання бюджету Чорноморської міської територіальної громади за відповідний рік </t>
  </si>
  <si>
    <t>2024*</t>
  </si>
  <si>
    <t>Реконструкція будівлі теплодимокамери 22 ДПРЧ 7 ДПРЗ ГУ ДСНС України в Одеській області (літера "В") за адресою вул. Віталія Шума, буд.6-Б м. Чорноморськ, Одеського району, Одеської області</t>
  </si>
  <si>
    <t>від                      2025    №         -VIII</t>
  </si>
  <si>
    <t>Додаткова дотація з Державного бюджету</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</si>
  <si>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</si>
  <si>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 заходів гідроізоляції в найпростішому укритті Чорноморського ліцею № 6, розташованого за адресою: Одеська область, Одеський район, м. Чорноморськ, вулиця Спортивна, ЗА</t>
  </si>
  <si>
    <t>Капітальний ремонт підвального приміщення в будівлі закладу дошкільної освіти № 4 «Барвінок» Чорноморської міської ради Одеського району Одеської області, за адресою: Одеська область, Одеський район, м. Чорноморськ, вулиця Олександрійська, 19-А, з подальшою можливістю улаштування найпростішого укриття</t>
  </si>
  <si>
    <t>Капітальний ремонт підвальних приміщень житлового будинку з влаштуванням найпростішого укриття, розташованого за адресою: Одеська область, Одеський район, м.Чорноморськ, проспект Миру, 15-Б/52-Н (розробка проектно-кошторисної документації)</t>
  </si>
  <si>
    <t>Ліквідація наслідків повітряних ударів на території Чорноморської міської територіальної громади в результаті збройної агресії Російської Федерації проти України</t>
  </si>
  <si>
    <t>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t>
  </si>
  <si>
    <t>Капітальний ремонт з заміною вікон Малодолинського закладу загальної середньої освіти Чорноморської міської ради Одеського району Одеської області, пошкоджених внаслідок військової агресії, за адресою: Одеська область, Одеський район, м. Чорноморськ, вул. Зелена, 2</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</si>
  <si>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 за адресою: вул. Віталія Шума, буд. 4, м. Чорноморськ, Одеського району, Одеської області, пошкоджених внаслідок збройної агресії російської федерації"</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</si>
</sst>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s>
  <cellStyleXfs count="2">
    <xf numFmtId="0" fontId="0" fillId="0" borderId="0"/>
    <xf numFmtId="0" fontId="16" fillId="0" borderId="0"/>
  </cellStyleXfs>
  <cellXfs count="94">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0" fontId="8" fillId="2" borderId="2" xfId="0" applyFont="1" applyFill="1" applyBorder="1"/>
    <xf numFmtId="166" fontId="17"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0" fillId="2" borderId="1" xfId="0" applyFont="1" applyFill="1" applyBorder="1"/>
    <xf numFmtId="166" fontId="10" fillId="2" borderId="1" xfId="0" applyNumberFormat="1" applyFont="1" applyFill="1" applyBorder="1"/>
    <xf numFmtId="0" fontId="10" fillId="2" borderId="0" xfId="0" applyFont="1" applyFill="1"/>
    <xf numFmtId="166" fontId="10" fillId="2" borderId="0" xfId="0" applyNumberFormat="1" applyFont="1" applyFill="1"/>
    <xf numFmtId="0" fontId="10" fillId="2" borderId="1" xfId="1" applyFont="1" applyFill="1" applyBorder="1" applyAlignment="1">
      <alignment horizontal="left" vertical="center" wrapText="1"/>
    </xf>
    <xf numFmtId="0" fontId="1" fillId="2" borderId="9" xfId="0" applyFont="1" applyFill="1" applyBorder="1" applyAlignment="1">
      <alignment horizontal="center" vertical="center" wrapText="1"/>
    </xf>
    <xf numFmtId="166" fontId="1" fillId="2" borderId="0" xfId="0" applyNumberFormat="1" applyFont="1" applyFill="1"/>
    <xf numFmtId="0" fontId="10" fillId="2" borderId="1" xfId="0" applyFont="1" applyFill="1" applyBorder="1" applyAlignment="1">
      <alignment horizontal="left"/>
    </xf>
    <xf numFmtId="0" fontId="10" fillId="2" borderId="0" xfId="0" applyFont="1" applyFill="1" applyAlignment="1">
      <alignment horizontal="left"/>
    </xf>
    <xf numFmtId="0" fontId="9" fillId="2" borderId="0" xfId="0" applyFont="1" applyFill="1" applyAlignment="1">
      <alignment horizontal="left"/>
    </xf>
    <xf numFmtId="0" fontId="6" fillId="2" borderId="0" xfId="0" applyFont="1" applyFill="1" applyAlignment="1">
      <alignment horizontal="left"/>
    </xf>
    <xf numFmtId="0" fontId="8" fillId="2" borderId="0" xfId="0" applyFont="1" applyFill="1" applyAlignment="1">
      <alignment horizontal="left"/>
    </xf>
    <xf numFmtId="0" fontId="4" fillId="2" borderId="0" xfId="0" applyFont="1" applyFill="1" applyAlignment="1">
      <alignment horizontal="left"/>
    </xf>
    <xf numFmtId="0" fontId="14" fillId="2" borderId="0" xfId="0" applyFont="1" applyFill="1" applyAlignment="1">
      <alignment horizontal="left"/>
    </xf>
    <xf numFmtId="0" fontId="1" fillId="2" borderId="6" xfId="0" quotePrefix="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0" xfId="0" applyFont="1" applyFill="1" applyAlignment="1">
      <alignment horizontal="left"/>
    </xf>
    <xf numFmtId="166" fontId="1"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0" xfId="0" applyFont="1" applyFill="1" applyAlignment="1">
      <alignment horizontal="left"/>
    </xf>
    <xf numFmtId="0" fontId="9" fillId="2" borderId="0" xfId="0" applyFont="1" applyFill="1" applyAlignment="1">
      <alignment horizontal="center" vertical="center"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166" fontId="1" fillId="2" borderId="1" xfId="0" applyNumberFormat="1" applyFont="1" applyFill="1" applyBorder="1" applyAlignment="1">
      <alignment horizontal="center" vertical="center" wrapText="1"/>
    </xf>
  </cellXfs>
  <cellStyles count="2">
    <cellStyle name="Звичайний" xfId="0" builtinId="0"/>
    <cellStyle name="Обычный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8"/>
  <sheetViews>
    <sheetView tabSelected="1" view="pageBreakPreview" zoomScale="60" zoomScaleNormal="86" workbookViewId="0">
      <pane xSplit="5" ySplit="8" topLeftCell="F106" activePane="bottomRight" state="frozen"/>
      <selection pane="topRight" activeCell="F1" sqref="F1"/>
      <selection pane="bottomLeft" activeCell="A9" sqref="A9"/>
      <selection pane="bottomRight" activeCell="K49" sqref="K49"/>
    </sheetView>
  </sheetViews>
  <sheetFormatPr defaultColWidth="9.109375" defaultRowHeight="13.8" x14ac:dyDescent="0.3"/>
  <cols>
    <col min="1" max="1" width="3.88671875" style="8" customWidth="1"/>
    <col min="2" max="2" width="50.109375" style="51"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6384" width="9.109375" style="8"/>
  </cols>
  <sheetData>
    <row r="1" spans="1:11" x14ac:dyDescent="0.3">
      <c r="A1" s="9"/>
      <c r="B1" s="61"/>
      <c r="C1" s="9"/>
      <c r="D1" s="9"/>
      <c r="E1" s="9"/>
      <c r="F1" s="9"/>
      <c r="G1" s="10"/>
      <c r="H1" s="9" t="s">
        <v>0</v>
      </c>
      <c r="I1" s="9"/>
      <c r="J1" s="9"/>
      <c r="K1" s="9"/>
    </row>
    <row r="2" spans="1:11" x14ac:dyDescent="0.3">
      <c r="A2" s="9"/>
      <c r="B2" s="61"/>
      <c r="C2" s="9"/>
      <c r="D2" s="10"/>
      <c r="E2" s="9"/>
      <c r="F2" s="9"/>
      <c r="G2" s="9"/>
      <c r="H2" s="9" t="s">
        <v>1</v>
      </c>
      <c r="I2" s="9"/>
      <c r="J2" s="9"/>
      <c r="K2" s="9"/>
    </row>
    <row r="3" spans="1:11" x14ac:dyDescent="0.3">
      <c r="A3" s="9"/>
      <c r="B3" s="61"/>
      <c r="C3" s="9"/>
      <c r="D3" s="9"/>
      <c r="E3" s="9"/>
      <c r="F3" s="9"/>
      <c r="G3" s="1" t="s">
        <v>2</v>
      </c>
      <c r="H3" s="88" t="s">
        <v>182</v>
      </c>
      <c r="I3" s="88"/>
      <c r="J3" s="88"/>
      <c r="K3" s="9"/>
    </row>
    <row r="4" spans="1:11" s="1" customFormat="1" ht="61.5" customHeight="1" x14ac:dyDescent="0.3">
      <c r="A4" s="89" t="s">
        <v>141</v>
      </c>
      <c r="B4" s="89"/>
      <c r="C4" s="89"/>
      <c r="D4" s="89"/>
      <c r="E4" s="89"/>
      <c r="F4" s="89"/>
      <c r="G4" s="89"/>
      <c r="H4" s="89"/>
      <c r="I4" s="89"/>
      <c r="J4" s="89"/>
      <c r="K4" s="89"/>
    </row>
    <row r="5" spans="1:11" x14ac:dyDescent="0.3">
      <c r="A5" s="9"/>
      <c r="B5" s="61"/>
      <c r="C5" s="9"/>
      <c r="D5" s="9"/>
      <c r="E5" s="9"/>
      <c r="F5" s="9"/>
      <c r="G5" s="9"/>
      <c r="H5" s="9"/>
      <c r="I5" s="9"/>
      <c r="J5" s="9"/>
      <c r="K5" s="9"/>
    </row>
    <row r="6" spans="1:11" ht="30" customHeight="1" x14ac:dyDescent="0.3">
      <c r="A6" s="77" t="s">
        <v>3</v>
      </c>
      <c r="B6" s="77" t="s">
        <v>4</v>
      </c>
      <c r="C6" s="77" t="s">
        <v>5</v>
      </c>
      <c r="D6" s="77" t="s">
        <v>6</v>
      </c>
      <c r="E6" s="77" t="s">
        <v>7</v>
      </c>
      <c r="F6" s="77" t="s">
        <v>8</v>
      </c>
      <c r="G6" s="77" t="s">
        <v>9</v>
      </c>
      <c r="H6" s="77"/>
      <c r="I6" s="77"/>
      <c r="J6" s="77"/>
      <c r="K6" s="77"/>
    </row>
    <row r="7" spans="1:11" ht="36.75" customHeight="1" x14ac:dyDescent="0.3">
      <c r="A7" s="77"/>
      <c r="B7" s="77"/>
      <c r="C7" s="77"/>
      <c r="D7" s="77"/>
      <c r="E7" s="77"/>
      <c r="F7" s="77"/>
      <c r="G7" s="11">
        <v>2021</v>
      </c>
      <c r="H7" s="11" t="s">
        <v>10</v>
      </c>
      <c r="I7" s="11" t="s">
        <v>145</v>
      </c>
      <c r="J7" s="11" t="s">
        <v>180</v>
      </c>
      <c r="K7" s="11">
        <v>2025</v>
      </c>
    </row>
    <row r="8" spans="1:11" x14ac:dyDescent="0.3">
      <c r="A8" s="55">
        <v>1</v>
      </c>
      <c r="B8" s="55">
        <v>2</v>
      </c>
      <c r="C8" s="55">
        <v>3</v>
      </c>
      <c r="D8" s="55">
        <v>4</v>
      </c>
      <c r="E8" s="55">
        <v>5</v>
      </c>
      <c r="F8" s="55">
        <v>6</v>
      </c>
      <c r="G8" s="55">
        <v>7</v>
      </c>
      <c r="H8" s="55">
        <v>8</v>
      </c>
      <c r="I8" s="55">
        <v>9</v>
      </c>
      <c r="J8" s="55">
        <v>10</v>
      </c>
      <c r="K8" s="68">
        <v>11</v>
      </c>
    </row>
    <row r="9" spans="1:11" x14ac:dyDescent="0.3">
      <c r="A9" s="87" t="s">
        <v>11</v>
      </c>
      <c r="B9" s="87" t="s">
        <v>85</v>
      </c>
      <c r="C9" s="60" t="s">
        <v>12</v>
      </c>
      <c r="D9" s="77" t="s">
        <v>112</v>
      </c>
      <c r="E9" s="77" t="s">
        <v>13</v>
      </c>
      <c r="F9" s="62">
        <f>G9+H9+I9+J9+K9</f>
        <v>1971.8678</v>
      </c>
      <c r="G9" s="62">
        <v>400</v>
      </c>
      <c r="H9" s="62">
        <v>400</v>
      </c>
      <c r="I9" s="35">
        <f>1171.877-0.0092</f>
        <v>1171.8678</v>
      </c>
      <c r="J9" s="62"/>
      <c r="K9" s="67"/>
    </row>
    <row r="10" spans="1:11" ht="49.5" customHeight="1" x14ac:dyDescent="0.3">
      <c r="A10" s="79"/>
      <c r="B10" s="79"/>
      <c r="C10" s="60" t="s">
        <v>14</v>
      </c>
      <c r="D10" s="77"/>
      <c r="E10" s="77"/>
      <c r="F10" s="62">
        <f t="shared" ref="F10:F16" si="0">G10+H10+I10+J10+K10</f>
        <v>265.5</v>
      </c>
      <c r="G10" s="62">
        <v>200</v>
      </c>
      <c r="H10" s="62">
        <v>50</v>
      </c>
      <c r="I10" s="62">
        <v>15.5</v>
      </c>
      <c r="J10" s="62"/>
      <c r="K10" s="67"/>
    </row>
    <row r="11" spans="1:11" ht="51" customHeight="1" x14ac:dyDescent="0.3">
      <c r="A11" s="79"/>
      <c r="B11" s="79"/>
      <c r="C11" s="60" t="s">
        <v>15</v>
      </c>
      <c r="D11" s="77"/>
      <c r="E11" s="77"/>
      <c r="F11" s="62">
        <f t="shared" si="0"/>
        <v>1943.4515900000001</v>
      </c>
      <c r="G11" s="62">
        <v>500</v>
      </c>
      <c r="H11" s="62">
        <v>500</v>
      </c>
      <c r="I11" s="62">
        <v>943.45159000000001</v>
      </c>
      <c r="J11" s="62"/>
      <c r="K11" s="67"/>
    </row>
    <row r="12" spans="1:11" ht="51.75" customHeight="1" x14ac:dyDescent="0.3">
      <c r="A12" s="79"/>
      <c r="B12" s="79"/>
      <c r="C12" s="60" t="s">
        <v>138</v>
      </c>
      <c r="D12" s="77"/>
      <c r="E12" s="77"/>
      <c r="F12" s="62">
        <f t="shared" si="0"/>
        <v>180.93</v>
      </c>
      <c r="G12" s="62">
        <v>50</v>
      </c>
      <c r="H12" s="62">
        <v>50</v>
      </c>
      <c r="I12" s="62">
        <v>80.930000000000007</v>
      </c>
      <c r="J12" s="62"/>
      <c r="K12" s="67"/>
    </row>
    <row r="13" spans="1:11" ht="60.75" customHeight="1" x14ac:dyDescent="0.3">
      <c r="A13" s="79"/>
      <c r="B13" s="79"/>
      <c r="C13" s="60" t="s">
        <v>16</v>
      </c>
      <c r="D13" s="77"/>
      <c r="E13" s="77"/>
      <c r="F13" s="62">
        <f t="shared" si="0"/>
        <v>2208</v>
      </c>
      <c r="G13" s="62"/>
      <c r="H13" s="62">
        <v>2208</v>
      </c>
      <c r="I13" s="62"/>
      <c r="J13" s="62"/>
      <c r="K13" s="67"/>
    </row>
    <row r="14" spans="1:11" ht="65.25" customHeight="1" x14ac:dyDescent="0.3">
      <c r="A14" s="80"/>
      <c r="B14" s="80"/>
      <c r="C14" s="60" t="s">
        <v>181</v>
      </c>
      <c r="D14" s="77"/>
      <c r="E14" s="77"/>
      <c r="F14" s="62">
        <f t="shared" si="0"/>
        <v>950</v>
      </c>
      <c r="G14" s="62"/>
      <c r="H14" s="62"/>
      <c r="I14" s="62"/>
      <c r="J14" s="62">
        <v>950</v>
      </c>
      <c r="K14" s="67"/>
    </row>
    <row r="15" spans="1:11" x14ac:dyDescent="0.3">
      <c r="A15" s="74" t="s">
        <v>17</v>
      </c>
      <c r="B15" s="75"/>
      <c r="C15" s="75"/>
      <c r="D15" s="75"/>
      <c r="E15" s="76"/>
      <c r="F15" s="62">
        <f>F9+++F10+F11+F12+F13+F14</f>
        <v>7519.7493900000009</v>
      </c>
      <c r="G15" s="62">
        <f t="shared" ref="G15:K15" si="1">G9+++G10+G11+G12+G13+G14</f>
        <v>1150</v>
      </c>
      <c r="H15" s="62">
        <f t="shared" si="1"/>
        <v>3208</v>
      </c>
      <c r="I15" s="62">
        <f t="shared" si="1"/>
        <v>2211.7493899999999</v>
      </c>
      <c r="J15" s="62">
        <f t="shared" si="1"/>
        <v>950</v>
      </c>
      <c r="K15" s="67">
        <f t="shared" si="1"/>
        <v>0</v>
      </c>
    </row>
    <row r="16" spans="1:11" ht="39.6" x14ac:dyDescent="0.3">
      <c r="A16" s="60" t="s">
        <v>18</v>
      </c>
      <c r="B16" s="56" t="s">
        <v>19</v>
      </c>
      <c r="C16" s="60" t="s">
        <v>20</v>
      </c>
      <c r="D16" s="55" t="s">
        <v>112</v>
      </c>
      <c r="E16" s="55" t="s">
        <v>13</v>
      </c>
      <c r="F16" s="62">
        <f t="shared" si="0"/>
        <v>200</v>
      </c>
      <c r="G16" s="62">
        <v>200</v>
      </c>
      <c r="H16" s="62"/>
      <c r="I16" s="62"/>
      <c r="J16" s="62"/>
      <c r="K16" s="67"/>
    </row>
    <row r="17" spans="1:12" ht="54.75" customHeight="1" x14ac:dyDescent="0.3">
      <c r="A17" s="60" t="s">
        <v>21</v>
      </c>
      <c r="B17" s="56" t="s">
        <v>22</v>
      </c>
      <c r="C17" s="60" t="s">
        <v>23</v>
      </c>
      <c r="D17" s="55" t="s">
        <v>113</v>
      </c>
      <c r="E17" s="55" t="s">
        <v>24</v>
      </c>
      <c r="F17" s="93" t="s">
        <v>25</v>
      </c>
      <c r="G17" s="93"/>
      <c r="H17" s="93"/>
      <c r="I17" s="93"/>
      <c r="J17" s="93"/>
      <c r="K17" s="93"/>
    </row>
    <row r="18" spans="1:12" ht="66" x14ac:dyDescent="0.3">
      <c r="A18" s="81" t="s">
        <v>26</v>
      </c>
      <c r="B18" s="87" t="s">
        <v>153</v>
      </c>
      <c r="C18" s="60" t="s">
        <v>107</v>
      </c>
      <c r="D18" s="55" t="s">
        <v>27</v>
      </c>
      <c r="E18" s="55" t="s">
        <v>13</v>
      </c>
      <c r="F18" s="62">
        <f t="shared" ref="F18:F91" si="2">G18+H18+I18+J18+K18</f>
        <v>200</v>
      </c>
      <c r="G18" s="62"/>
      <c r="H18" s="62">
        <v>200</v>
      </c>
      <c r="I18" s="62"/>
      <c r="J18" s="62"/>
      <c r="K18" s="67"/>
    </row>
    <row r="19" spans="1:12" ht="66" customHeight="1" x14ac:dyDescent="0.3">
      <c r="A19" s="82"/>
      <c r="B19" s="79"/>
      <c r="C19" s="90" t="s">
        <v>122</v>
      </c>
      <c r="D19" s="55" t="s">
        <v>27</v>
      </c>
      <c r="E19" s="81" t="s">
        <v>13</v>
      </c>
      <c r="F19" s="62">
        <f>G19+H19+I19+J19+K19</f>
        <v>5586.3577900000009</v>
      </c>
      <c r="G19" s="62"/>
      <c r="H19" s="62">
        <v>3839.4790600000001</v>
      </c>
      <c r="I19" s="62">
        <v>921.74980000000005</v>
      </c>
      <c r="J19" s="62">
        <v>214.02893</v>
      </c>
      <c r="K19" s="67">
        <f>91.1+520</f>
        <v>611.1</v>
      </c>
      <c r="L19" s="2"/>
    </row>
    <row r="20" spans="1:12" ht="26.4" x14ac:dyDescent="0.3">
      <c r="A20" s="82"/>
      <c r="B20" s="79"/>
      <c r="C20" s="91"/>
      <c r="D20" s="55" t="s">
        <v>104</v>
      </c>
      <c r="E20" s="82"/>
      <c r="F20" s="62">
        <f t="shared" si="2"/>
        <v>6355.5742100000007</v>
      </c>
      <c r="G20" s="62"/>
      <c r="H20" s="62">
        <v>5276.7935200000002</v>
      </c>
      <c r="I20" s="62">
        <f>380.27569+91.8+106.705</f>
        <v>578.78069000000005</v>
      </c>
      <c r="J20" s="62"/>
      <c r="K20" s="67">
        <f>500</f>
        <v>500</v>
      </c>
    </row>
    <row r="21" spans="1:12" ht="26.4" x14ac:dyDescent="0.3">
      <c r="A21" s="82"/>
      <c r="B21" s="79"/>
      <c r="C21" s="91"/>
      <c r="D21" s="55" t="s">
        <v>28</v>
      </c>
      <c r="E21" s="82"/>
      <c r="F21" s="62">
        <f t="shared" si="2"/>
        <v>159.6</v>
      </c>
      <c r="G21" s="62"/>
      <c r="H21" s="62">
        <v>159.6</v>
      </c>
      <c r="I21" s="62"/>
      <c r="J21" s="62"/>
      <c r="K21" s="67"/>
    </row>
    <row r="22" spans="1:12" ht="45" customHeight="1" x14ac:dyDescent="0.3">
      <c r="A22" s="83"/>
      <c r="B22" s="80"/>
      <c r="C22" s="91"/>
      <c r="D22" s="55" t="s">
        <v>148</v>
      </c>
      <c r="E22" s="82"/>
      <c r="F22" s="62">
        <f t="shared" si="2"/>
        <v>46.442099999999996</v>
      </c>
      <c r="G22" s="62"/>
      <c r="H22" s="62"/>
      <c r="I22" s="62"/>
      <c r="J22" s="62">
        <f>16.4421</f>
        <v>16.4421</v>
      </c>
      <c r="K22" s="67">
        <f>30</f>
        <v>30</v>
      </c>
    </row>
    <row r="23" spans="1:12" ht="93" customHeight="1" x14ac:dyDescent="0.3">
      <c r="A23" s="60"/>
      <c r="B23" s="56"/>
      <c r="C23" s="92"/>
      <c r="D23" s="55" t="s">
        <v>114</v>
      </c>
      <c r="E23" s="83"/>
      <c r="F23" s="62">
        <f t="shared" si="2"/>
        <v>17.076000000000001</v>
      </c>
      <c r="G23" s="62"/>
      <c r="H23" s="62"/>
      <c r="I23" s="62">
        <v>17.076000000000001</v>
      </c>
      <c r="J23" s="62"/>
      <c r="K23" s="67"/>
    </row>
    <row r="24" spans="1:12" ht="56.25" customHeight="1" x14ac:dyDescent="0.3">
      <c r="A24" s="60"/>
      <c r="B24" s="56"/>
      <c r="C24" s="56" t="s">
        <v>29</v>
      </c>
      <c r="D24" s="55" t="s">
        <v>105</v>
      </c>
      <c r="E24" s="55" t="s">
        <v>13</v>
      </c>
      <c r="F24" s="62">
        <f t="shared" si="2"/>
        <v>99.99</v>
      </c>
      <c r="G24" s="62"/>
      <c r="H24" s="62">
        <v>99.99</v>
      </c>
      <c r="I24" s="62"/>
      <c r="J24" s="62"/>
      <c r="K24" s="67"/>
    </row>
    <row r="25" spans="1:12" ht="81" customHeight="1" x14ac:dyDescent="0.3">
      <c r="A25" s="60"/>
      <c r="B25" s="56"/>
      <c r="C25" s="39" t="s">
        <v>157</v>
      </c>
      <c r="D25" s="55" t="s">
        <v>105</v>
      </c>
      <c r="E25" s="55" t="s">
        <v>13</v>
      </c>
      <c r="F25" s="62">
        <f t="shared" si="2"/>
        <v>86.625079999999997</v>
      </c>
      <c r="G25" s="62"/>
      <c r="H25" s="62"/>
      <c r="I25" s="62"/>
      <c r="J25" s="62">
        <v>86.625079999999997</v>
      </c>
      <c r="K25" s="67"/>
    </row>
    <row r="26" spans="1:12" ht="73.5" customHeight="1" x14ac:dyDescent="0.3">
      <c r="A26" s="60"/>
      <c r="B26" s="56"/>
      <c r="C26" s="39" t="s">
        <v>155</v>
      </c>
      <c r="D26" s="55" t="s">
        <v>105</v>
      </c>
      <c r="E26" s="55" t="s">
        <v>13</v>
      </c>
      <c r="F26" s="62">
        <f t="shared" si="2"/>
        <v>84.605959999999996</v>
      </c>
      <c r="G26" s="62"/>
      <c r="H26" s="62"/>
      <c r="I26" s="62"/>
      <c r="J26" s="62">
        <v>84.605959999999996</v>
      </c>
      <c r="K26" s="67"/>
    </row>
    <row r="27" spans="1:12" ht="92.25" customHeight="1" x14ac:dyDescent="0.3">
      <c r="A27" s="60"/>
      <c r="B27" s="56"/>
      <c r="C27" s="32" t="s">
        <v>184</v>
      </c>
      <c r="D27" s="55" t="s">
        <v>105</v>
      </c>
      <c r="E27" s="55" t="s">
        <v>13</v>
      </c>
      <c r="F27" s="62">
        <f t="shared" si="2"/>
        <v>3283.7973300000003</v>
      </c>
      <c r="G27" s="62"/>
      <c r="H27" s="62"/>
      <c r="I27" s="62"/>
      <c r="J27" s="62">
        <v>383.67833000000002</v>
      </c>
      <c r="K27" s="67">
        <f>2800.119+100</f>
        <v>2900.1190000000001</v>
      </c>
    </row>
    <row r="28" spans="1:12" ht="73.5" customHeight="1" x14ac:dyDescent="0.3">
      <c r="A28" s="60"/>
      <c r="B28" s="56"/>
      <c r="C28" s="32" t="s">
        <v>156</v>
      </c>
      <c r="D28" s="55" t="s">
        <v>105</v>
      </c>
      <c r="E28" s="55" t="s">
        <v>13</v>
      </c>
      <c r="F28" s="62">
        <f t="shared" si="2"/>
        <v>1500.36015</v>
      </c>
      <c r="G28" s="62"/>
      <c r="H28" s="62"/>
      <c r="I28" s="62"/>
      <c r="J28" s="62">
        <v>306.14415000000002</v>
      </c>
      <c r="K28" s="67">
        <v>1194.2159999999999</v>
      </c>
    </row>
    <row r="29" spans="1:12" ht="82.5" customHeight="1" x14ac:dyDescent="0.3">
      <c r="A29" s="60"/>
      <c r="B29" s="56"/>
      <c r="C29" s="39" t="s">
        <v>185</v>
      </c>
      <c r="D29" s="55" t="s">
        <v>105</v>
      </c>
      <c r="E29" s="55" t="s">
        <v>13</v>
      </c>
      <c r="F29" s="62">
        <f t="shared" si="2"/>
        <v>1537.4692700000001</v>
      </c>
      <c r="G29" s="62"/>
      <c r="H29" s="62"/>
      <c r="I29" s="62"/>
      <c r="J29" s="62">
        <v>168.45427000000001</v>
      </c>
      <c r="K29" s="67">
        <f>1400.315-211.3+180</f>
        <v>1369.0150000000001</v>
      </c>
    </row>
    <row r="30" spans="1:12" ht="75" customHeight="1" x14ac:dyDescent="0.3">
      <c r="A30" s="60"/>
      <c r="B30" s="56"/>
      <c r="C30" s="39" t="s">
        <v>154</v>
      </c>
      <c r="D30" s="55" t="s">
        <v>105</v>
      </c>
      <c r="E30" s="55" t="s">
        <v>13</v>
      </c>
      <c r="F30" s="62">
        <f t="shared" si="2"/>
        <v>0</v>
      </c>
      <c r="G30" s="62"/>
      <c r="H30" s="62"/>
      <c r="I30" s="62"/>
      <c r="J30" s="62">
        <v>0</v>
      </c>
      <c r="K30" s="67"/>
    </row>
    <row r="31" spans="1:12" ht="92.25" customHeight="1" x14ac:dyDescent="0.3">
      <c r="A31" s="60"/>
      <c r="B31" s="56"/>
      <c r="C31" s="39" t="s">
        <v>186</v>
      </c>
      <c r="D31" s="55" t="s">
        <v>105</v>
      </c>
      <c r="E31" s="55" t="s">
        <v>13</v>
      </c>
      <c r="F31" s="62">
        <f t="shared" si="2"/>
        <v>1462.41</v>
      </c>
      <c r="G31" s="62"/>
      <c r="H31" s="62"/>
      <c r="I31" s="62"/>
      <c r="J31" s="62">
        <v>0</v>
      </c>
      <c r="K31" s="67">
        <f>1500-37.59</f>
        <v>1462.41</v>
      </c>
    </row>
    <row r="32" spans="1:12" ht="63" customHeight="1" x14ac:dyDescent="0.3">
      <c r="A32" s="60"/>
      <c r="B32" s="56"/>
      <c r="C32" s="54" t="s">
        <v>187</v>
      </c>
      <c r="D32" s="55" t="s">
        <v>105</v>
      </c>
      <c r="E32" s="55" t="s">
        <v>13</v>
      </c>
      <c r="F32" s="62">
        <f t="shared" ref="F32" si="3">G32+H32+I32+J32+K32</f>
        <v>400</v>
      </c>
      <c r="G32" s="62"/>
      <c r="H32" s="62"/>
      <c r="I32" s="62"/>
      <c r="J32" s="62"/>
      <c r="K32" s="67">
        <f>200+200</f>
        <v>400</v>
      </c>
    </row>
    <row r="33" spans="1:11" ht="56.25" customHeight="1" x14ac:dyDescent="0.3">
      <c r="A33" s="60"/>
      <c r="B33" s="56"/>
      <c r="C33" s="39" t="s">
        <v>164</v>
      </c>
      <c r="D33" s="55" t="s">
        <v>105</v>
      </c>
      <c r="E33" s="55" t="s">
        <v>13</v>
      </c>
      <c r="F33" s="62">
        <f t="shared" si="2"/>
        <v>0</v>
      </c>
      <c r="G33" s="62"/>
      <c r="H33" s="62"/>
      <c r="I33" s="62"/>
      <c r="J33" s="62">
        <f>3250-3250</f>
        <v>0</v>
      </c>
      <c r="K33" s="67"/>
    </row>
    <row r="34" spans="1:11" ht="59.25" customHeight="1" x14ac:dyDescent="0.3">
      <c r="A34" s="60"/>
      <c r="B34" s="56"/>
      <c r="C34" s="39" t="s">
        <v>172</v>
      </c>
      <c r="D34" s="55" t="s">
        <v>105</v>
      </c>
      <c r="E34" s="55" t="s">
        <v>13</v>
      </c>
      <c r="F34" s="62">
        <f t="shared" si="2"/>
        <v>433.04640000000001</v>
      </c>
      <c r="G34" s="62"/>
      <c r="H34" s="62"/>
      <c r="I34" s="62"/>
      <c r="J34" s="62">
        <f>433.0464</f>
        <v>433.04640000000001</v>
      </c>
      <c r="K34" s="67"/>
    </row>
    <row r="35" spans="1:11" ht="59.25" customHeight="1" x14ac:dyDescent="0.3">
      <c r="A35" s="66"/>
      <c r="B35" s="65"/>
      <c r="C35" s="32" t="s">
        <v>189</v>
      </c>
      <c r="D35" s="64" t="s">
        <v>105</v>
      </c>
      <c r="E35" s="64" t="s">
        <v>13</v>
      </c>
      <c r="F35" s="63">
        <f t="shared" si="2"/>
        <v>500</v>
      </c>
      <c r="G35" s="63"/>
      <c r="H35" s="63"/>
      <c r="I35" s="63"/>
      <c r="J35" s="63"/>
      <c r="K35" s="67">
        <v>500</v>
      </c>
    </row>
    <row r="36" spans="1:11" ht="68.25" customHeight="1" x14ac:dyDescent="0.3">
      <c r="A36" s="60"/>
      <c r="B36" s="56"/>
      <c r="C36" s="60" t="s">
        <v>30</v>
      </c>
      <c r="D36" s="55" t="s">
        <v>31</v>
      </c>
      <c r="E36" s="55" t="s">
        <v>13</v>
      </c>
      <c r="F36" s="62">
        <f t="shared" si="2"/>
        <v>3549.7063800000001</v>
      </c>
      <c r="G36" s="62"/>
      <c r="H36" s="62">
        <v>2545.7080000000001</v>
      </c>
      <c r="I36" s="62">
        <v>1003.99838</v>
      </c>
      <c r="J36" s="62"/>
      <c r="K36" s="67"/>
    </row>
    <row r="37" spans="1:11" ht="83.25" customHeight="1" x14ac:dyDescent="0.3">
      <c r="A37" s="60"/>
      <c r="B37" s="56"/>
      <c r="C37" s="56" t="s">
        <v>32</v>
      </c>
      <c r="D37" s="55" t="s">
        <v>31</v>
      </c>
      <c r="E37" s="55" t="s">
        <v>13</v>
      </c>
      <c r="F37" s="62">
        <f t="shared" si="2"/>
        <v>4034.1009599999998</v>
      </c>
      <c r="G37" s="62"/>
      <c r="H37" s="62">
        <f>300+1169+2020.195-3265.656</f>
        <v>223.53899999999976</v>
      </c>
      <c r="I37" s="62">
        <v>3810.56196</v>
      </c>
      <c r="J37" s="62"/>
      <c r="K37" s="67"/>
    </row>
    <row r="38" spans="1:11" ht="86.25" customHeight="1" x14ac:dyDescent="0.3">
      <c r="A38" s="60"/>
      <c r="B38" s="56"/>
      <c r="C38" s="56" t="s">
        <v>125</v>
      </c>
      <c r="D38" s="55" t="s">
        <v>31</v>
      </c>
      <c r="E38" s="55" t="s">
        <v>13</v>
      </c>
      <c r="F38" s="62">
        <f t="shared" si="2"/>
        <v>7128.6854899999998</v>
      </c>
      <c r="G38" s="62"/>
      <c r="H38" s="62"/>
      <c r="I38" s="62">
        <v>22.8264</v>
      </c>
      <c r="J38" s="62">
        <v>5314.5590899999997</v>
      </c>
      <c r="K38" s="67">
        <v>1791.3</v>
      </c>
    </row>
    <row r="39" spans="1:11" ht="62.25" customHeight="1" x14ac:dyDescent="0.3">
      <c r="A39" s="60"/>
      <c r="B39" s="56"/>
      <c r="C39" s="12" t="s">
        <v>33</v>
      </c>
      <c r="D39" s="55" t="s">
        <v>31</v>
      </c>
      <c r="E39" s="55" t="s">
        <v>13</v>
      </c>
      <c r="F39" s="62">
        <f t="shared" si="2"/>
        <v>47</v>
      </c>
      <c r="G39" s="62"/>
      <c r="H39" s="62">
        <v>47</v>
      </c>
      <c r="I39" s="62"/>
      <c r="J39" s="62"/>
      <c r="K39" s="67"/>
    </row>
    <row r="40" spans="1:11" ht="53.25" customHeight="1" x14ac:dyDescent="0.3">
      <c r="A40" s="60"/>
      <c r="B40" s="56"/>
      <c r="C40" s="12" t="s">
        <v>34</v>
      </c>
      <c r="D40" s="55" t="s">
        <v>31</v>
      </c>
      <c r="E40" s="55" t="s">
        <v>13</v>
      </c>
      <c r="F40" s="62">
        <f t="shared" si="2"/>
        <v>48.562440000000002</v>
      </c>
      <c r="G40" s="62"/>
      <c r="H40" s="62">
        <v>48.562440000000002</v>
      </c>
      <c r="I40" s="62"/>
      <c r="J40" s="62"/>
      <c r="K40" s="67"/>
    </row>
    <row r="41" spans="1:11" ht="51" customHeight="1" x14ac:dyDescent="0.3">
      <c r="A41" s="60"/>
      <c r="B41" s="56"/>
      <c r="C41" s="60" t="s">
        <v>127</v>
      </c>
      <c r="D41" s="55" t="s">
        <v>31</v>
      </c>
      <c r="E41" s="55" t="s">
        <v>13</v>
      </c>
      <c r="F41" s="62">
        <f t="shared" si="2"/>
        <v>3941.3779999999997</v>
      </c>
      <c r="G41" s="62"/>
      <c r="H41" s="62">
        <v>329.48200000000003</v>
      </c>
      <c r="I41" s="62">
        <v>611.89599999999996</v>
      </c>
      <c r="J41" s="62">
        <v>0</v>
      </c>
      <c r="K41" s="67">
        <f>5000-2000</f>
        <v>3000</v>
      </c>
    </row>
    <row r="42" spans="1:11" ht="114" customHeight="1" x14ac:dyDescent="0.3">
      <c r="A42" s="60"/>
      <c r="B42" s="56"/>
      <c r="C42" s="60" t="s">
        <v>35</v>
      </c>
      <c r="D42" s="55" t="s">
        <v>36</v>
      </c>
      <c r="E42" s="55" t="s">
        <v>13</v>
      </c>
      <c r="F42" s="62">
        <f t="shared" si="2"/>
        <v>201.93868000000001</v>
      </c>
      <c r="G42" s="62"/>
      <c r="H42" s="62">
        <f>350-145.91132-2.15</f>
        <v>201.93868000000001</v>
      </c>
      <c r="I42" s="62"/>
      <c r="J42" s="62"/>
      <c r="K42" s="67"/>
    </row>
    <row r="43" spans="1:11" ht="52.8" x14ac:dyDescent="0.3">
      <c r="A43" s="60"/>
      <c r="B43" s="56"/>
      <c r="C43" s="60" t="s">
        <v>37</v>
      </c>
      <c r="D43" s="55" t="s">
        <v>36</v>
      </c>
      <c r="E43" s="55" t="s">
        <v>13</v>
      </c>
      <c r="F43" s="62">
        <f>G43+H43+I43+J43+K43</f>
        <v>49</v>
      </c>
      <c r="G43" s="62"/>
      <c r="H43" s="62">
        <v>49</v>
      </c>
      <c r="I43" s="62"/>
      <c r="J43" s="62"/>
      <c r="K43" s="67"/>
    </row>
    <row r="44" spans="1:11" s="37" customFormat="1" ht="75" customHeight="1" x14ac:dyDescent="0.3">
      <c r="A44" s="60"/>
      <c r="B44" s="56"/>
      <c r="C44" s="60" t="s">
        <v>140</v>
      </c>
      <c r="D44" s="55" t="s">
        <v>31</v>
      </c>
      <c r="E44" s="55" t="s">
        <v>13</v>
      </c>
      <c r="F44" s="62">
        <f>G44+H44+I44+J44+K44</f>
        <v>4634.1693800000003</v>
      </c>
      <c r="G44" s="62"/>
      <c r="H44" s="62"/>
      <c r="I44" s="62">
        <v>1168.2533800000001</v>
      </c>
      <c r="J44" s="62">
        <v>250</v>
      </c>
      <c r="K44" s="67">
        <f>3500-250-34.084</f>
        <v>3215.9160000000002</v>
      </c>
    </row>
    <row r="45" spans="1:11" ht="84" customHeight="1" x14ac:dyDescent="0.3">
      <c r="A45" s="60"/>
      <c r="B45" s="56"/>
      <c r="C45" s="60" t="s">
        <v>100</v>
      </c>
      <c r="D45" s="55" t="s">
        <v>31</v>
      </c>
      <c r="E45" s="55" t="s">
        <v>13</v>
      </c>
      <c r="F45" s="62">
        <f t="shared" ref="F45:F48" si="4">G45+H45+I45+J45+K45</f>
        <v>1198.60259</v>
      </c>
      <c r="G45" s="62"/>
      <c r="H45" s="62"/>
      <c r="I45" s="62">
        <v>1198.60259</v>
      </c>
      <c r="J45" s="62"/>
      <c r="K45" s="67"/>
    </row>
    <row r="46" spans="1:11" ht="43.5" customHeight="1" x14ac:dyDescent="0.3">
      <c r="A46" s="60"/>
      <c r="B46" s="56"/>
      <c r="C46" s="87" t="s">
        <v>101</v>
      </c>
      <c r="D46" s="77" t="s">
        <v>31</v>
      </c>
      <c r="E46" s="55" t="s">
        <v>183</v>
      </c>
      <c r="F46" s="62">
        <f t="shared" si="4"/>
        <v>83518.8</v>
      </c>
      <c r="G46" s="62"/>
      <c r="H46" s="62"/>
      <c r="I46" s="62"/>
      <c r="J46" s="62">
        <v>0</v>
      </c>
      <c r="K46" s="67">
        <v>83518.8</v>
      </c>
    </row>
    <row r="47" spans="1:11" ht="45" customHeight="1" x14ac:dyDescent="0.3">
      <c r="A47" s="60"/>
      <c r="B47" s="56"/>
      <c r="C47" s="80"/>
      <c r="D47" s="77"/>
      <c r="E47" s="55" t="s">
        <v>13</v>
      </c>
      <c r="F47" s="62">
        <f t="shared" si="4"/>
        <v>1304.85778</v>
      </c>
      <c r="G47" s="62"/>
      <c r="H47" s="62"/>
      <c r="I47" s="62">
        <v>1124.85778</v>
      </c>
      <c r="J47" s="62">
        <v>80</v>
      </c>
      <c r="K47" s="67">
        <v>100</v>
      </c>
    </row>
    <row r="48" spans="1:11" ht="39.6" x14ac:dyDescent="0.3">
      <c r="A48" s="60"/>
      <c r="B48" s="56"/>
      <c r="C48" s="78" t="s">
        <v>108</v>
      </c>
      <c r="D48" s="77" t="s">
        <v>31</v>
      </c>
      <c r="E48" s="55" t="s">
        <v>147</v>
      </c>
      <c r="F48" s="62">
        <f t="shared" si="4"/>
        <v>26491.441999999999</v>
      </c>
      <c r="G48" s="62"/>
      <c r="H48" s="62"/>
      <c r="I48" s="62"/>
      <c r="J48" s="62">
        <v>10675.714379999999</v>
      </c>
      <c r="K48" s="67">
        <v>15815.72762</v>
      </c>
    </row>
    <row r="49" spans="1:12" ht="49.5" customHeight="1" x14ac:dyDescent="0.3">
      <c r="A49" s="60"/>
      <c r="B49" s="56"/>
      <c r="C49" s="78"/>
      <c r="D49" s="77"/>
      <c r="E49" s="55" t="s">
        <v>13</v>
      </c>
      <c r="F49" s="62">
        <f>G49+H49+I49+J49+K49</f>
        <v>1314.25305</v>
      </c>
      <c r="G49" s="62"/>
      <c r="H49" s="62"/>
      <c r="I49" s="62">
        <v>944.25305000000003</v>
      </c>
      <c r="J49" s="62">
        <f>1000-1000+250</f>
        <v>250</v>
      </c>
      <c r="K49" s="67">
        <f>100+20</f>
        <v>120</v>
      </c>
    </row>
    <row r="50" spans="1:12" ht="93" customHeight="1" x14ac:dyDescent="0.3">
      <c r="A50" s="55"/>
      <c r="B50" s="56"/>
      <c r="C50" s="56" t="s">
        <v>158</v>
      </c>
      <c r="D50" s="55" t="s">
        <v>159</v>
      </c>
      <c r="E50" s="55" t="s">
        <v>13</v>
      </c>
      <c r="F50" s="62">
        <f>G50+H50+I50+J50+K50</f>
        <v>418.68200000000002</v>
      </c>
      <c r="G50" s="62"/>
      <c r="H50" s="62"/>
      <c r="I50" s="62"/>
      <c r="J50" s="62">
        <v>39.761000000000003</v>
      </c>
      <c r="K50" s="67">
        <v>378.92099999999999</v>
      </c>
    </row>
    <row r="51" spans="1:12" s="2" customFormat="1" x14ac:dyDescent="0.3">
      <c r="A51" s="74" t="s">
        <v>38</v>
      </c>
      <c r="B51" s="75"/>
      <c r="C51" s="75"/>
      <c r="D51" s="75"/>
      <c r="E51" s="76"/>
      <c r="F51" s="62">
        <f>F18+F19+F20+F21+F22+F23+F24+F25+F26+F27+F28+F29+F30+F31+F32+F33+F34+F35+F36+F37+F38+F39+F40+F41+F42+F43+F44+F45+F46+F47+F48+F49+F50</f>
        <v>159634.53304000001</v>
      </c>
      <c r="G51" s="63">
        <f t="shared" ref="G51:K51" si="5">G18+G19+G20+G21+G22+G23+G24+G25+G26+G27+G28+G29+G30+G31+G32+G33+G34+G35+G36+G37+G38+G39+G40+G41+G42+G43+G44+G45+G46+G47+G48+G49+G50</f>
        <v>0</v>
      </c>
      <c r="H51" s="63">
        <f t="shared" si="5"/>
        <v>13021.092699999999</v>
      </c>
      <c r="I51" s="63">
        <f t="shared" si="5"/>
        <v>11402.856029999999</v>
      </c>
      <c r="J51" s="63">
        <f t="shared" si="5"/>
        <v>18303.059689999998</v>
      </c>
      <c r="K51" s="67">
        <f t="shared" si="5"/>
        <v>116907.52462000001</v>
      </c>
    </row>
    <row r="52" spans="1:12" ht="51" customHeight="1" x14ac:dyDescent="0.3">
      <c r="A52" s="84" t="s">
        <v>39</v>
      </c>
      <c r="B52" s="81" t="s">
        <v>86</v>
      </c>
      <c r="C52" s="81" t="s">
        <v>146</v>
      </c>
      <c r="D52" s="55" t="s">
        <v>144</v>
      </c>
      <c r="E52" s="81" t="s">
        <v>13</v>
      </c>
      <c r="F52" s="62">
        <f>G52+H52+I52+J52+K52</f>
        <v>4723.0858099999996</v>
      </c>
      <c r="G52" s="62"/>
      <c r="H52" s="62">
        <v>282.21033999999997</v>
      </c>
      <c r="I52" s="62">
        <v>1103.7714900000001</v>
      </c>
      <c r="J52" s="62">
        <f>J53+J54</f>
        <v>1359.9039799999998</v>
      </c>
      <c r="K52" s="67">
        <f>K53+K54</f>
        <v>1977.1999999999998</v>
      </c>
    </row>
    <row r="53" spans="1:12" ht="26.4" x14ac:dyDescent="0.3">
      <c r="A53" s="84"/>
      <c r="B53" s="83"/>
      <c r="C53" s="83"/>
      <c r="D53" s="55" t="s">
        <v>134</v>
      </c>
      <c r="E53" s="83"/>
      <c r="F53" s="62">
        <f>G53+H53+I53+J53+K53</f>
        <v>4170.5844299999999</v>
      </c>
      <c r="G53" s="62"/>
      <c r="H53" s="62">
        <v>282.21033999999997</v>
      </c>
      <c r="I53" s="62">
        <v>1103.7714900000001</v>
      </c>
      <c r="J53" s="62">
        <v>1117.4025999999999</v>
      </c>
      <c r="K53" s="67">
        <f>2187.2-520</f>
        <v>1667.1999999999998</v>
      </c>
    </row>
    <row r="54" spans="1:12" ht="26.4" x14ac:dyDescent="0.3">
      <c r="A54" s="84"/>
      <c r="B54" s="72"/>
      <c r="C54" s="72"/>
      <c r="D54" s="55" t="s">
        <v>143</v>
      </c>
      <c r="E54" s="72"/>
      <c r="F54" s="62">
        <f>G54+H54+I54+J54+K54</f>
        <v>552.50138000000004</v>
      </c>
      <c r="G54" s="62"/>
      <c r="H54" s="62"/>
      <c r="I54" s="62"/>
      <c r="J54" s="62">
        <v>242.50138000000001</v>
      </c>
      <c r="K54" s="67">
        <v>310</v>
      </c>
    </row>
    <row r="55" spans="1:12" ht="34.5" customHeight="1" x14ac:dyDescent="0.3">
      <c r="A55" s="60" t="s">
        <v>41</v>
      </c>
      <c r="B55" s="56" t="s">
        <v>42</v>
      </c>
      <c r="C55" s="60" t="s">
        <v>43</v>
      </c>
      <c r="D55" s="55" t="s">
        <v>103</v>
      </c>
      <c r="E55" s="55" t="s">
        <v>13</v>
      </c>
      <c r="F55" s="62">
        <f t="shared" si="2"/>
        <v>100</v>
      </c>
      <c r="G55" s="62"/>
      <c r="H55" s="62">
        <v>100</v>
      </c>
      <c r="I55" s="62"/>
      <c r="J55" s="62"/>
      <c r="K55" s="67"/>
    </row>
    <row r="56" spans="1:12" ht="123.75" customHeight="1" x14ac:dyDescent="0.3">
      <c r="A56" s="60" t="s">
        <v>44</v>
      </c>
      <c r="B56" s="56" t="s">
        <v>142</v>
      </c>
      <c r="C56" s="60" t="s">
        <v>45</v>
      </c>
      <c r="D56" s="55" t="s">
        <v>58</v>
      </c>
      <c r="E56" s="81" t="s">
        <v>13</v>
      </c>
      <c r="F56" s="62">
        <f t="shared" si="2"/>
        <v>5353.0737399999998</v>
      </c>
      <c r="G56" s="62"/>
      <c r="H56" s="62">
        <v>5353.0737399999998</v>
      </c>
      <c r="I56" s="62"/>
      <c r="J56" s="62"/>
      <c r="K56" s="67"/>
      <c r="L56" s="14"/>
    </row>
    <row r="57" spans="1:12" ht="39" customHeight="1" x14ac:dyDescent="0.3">
      <c r="A57" s="60"/>
      <c r="B57" s="56"/>
      <c r="C57" s="60"/>
      <c r="D57" s="55" t="s">
        <v>130</v>
      </c>
      <c r="E57" s="82"/>
      <c r="F57" s="62">
        <f t="shared" si="2"/>
        <v>199.98697999999999</v>
      </c>
      <c r="G57" s="62"/>
      <c r="H57" s="62">
        <v>199.98697999999999</v>
      </c>
      <c r="I57" s="62"/>
      <c r="J57" s="62"/>
      <c r="K57" s="67"/>
      <c r="L57" s="14"/>
    </row>
    <row r="58" spans="1:12" ht="39" customHeight="1" x14ac:dyDescent="0.3">
      <c r="A58" s="60"/>
      <c r="B58" s="56"/>
      <c r="C58" s="60"/>
      <c r="D58" s="55" t="s">
        <v>131</v>
      </c>
      <c r="E58" s="82"/>
      <c r="F58" s="62">
        <f t="shared" si="2"/>
        <v>79.854659999999996</v>
      </c>
      <c r="G58" s="62"/>
      <c r="H58" s="62">
        <v>79.854659999999996</v>
      </c>
      <c r="I58" s="62"/>
      <c r="J58" s="62"/>
      <c r="K58" s="67"/>
      <c r="L58" s="14"/>
    </row>
    <row r="59" spans="1:12" ht="26.4" x14ac:dyDescent="0.3">
      <c r="A59" s="60"/>
      <c r="B59" s="56"/>
      <c r="C59" s="60"/>
      <c r="D59" s="55" t="s">
        <v>132</v>
      </c>
      <c r="E59" s="82"/>
      <c r="F59" s="62">
        <f t="shared" si="2"/>
        <v>149.86189999999999</v>
      </c>
      <c r="G59" s="62"/>
      <c r="H59" s="62">
        <v>149.86189999999999</v>
      </c>
      <c r="I59" s="62"/>
      <c r="J59" s="62"/>
      <c r="K59" s="67"/>
      <c r="L59" s="14"/>
    </row>
    <row r="60" spans="1:12" ht="26.4" x14ac:dyDescent="0.3">
      <c r="A60" s="60"/>
      <c r="B60" s="56"/>
      <c r="C60" s="60"/>
      <c r="D60" s="55" t="s">
        <v>133</v>
      </c>
      <c r="E60" s="82"/>
      <c r="F60" s="62">
        <f t="shared" si="2"/>
        <v>988.59371999999996</v>
      </c>
      <c r="G60" s="62"/>
      <c r="H60" s="62">
        <f>988.59442-0.0007</f>
        <v>988.59371999999996</v>
      </c>
      <c r="I60" s="62"/>
      <c r="J60" s="62"/>
      <c r="K60" s="67"/>
      <c r="L60" s="14"/>
    </row>
    <row r="61" spans="1:12" ht="39.6" x14ac:dyDescent="0.3">
      <c r="A61" s="60"/>
      <c r="B61" s="56"/>
      <c r="C61" s="60"/>
      <c r="D61" s="55" t="s">
        <v>128</v>
      </c>
      <c r="E61" s="82"/>
      <c r="F61" s="62">
        <f t="shared" si="2"/>
        <v>2632.7909200000004</v>
      </c>
      <c r="G61" s="62"/>
      <c r="H61" s="62">
        <f>H62+H63+H64</f>
        <v>1585.9616500000002</v>
      </c>
      <c r="I61" s="62">
        <f>I62+I63+I64</f>
        <v>123.4025</v>
      </c>
      <c r="J61" s="62">
        <f>J62+J63+J64</f>
        <v>923.42677000000003</v>
      </c>
      <c r="K61" s="67"/>
      <c r="L61" s="14"/>
    </row>
    <row r="62" spans="1:12" s="4" customFormat="1" ht="26.4" x14ac:dyDescent="0.3">
      <c r="A62" s="60"/>
      <c r="B62" s="56"/>
      <c r="C62" s="60"/>
      <c r="D62" s="33" t="s">
        <v>134</v>
      </c>
      <c r="E62" s="82"/>
      <c r="F62" s="13">
        <f t="shared" si="2"/>
        <v>636.04795000000001</v>
      </c>
      <c r="G62" s="13"/>
      <c r="H62" s="13">
        <f>262.685+49.9904</f>
        <v>312.67540000000002</v>
      </c>
      <c r="I62" s="13">
        <v>123.4025</v>
      </c>
      <c r="J62" s="13">
        <v>199.97004999999999</v>
      </c>
      <c r="K62" s="13"/>
      <c r="L62" s="34"/>
    </row>
    <row r="63" spans="1:12" s="4" customFormat="1" ht="26.4" x14ac:dyDescent="0.3">
      <c r="A63" s="60"/>
      <c r="B63" s="56"/>
      <c r="C63" s="60"/>
      <c r="D63" s="33" t="s">
        <v>53</v>
      </c>
      <c r="E63" s="82"/>
      <c r="F63" s="13">
        <f t="shared" si="2"/>
        <v>151.59825000000001</v>
      </c>
      <c r="G63" s="13"/>
      <c r="H63" s="13">
        <v>151.59825000000001</v>
      </c>
      <c r="I63" s="13"/>
      <c r="J63" s="13"/>
      <c r="K63" s="13"/>
      <c r="L63" s="34"/>
    </row>
    <row r="64" spans="1:12" s="4" customFormat="1" ht="37.5" customHeight="1" x14ac:dyDescent="0.3">
      <c r="A64" s="60"/>
      <c r="B64" s="56"/>
      <c r="C64" s="60"/>
      <c r="D64" s="33" t="s">
        <v>50</v>
      </c>
      <c r="E64" s="83"/>
      <c r="F64" s="13">
        <f t="shared" si="2"/>
        <v>1845.1447200000002</v>
      </c>
      <c r="G64" s="13"/>
      <c r="H64" s="13">
        <v>1121.6880000000001</v>
      </c>
      <c r="I64" s="13"/>
      <c r="J64" s="13">
        <v>723.45672000000002</v>
      </c>
      <c r="K64" s="13"/>
      <c r="L64" s="34"/>
    </row>
    <row r="65" spans="1:12" x14ac:dyDescent="0.3">
      <c r="A65" s="74" t="s">
        <v>129</v>
      </c>
      <c r="B65" s="75"/>
      <c r="C65" s="75"/>
      <c r="D65" s="75"/>
      <c r="E65" s="76"/>
      <c r="F65" s="62">
        <f>SUM(F56:F61)</f>
        <v>9404.1619199999986</v>
      </c>
      <c r="G65" s="62">
        <f t="shared" ref="G65" si="6">SUM(G56:G61)</f>
        <v>0</v>
      </c>
      <c r="H65" s="62">
        <f>SUM(H56:H61)</f>
        <v>8357.3326500000003</v>
      </c>
      <c r="I65" s="62">
        <f>SUM(I56:I61)</f>
        <v>123.4025</v>
      </c>
      <c r="J65" s="62">
        <f>SUM(J56:J61)</f>
        <v>923.42677000000003</v>
      </c>
      <c r="K65" s="67"/>
      <c r="L65" s="14"/>
    </row>
    <row r="66" spans="1:12" ht="98.25" customHeight="1" x14ac:dyDescent="0.3">
      <c r="A66" s="60" t="s">
        <v>46</v>
      </c>
      <c r="B66" s="56" t="s">
        <v>88</v>
      </c>
      <c r="C66" s="60" t="s">
        <v>89</v>
      </c>
      <c r="D66" s="55" t="s">
        <v>87</v>
      </c>
      <c r="E66" s="55" t="s">
        <v>13</v>
      </c>
      <c r="F66" s="62">
        <f t="shared" si="2"/>
        <v>141</v>
      </c>
      <c r="G66" s="62"/>
      <c r="H66" s="62">
        <v>45</v>
      </c>
      <c r="I66" s="62">
        <v>96</v>
      </c>
      <c r="J66" s="62"/>
      <c r="K66" s="67"/>
      <c r="L66" s="14"/>
    </row>
    <row r="67" spans="1:12" s="2" customFormat="1" ht="83.25" customHeight="1" x14ac:dyDescent="0.3">
      <c r="A67" s="87" t="s">
        <v>47</v>
      </c>
      <c r="B67" s="56" t="s">
        <v>149</v>
      </c>
      <c r="C67" s="60" t="s">
        <v>90</v>
      </c>
      <c r="D67" s="55" t="s">
        <v>40</v>
      </c>
      <c r="E67" s="55" t="s">
        <v>13</v>
      </c>
      <c r="F67" s="62">
        <f t="shared" si="2"/>
        <v>215.75</v>
      </c>
      <c r="G67" s="62"/>
      <c r="H67" s="62">
        <v>215.75</v>
      </c>
      <c r="I67" s="62"/>
      <c r="J67" s="62"/>
      <c r="K67" s="67"/>
    </row>
    <row r="68" spans="1:12" s="2" customFormat="1" ht="116.25" customHeight="1" x14ac:dyDescent="0.3">
      <c r="A68" s="79"/>
      <c r="B68" s="55"/>
      <c r="C68" s="31" t="s">
        <v>109</v>
      </c>
      <c r="D68" s="55" t="s">
        <v>123</v>
      </c>
      <c r="E68" s="55" t="s">
        <v>13</v>
      </c>
      <c r="F68" s="62">
        <f t="shared" si="2"/>
        <v>143.71799999999999</v>
      </c>
      <c r="G68" s="62"/>
      <c r="H68" s="62"/>
      <c r="I68" s="62">
        <v>143.71799999999999</v>
      </c>
      <c r="J68" s="62"/>
      <c r="K68" s="67"/>
    </row>
    <row r="69" spans="1:12" s="2" customFormat="1" ht="80.25" customHeight="1" x14ac:dyDescent="0.3">
      <c r="A69" s="79"/>
      <c r="B69" s="73"/>
      <c r="C69" s="31" t="s">
        <v>188</v>
      </c>
      <c r="D69" s="55" t="s">
        <v>40</v>
      </c>
      <c r="E69" s="55" t="s">
        <v>13</v>
      </c>
      <c r="F69" s="62">
        <f t="shared" si="2"/>
        <v>1668.5371599999999</v>
      </c>
      <c r="G69" s="62"/>
      <c r="H69" s="62"/>
      <c r="I69" s="62">
        <f>268.70412+297.59503+130</f>
        <v>696.29915000000005</v>
      </c>
      <c r="J69" s="62">
        <v>424.83801</v>
      </c>
      <c r="K69" s="67">
        <f>47.4+500</f>
        <v>547.4</v>
      </c>
    </row>
    <row r="70" spans="1:12" s="2" customFormat="1" ht="80.25" customHeight="1" x14ac:dyDescent="0.3">
      <c r="A70" s="79"/>
      <c r="B70" s="71"/>
      <c r="C70" s="31" t="s">
        <v>139</v>
      </c>
      <c r="D70" s="69" t="s">
        <v>104</v>
      </c>
      <c r="E70" s="69" t="s">
        <v>13</v>
      </c>
      <c r="F70" s="70">
        <f t="shared" si="2"/>
        <v>283.64999999999998</v>
      </c>
      <c r="G70" s="70"/>
      <c r="H70" s="70"/>
      <c r="I70" s="70">
        <v>283.64999999999998</v>
      </c>
      <c r="J70" s="70"/>
      <c r="K70" s="70"/>
    </row>
    <row r="71" spans="1:12" s="2" customFormat="1" ht="73.5" customHeight="1" x14ac:dyDescent="0.3">
      <c r="A71" s="79"/>
      <c r="B71" s="57"/>
      <c r="C71" s="31" t="s">
        <v>190</v>
      </c>
      <c r="D71" s="55" t="s">
        <v>104</v>
      </c>
      <c r="E71" s="55" t="s">
        <v>13</v>
      </c>
      <c r="F71" s="62">
        <f t="shared" si="2"/>
        <v>1400</v>
      </c>
      <c r="G71" s="62"/>
      <c r="H71" s="62"/>
      <c r="I71" s="62"/>
      <c r="J71" s="62"/>
      <c r="K71" s="67">
        <v>1400</v>
      </c>
    </row>
    <row r="72" spans="1:12" s="2" customFormat="1" ht="57.75" customHeight="1" x14ac:dyDescent="0.3">
      <c r="A72" s="79"/>
      <c r="B72" s="57"/>
      <c r="C72" s="31" t="s">
        <v>170</v>
      </c>
      <c r="D72" s="55"/>
      <c r="E72" s="55"/>
      <c r="F72" s="62">
        <f>SUM(G72:K72)</f>
        <v>2550</v>
      </c>
      <c r="G72" s="62"/>
      <c r="H72" s="62"/>
      <c r="I72" s="62"/>
      <c r="J72" s="62">
        <f>SUM(J73:J73)</f>
        <v>0</v>
      </c>
      <c r="K72" s="67">
        <f>K73</f>
        <v>2550</v>
      </c>
    </row>
    <row r="73" spans="1:12" s="3" customFormat="1" ht="96.6" customHeight="1" x14ac:dyDescent="0.3">
      <c r="A73" s="79"/>
      <c r="B73" s="57"/>
      <c r="C73" s="44" t="s">
        <v>191</v>
      </c>
      <c r="D73" s="55" t="s">
        <v>174</v>
      </c>
      <c r="E73" s="55" t="s">
        <v>13</v>
      </c>
      <c r="F73" s="13">
        <f t="shared" ref="F73" si="7">SUM(G73:K73)</f>
        <v>2550</v>
      </c>
      <c r="G73" s="13"/>
      <c r="H73" s="13"/>
      <c r="I73" s="13"/>
      <c r="J73" s="13">
        <v>0</v>
      </c>
      <c r="K73" s="13">
        <f>550+2000</f>
        <v>2550</v>
      </c>
    </row>
    <row r="74" spans="1:12" s="2" customFormat="1" x14ac:dyDescent="0.3">
      <c r="A74" s="86" t="s">
        <v>111</v>
      </c>
      <c r="B74" s="86"/>
      <c r="C74" s="86"/>
      <c r="D74" s="86"/>
      <c r="E74" s="86"/>
      <c r="F74" s="62">
        <f>F67+F68+F69+F70+F71+F72</f>
        <v>6261.6551600000003</v>
      </c>
      <c r="G74" s="62">
        <f>G67+G68+G69+G70+G71+G72</f>
        <v>0</v>
      </c>
      <c r="H74" s="70">
        <f t="shared" ref="H74:K74" si="8">H67+H68+H69+H70+H71+H72</f>
        <v>215.75</v>
      </c>
      <c r="I74" s="70">
        <f t="shared" si="8"/>
        <v>1123.66715</v>
      </c>
      <c r="J74" s="70">
        <f t="shared" si="8"/>
        <v>424.83801</v>
      </c>
      <c r="K74" s="70">
        <f t="shared" si="8"/>
        <v>4497.3999999999996</v>
      </c>
    </row>
    <row r="75" spans="1:12" s="2" customFormat="1" ht="26.4" x14ac:dyDescent="0.3">
      <c r="A75" s="77" t="s">
        <v>48</v>
      </c>
      <c r="B75" s="78" t="s">
        <v>151</v>
      </c>
      <c r="C75" s="77" t="s">
        <v>175</v>
      </c>
      <c r="D75" s="55" t="s">
        <v>31</v>
      </c>
      <c r="E75" s="55" t="s">
        <v>13</v>
      </c>
      <c r="F75" s="62">
        <f t="shared" si="2"/>
        <v>5056.6930000000002</v>
      </c>
      <c r="G75" s="62"/>
      <c r="H75" s="62">
        <f>5257.958-1169+96.6+7009.973-10149.631</f>
        <v>1045.8999999999996</v>
      </c>
      <c r="I75" s="62">
        <f>10141.431-6130.638</f>
        <v>4010.7930000000006</v>
      </c>
      <c r="J75" s="62"/>
      <c r="K75" s="67"/>
    </row>
    <row r="76" spans="1:12" s="2" customFormat="1" ht="106.5" customHeight="1" x14ac:dyDescent="0.3">
      <c r="A76" s="77"/>
      <c r="B76" s="78"/>
      <c r="C76" s="77"/>
      <c r="D76" s="55" t="s">
        <v>115</v>
      </c>
      <c r="E76" s="55" t="s">
        <v>13</v>
      </c>
      <c r="F76" s="62">
        <f t="shared" si="2"/>
        <v>112.97200000000001</v>
      </c>
      <c r="G76" s="62"/>
      <c r="H76" s="62">
        <f>49-28.028</f>
        <v>20.972000000000001</v>
      </c>
      <c r="I76" s="62"/>
      <c r="J76" s="62">
        <v>92</v>
      </c>
      <c r="K76" s="67"/>
    </row>
    <row r="77" spans="1:12" s="2" customFormat="1" ht="78" customHeight="1" x14ac:dyDescent="0.3">
      <c r="A77" s="60"/>
      <c r="B77" s="56"/>
      <c r="C77" s="60"/>
      <c r="D77" s="55" t="s">
        <v>116</v>
      </c>
      <c r="E77" s="55" t="s">
        <v>13</v>
      </c>
      <c r="F77" s="62">
        <f t="shared" si="2"/>
        <v>34.299999999999997</v>
      </c>
      <c r="G77" s="62"/>
      <c r="H77" s="62">
        <f>35-0.7</f>
        <v>34.299999999999997</v>
      </c>
      <c r="I77" s="62"/>
      <c r="J77" s="62"/>
      <c r="K77" s="67"/>
    </row>
    <row r="78" spans="1:12" s="2" customFormat="1" ht="39.6" x14ac:dyDescent="0.3">
      <c r="A78" s="60"/>
      <c r="B78" s="56"/>
      <c r="C78" s="60"/>
      <c r="D78" s="55" t="s">
        <v>105</v>
      </c>
      <c r="E78" s="55" t="s">
        <v>13</v>
      </c>
      <c r="F78" s="62">
        <f t="shared" si="2"/>
        <v>1104.39528</v>
      </c>
      <c r="G78" s="62"/>
      <c r="H78" s="62">
        <v>573.62248</v>
      </c>
      <c r="I78" s="62">
        <v>530.77279999999996</v>
      </c>
      <c r="J78" s="38"/>
      <c r="K78" s="67"/>
    </row>
    <row r="79" spans="1:12" s="2" customFormat="1" ht="39.6" x14ac:dyDescent="0.3">
      <c r="A79" s="60"/>
      <c r="B79" s="56"/>
      <c r="C79" s="60"/>
      <c r="D79" s="55" t="s">
        <v>49</v>
      </c>
      <c r="E79" s="77" t="s">
        <v>13</v>
      </c>
      <c r="F79" s="62">
        <f>G79+H79+I79+J79+K79</f>
        <v>1348.8074700000002</v>
      </c>
      <c r="G79" s="62"/>
      <c r="H79" s="62">
        <f>H81+H82+H83+H84</f>
        <v>957.57356000000004</v>
      </c>
      <c r="I79" s="62">
        <f>I81+I82+I83+I84</f>
        <v>391.23391000000004</v>
      </c>
      <c r="J79" s="62"/>
      <c r="K79" s="67"/>
    </row>
    <row r="80" spans="1:12" s="2" customFormat="1" x14ac:dyDescent="0.3">
      <c r="A80" s="60"/>
      <c r="B80" s="56"/>
      <c r="C80" s="60"/>
      <c r="D80" s="55" t="s">
        <v>91</v>
      </c>
      <c r="E80" s="77"/>
      <c r="F80" s="62"/>
      <c r="G80" s="62"/>
      <c r="H80" s="62"/>
      <c r="I80" s="62"/>
      <c r="J80" s="62"/>
      <c r="K80" s="67"/>
    </row>
    <row r="81" spans="1:12" s="3" customFormat="1" ht="49.5" customHeight="1" x14ac:dyDescent="0.3">
      <c r="A81" s="60"/>
      <c r="B81" s="56"/>
      <c r="C81" s="60"/>
      <c r="D81" s="55" t="s">
        <v>50</v>
      </c>
      <c r="E81" s="81" t="s">
        <v>13</v>
      </c>
      <c r="F81" s="13">
        <f t="shared" ref="F81" si="9">G81+H81+I81+J81+K81</f>
        <v>101</v>
      </c>
      <c r="G81" s="13"/>
      <c r="H81" s="13">
        <f>101+200-200</f>
        <v>101</v>
      </c>
      <c r="I81" s="13"/>
      <c r="J81" s="13"/>
      <c r="K81" s="13"/>
    </row>
    <row r="82" spans="1:12" s="3" customFormat="1" ht="48" customHeight="1" x14ac:dyDescent="0.3">
      <c r="A82" s="60"/>
      <c r="B82" s="56"/>
      <c r="C82" s="60"/>
      <c r="D82" s="55" t="s">
        <v>51</v>
      </c>
      <c r="E82" s="82"/>
      <c r="F82" s="13">
        <f>G82+H82+I82+J82+K82</f>
        <v>174.99</v>
      </c>
      <c r="G82" s="13"/>
      <c r="H82" s="13">
        <f>100+200-200-0.01</f>
        <v>99.99</v>
      </c>
      <c r="I82" s="13">
        <v>75</v>
      </c>
      <c r="J82" s="13"/>
      <c r="K82" s="13"/>
    </row>
    <row r="83" spans="1:12" s="3" customFormat="1" ht="43.5" customHeight="1" x14ac:dyDescent="0.3">
      <c r="A83" s="60"/>
      <c r="B83" s="56"/>
      <c r="C83" s="60"/>
      <c r="D83" s="55" t="s">
        <v>52</v>
      </c>
      <c r="E83" s="82"/>
      <c r="F83" s="13">
        <f t="shared" ref="F83" si="10">G83+H83+I83+J83+K83</f>
        <v>773.01747</v>
      </c>
      <c r="G83" s="13"/>
      <c r="H83" s="13">
        <f>176.84356+279.94</f>
        <v>456.78355999999997</v>
      </c>
      <c r="I83" s="13">
        <f>498.60068+37.5-37.5-182.36677</f>
        <v>316.23391000000004</v>
      </c>
      <c r="J83" s="13"/>
      <c r="K83" s="13"/>
    </row>
    <row r="84" spans="1:12" s="3" customFormat="1" ht="45" customHeight="1" x14ac:dyDescent="0.3">
      <c r="A84" s="60"/>
      <c r="B84" s="56"/>
      <c r="C84" s="60"/>
      <c r="D84" s="55" t="s">
        <v>53</v>
      </c>
      <c r="E84" s="83"/>
      <c r="F84" s="13">
        <f t="shared" si="2"/>
        <v>299.8</v>
      </c>
      <c r="G84" s="13"/>
      <c r="H84" s="13">
        <v>299.8</v>
      </c>
      <c r="I84" s="13"/>
      <c r="J84" s="13"/>
      <c r="K84" s="13"/>
    </row>
    <row r="85" spans="1:12" s="3" customFormat="1" ht="70.5" customHeight="1" x14ac:dyDescent="0.3">
      <c r="A85" s="60"/>
      <c r="B85" s="56"/>
      <c r="C85" s="56" t="s">
        <v>152</v>
      </c>
      <c r="D85" s="55" t="s">
        <v>150</v>
      </c>
      <c r="E85" s="55" t="s">
        <v>13</v>
      </c>
      <c r="F85" s="62">
        <f t="shared" si="2"/>
        <v>122.20583000000001</v>
      </c>
      <c r="G85" s="62"/>
      <c r="H85" s="62"/>
      <c r="I85" s="62"/>
      <c r="J85" s="62">
        <v>122.20583000000001</v>
      </c>
      <c r="K85" s="67"/>
    </row>
    <row r="86" spans="1:12" s="3" customFormat="1" ht="79.2" x14ac:dyDescent="0.3">
      <c r="A86" s="60"/>
      <c r="B86" s="56"/>
      <c r="C86" s="31" t="s">
        <v>92</v>
      </c>
      <c r="D86" s="55" t="s">
        <v>106</v>
      </c>
      <c r="E86" s="55" t="s">
        <v>13</v>
      </c>
      <c r="F86" s="62">
        <f t="shared" si="2"/>
        <v>135.14657</v>
      </c>
      <c r="G86" s="62"/>
      <c r="H86" s="62">
        <f>200-200</f>
        <v>0</v>
      </c>
      <c r="I86" s="62">
        <v>46.938569999999999</v>
      </c>
      <c r="J86" s="62">
        <v>8.2080000000000002</v>
      </c>
      <c r="K86" s="67">
        <v>80</v>
      </c>
    </row>
    <row r="87" spans="1:12" s="3" customFormat="1" ht="104.25" customHeight="1" x14ac:dyDescent="0.3">
      <c r="A87" s="60"/>
      <c r="B87" s="56"/>
      <c r="C87" s="31" t="s">
        <v>93</v>
      </c>
      <c r="D87" s="55" t="s">
        <v>106</v>
      </c>
      <c r="E87" s="55" t="s">
        <v>13</v>
      </c>
      <c r="F87" s="62">
        <f t="shared" si="2"/>
        <v>165</v>
      </c>
      <c r="G87" s="62"/>
      <c r="H87" s="62">
        <f>165-165</f>
        <v>0</v>
      </c>
      <c r="I87" s="62">
        <v>165</v>
      </c>
      <c r="J87" s="62"/>
      <c r="K87" s="67"/>
    </row>
    <row r="88" spans="1:12" s="3" customFormat="1" ht="66" x14ac:dyDescent="0.3">
      <c r="A88" s="60"/>
      <c r="B88" s="56"/>
      <c r="C88" s="31" t="s">
        <v>94</v>
      </c>
      <c r="D88" s="55" t="s">
        <v>110</v>
      </c>
      <c r="E88" s="55" t="s">
        <v>13</v>
      </c>
      <c r="F88" s="62">
        <f>SUM(G88:K88)</f>
        <v>199</v>
      </c>
      <c r="G88" s="62"/>
      <c r="H88" s="62"/>
      <c r="I88" s="62">
        <v>199</v>
      </c>
      <c r="J88" s="62"/>
      <c r="K88" s="67"/>
    </row>
    <row r="89" spans="1:12" s="3" customFormat="1" x14ac:dyDescent="0.3">
      <c r="A89" s="74" t="s">
        <v>54</v>
      </c>
      <c r="B89" s="75"/>
      <c r="C89" s="75"/>
      <c r="D89" s="75"/>
      <c r="E89" s="76"/>
      <c r="F89" s="62">
        <f>F75+F76+F77+F78+F79+F85+F86+F87+F88</f>
        <v>8278.5201500000003</v>
      </c>
      <c r="G89" s="62">
        <f>G75+G76+G77+G78+G79+G85+G86+G87+G88</f>
        <v>0</v>
      </c>
      <c r="H89" s="62">
        <f t="shared" ref="H89:K89" si="11">H75+H76+H77+H78+H79+H85+H86+H87+H88</f>
        <v>2632.3680399999994</v>
      </c>
      <c r="I89" s="62">
        <f t="shared" si="11"/>
        <v>5343.7382800000005</v>
      </c>
      <c r="J89" s="62">
        <f>J75+J76+J77+J78+J79+J85+J86+J87+J88</f>
        <v>222.41382999999999</v>
      </c>
      <c r="K89" s="67">
        <f t="shared" si="11"/>
        <v>80</v>
      </c>
    </row>
    <row r="90" spans="1:12" s="3" customFormat="1" ht="81.75" customHeight="1" x14ac:dyDescent="0.3">
      <c r="A90" s="84" t="s">
        <v>55</v>
      </c>
      <c r="B90" s="56" t="s">
        <v>56</v>
      </c>
      <c r="C90" s="55" t="s">
        <v>57</v>
      </c>
      <c r="D90" s="55" t="s">
        <v>58</v>
      </c>
      <c r="E90" s="60" t="s">
        <v>13</v>
      </c>
      <c r="F90" s="62">
        <f t="shared" si="2"/>
        <v>217.05</v>
      </c>
      <c r="G90" s="62"/>
      <c r="H90" s="62">
        <f>116.5-13.45</f>
        <v>103.05</v>
      </c>
      <c r="I90" s="62">
        <v>30</v>
      </c>
      <c r="J90" s="62">
        <v>42</v>
      </c>
      <c r="K90" s="67">
        <v>42</v>
      </c>
    </row>
    <row r="91" spans="1:12" s="3" customFormat="1" ht="66" x14ac:dyDescent="0.3">
      <c r="A91" s="84"/>
      <c r="B91" s="56"/>
      <c r="C91" s="55"/>
      <c r="D91" s="55" t="s">
        <v>27</v>
      </c>
      <c r="E91" s="60"/>
      <c r="F91" s="62">
        <f t="shared" si="2"/>
        <v>82.5</v>
      </c>
      <c r="G91" s="62"/>
      <c r="H91" s="62"/>
      <c r="I91" s="62">
        <v>22.5</v>
      </c>
      <c r="J91" s="62">
        <v>30</v>
      </c>
      <c r="K91" s="67">
        <v>30</v>
      </c>
    </row>
    <row r="92" spans="1:12" s="3" customFormat="1" x14ac:dyDescent="0.3">
      <c r="A92" s="84"/>
      <c r="B92" s="56"/>
      <c r="C92" s="77" t="s">
        <v>59</v>
      </c>
      <c r="D92" s="77"/>
      <c r="E92" s="55"/>
      <c r="F92" s="62">
        <f>F90+F91</f>
        <v>299.55</v>
      </c>
      <c r="G92" s="62">
        <f>G90+G91</f>
        <v>0</v>
      </c>
      <c r="H92" s="62">
        <f t="shared" ref="H92:K92" si="12">H90+H91</f>
        <v>103.05</v>
      </c>
      <c r="I92" s="62">
        <f t="shared" si="12"/>
        <v>52.5</v>
      </c>
      <c r="J92" s="62">
        <f t="shared" si="12"/>
        <v>72</v>
      </c>
      <c r="K92" s="67">
        <f t="shared" si="12"/>
        <v>72</v>
      </c>
    </row>
    <row r="93" spans="1:12" s="3" customFormat="1" ht="78.75" customHeight="1" x14ac:dyDescent="0.3">
      <c r="A93" s="60" t="s">
        <v>60</v>
      </c>
      <c r="B93" s="56" t="s">
        <v>95</v>
      </c>
      <c r="C93" s="56" t="s">
        <v>61</v>
      </c>
      <c r="D93" s="55" t="s">
        <v>27</v>
      </c>
      <c r="E93" s="55" t="s">
        <v>13</v>
      </c>
      <c r="F93" s="62">
        <f t="shared" ref="F93:F105" si="13">G93+H93+I93+J93+K93</f>
        <v>105.816</v>
      </c>
      <c r="G93" s="62"/>
      <c r="H93" s="62">
        <v>99.42</v>
      </c>
      <c r="I93" s="62">
        <v>6.3959999999999999</v>
      </c>
      <c r="J93" s="62"/>
      <c r="K93" s="67"/>
    </row>
    <row r="94" spans="1:12" s="3" customFormat="1" ht="66" x14ac:dyDescent="0.3">
      <c r="A94" s="60" t="s">
        <v>62</v>
      </c>
      <c r="B94" s="56" t="s">
        <v>63</v>
      </c>
      <c r="C94" s="56" t="s">
        <v>64</v>
      </c>
      <c r="D94" s="55" t="s">
        <v>65</v>
      </c>
      <c r="E94" s="55" t="s">
        <v>13</v>
      </c>
      <c r="F94" s="62">
        <f t="shared" si="13"/>
        <v>113.21601000000003</v>
      </c>
      <c r="G94" s="62"/>
      <c r="H94" s="62">
        <f>448.607-443.233</f>
        <v>5.3740000000000236</v>
      </c>
      <c r="I94" s="62">
        <v>107.84201</v>
      </c>
      <c r="J94" s="62"/>
      <c r="K94" s="67"/>
      <c r="L94" s="15"/>
    </row>
    <row r="95" spans="1:12" s="3" customFormat="1" ht="26.4" x14ac:dyDescent="0.3">
      <c r="A95" s="77" t="s">
        <v>66</v>
      </c>
      <c r="B95" s="78" t="s">
        <v>67</v>
      </c>
      <c r="C95" s="56" t="s">
        <v>68</v>
      </c>
      <c r="D95" s="77" t="s">
        <v>69</v>
      </c>
      <c r="E95" s="77" t="s">
        <v>13</v>
      </c>
      <c r="F95" s="62">
        <f t="shared" si="13"/>
        <v>946</v>
      </c>
      <c r="G95" s="62"/>
      <c r="H95" s="62">
        <v>946</v>
      </c>
      <c r="I95" s="62"/>
      <c r="J95" s="62"/>
      <c r="K95" s="67"/>
    </row>
    <row r="96" spans="1:12" s="3" customFormat="1" ht="79.2" x14ac:dyDescent="0.3">
      <c r="A96" s="77"/>
      <c r="B96" s="78"/>
      <c r="C96" s="56" t="s">
        <v>70</v>
      </c>
      <c r="D96" s="77"/>
      <c r="E96" s="77"/>
      <c r="F96" s="62">
        <f t="shared" si="13"/>
        <v>1215.1189999999999</v>
      </c>
      <c r="G96" s="62"/>
      <c r="H96" s="62">
        <f>1215.12-767.443</f>
        <v>447.67699999999991</v>
      </c>
      <c r="I96" s="62">
        <f>703.114+64.328</f>
        <v>767.44200000000001</v>
      </c>
      <c r="J96" s="62"/>
      <c r="K96" s="67"/>
    </row>
    <row r="97" spans="1:11" s="3" customFormat="1" ht="69.75" customHeight="1" x14ac:dyDescent="0.3">
      <c r="A97" s="77"/>
      <c r="B97" s="56"/>
      <c r="C97" s="56" t="s">
        <v>71</v>
      </c>
      <c r="D97" s="60"/>
      <c r="E97" s="60"/>
      <c r="F97" s="62">
        <f t="shared" si="13"/>
        <v>141.17389</v>
      </c>
      <c r="G97" s="62"/>
      <c r="H97" s="62">
        <v>100.4</v>
      </c>
      <c r="I97" s="62">
        <v>40.773890000000002</v>
      </c>
      <c r="J97" s="62"/>
      <c r="K97" s="67"/>
    </row>
    <row r="98" spans="1:11" s="3" customFormat="1" ht="42" customHeight="1" x14ac:dyDescent="0.3">
      <c r="A98" s="77"/>
      <c r="B98" s="56"/>
      <c r="C98" s="56" t="s">
        <v>72</v>
      </c>
      <c r="D98" s="60"/>
      <c r="E98" s="60"/>
      <c r="F98" s="62">
        <f t="shared" si="13"/>
        <v>37</v>
      </c>
      <c r="G98" s="62"/>
      <c r="H98" s="62">
        <v>37</v>
      </c>
      <c r="I98" s="62"/>
      <c r="J98" s="62"/>
      <c r="K98" s="67"/>
    </row>
    <row r="99" spans="1:11" s="3" customFormat="1" ht="62.25" customHeight="1" x14ac:dyDescent="0.3">
      <c r="A99" s="81"/>
      <c r="B99" s="56"/>
      <c r="C99" s="56" t="s">
        <v>73</v>
      </c>
      <c r="D99" s="55"/>
      <c r="E99" s="60"/>
      <c r="F99" s="62">
        <f t="shared" si="13"/>
        <v>670</v>
      </c>
      <c r="G99" s="62"/>
      <c r="H99" s="62"/>
      <c r="I99" s="62">
        <v>670</v>
      </c>
      <c r="J99" s="62"/>
      <c r="K99" s="67"/>
    </row>
    <row r="100" spans="1:11" s="3" customFormat="1" ht="71.25" customHeight="1" x14ac:dyDescent="0.3">
      <c r="A100" s="82"/>
      <c r="B100" s="58"/>
      <c r="C100" s="56" t="s">
        <v>173</v>
      </c>
      <c r="D100" s="55"/>
      <c r="E100" s="60"/>
      <c r="F100" s="62">
        <f t="shared" si="13"/>
        <v>252.5</v>
      </c>
      <c r="G100" s="62"/>
      <c r="H100" s="62"/>
      <c r="I100" s="62"/>
      <c r="J100" s="62">
        <f>270-17.5</f>
        <v>252.5</v>
      </c>
      <c r="K100" s="67"/>
    </row>
    <row r="101" spans="1:11" s="3" customFormat="1" ht="54" customHeight="1" x14ac:dyDescent="0.3">
      <c r="A101" s="82"/>
      <c r="B101" s="58"/>
      <c r="C101" s="56" t="s">
        <v>165</v>
      </c>
      <c r="D101" s="55"/>
      <c r="E101" s="60"/>
      <c r="F101" s="62">
        <f t="shared" si="13"/>
        <v>420</v>
      </c>
      <c r="G101" s="62"/>
      <c r="H101" s="62"/>
      <c r="I101" s="62"/>
      <c r="J101" s="62">
        <v>420</v>
      </c>
      <c r="K101" s="67"/>
    </row>
    <row r="102" spans="1:11" s="3" customFormat="1" ht="81" customHeight="1" x14ac:dyDescent="0.3">
      <c r="A102" s="83"/>
      <c r="B102" s="58"/>
      <c r="C102" s="32" t="s">
        <v>102</v>
      </c>
      <c r="D102" s="60"/>
      <c r="E102" s="60"/>
      <c r="F102" s="62">
        <f t="shared" si="13"/>
        <v>201.6</v>
      </c>
      <c r="G102" s="62"/>
      <c r="H102" s="62"/>
      <c r="I102" s="62">
        <v>201.6</v>
      </c>
      <c r="J102" s="62"/>
      <c r="K102" s="67"/>
    </row>
    <row r="103" spans="1:11" s="3" customFormat="1" ht="65.25" customHeight="1" x14ac:dyDescent="0.3">
      <c r="A103" s="45"/>
      <c r="B103" s="56"/>
      <c r="C103" s="32" t="s">
        <v>176</v>
      </c>
      <c r="D103" s="60"/>
      <c r="E103" s="60"/>
      <c r="F103" s="62">
        <f t="shared" si="13"/>
        <v>0</v>
      </c>
      <c r="G103" s="62"/>
      <c r="H103" s="62"/>
      <c r="I103" s="62"/>
      <c r="J103" s="62">
        <v>0</v>
      </c>
      <c r="K103" s="67"/>
    </row>
    <row r="104" spans="1:11" s="3" customFormat="1" ht="39.6" x14ac:dyDescent="0.3">
      <c r="A104" s="45"/>
      <c r="B104" s="56"/>
      <c r="C104" s="32" t="s">
        <v>177</v>
      </c>
      <c r="D104" s="60"/>
      <c r="E104" s="60"/>
      <c r="F104" s="62">
        <f t="shared" si="13"/>
        <v>0</v>
      </c>
      <c r="G104" s="62"/>
      <c r="H104" s="62"/>
      <c r="I104" s="62"/>
      <c r="J104" s="62">
        <v>0</v>
      </c>
      <c r="K104" s="67"/>
    </row>
    <row r="105" spans="1:11" s="3" customFormat="1" ht="39.6" x14ac:dyDescent="0.3">
      <c r="A105" s="45"/>
      <c r="B105" s="56"/>
      <c r="C105" s="32" t="s">
        <v>178</v>
      </c>
      <c r="D105" s="60"/>
      <c r="E105" s="60"/>
      <c r="F105" s="62">
        <f t="shared" si="13"/>
        <v>0</v>
      </c>
      <c r="G105" s="62"/>
      <c r="H105" s="62"/>
      <c r="I105" s="62"/>
      <c r="J105" s="62">
        <v>0</v>
      </c>
      <c r="K105" s="67"/>
    </row>
    <row r="106" spans="1:11" s="3" customFormat="1" x14ac:dyDescent="0.3">
      <c r="A106" s="74" t="s">
        <v>74</v>
      </c>
      <c r="B106" s="75"/>
      <c r="C106" s="75"/>
      <c r="D106" s="75"/>
      <c r="E106" s="76"/>
      <c r="F106" s="62">
        <f>F95+F96+F97+F98+F99+F100+F101+F102+F103+F104+F105</f>
        <v>3883.3928899999996</v>
      </c>
      <c r="G106" s="62">
        <f t="shared" ref="G106:I106" si="14">G95+G96+G97+G98+G99+G100+G101+G102+G103+G104+G105</f>
        <v>0</v>
      </c>
      <c r="H106" s="62">
        <f t="shared" si="14"/>
        <v>1531.077</v>
      </c>
      <c r="I106" s="62">
        <f t="shared" si="14"/>
        <v>1679.8158899999999</v>
      </c>
      <c r="J106" s="62">
        <f>J95+J96+J97+J98+J99+J100+J101+J102+J103+J104+J105</f>
        <v>672.5</v>
      </c>
      <c r="K106" s="67">
        <f>K95+K96+K97+K98+K99+K100+K101+K102+K103+K104+K105</f>
        <v>0</v>
      </c>
    </row>
    <row r="107" spans="1:11" s="4" customFormat="1" ht="66" x14ac:dyDescent="0.3">
      <c r="A107" s="81" t="s">
        <v>75</v>
      </c>
      <c r="B107" s="56" t="s">
        <v>124</v>
      </c>
      <c r="C107" s="56" t="s">
        <v>76</v>
      </c>
      <c r="D107" s="55" t="s">
        <v>27</v>
      </c>
      <c r="E107" s="55" t="s">
        <v>13</v>
      </c>
      <c r="F107" s="62">
        <f>G107+H107+I107+J107+K107</f>
        <v>119.94</v>
      </c>
      <c r="G107" s="62"/>
      <c r="H107" s="62">
        <v>119.94</v>
      </c>
      <c r="I107" s="62"/>
      <c r="J107" s="62"/>
      <c r="K107" s="67"/>
    </row>
    <row r="108" spans="1:11" s="4" customFormat="1" ht="66" x14ac:dyDescent="0.3">
      <c r="A108" s="82"/>
      <c r="B108" s="79"/>
      <c r="C108" s="56" t="s">
        <v>77</v>
      </c>
      <c r="D108" s="55" t="s">
        <v>78</v>
      </c>
      <c r="E108" s="55" t="s">
        <v>13</v>
      </c>
      <c r="F108" s="62">
        <f>G108+H108+I108+J108+K108</f>
        <v>1059.9999999999998</v>
      </c>
      <c r="G108" s="62"/>
      <c r="H108" s="62">
        <f>3000.2-1940.2</f>
        <v>1059.9999999999998</v>
      </c>
      <c r="I108" s="62"/>
      <c r="J108" s="62"/>
      <c r="K108" s="67"/>
    </row>
    <row r="109" spans="1:11" s="4" customFormat="1" ht="95.25" customHeight="1" x14ac:dyDescent="0.3">
      <c r="A109" s="83"/>
      <c r="B109" s="80"/>
      <c r="C109" s="56" t="s">
        <v>135</v>
      </c>
      <c r="D109" s="55" t="s">
        <v>78</v>
      </c>
      <c r="E109" s="55" t="s">
        <v>13</v>
      </c>
      <c r="F109" s="62">
        <f>G109+H109+I109+J109+K109</f>
        <v>764.97302999999999</v>
      </c>
      <c r="G109" s="62"/>
      <c r="H109" s="62"/>
      <c r="I109" s="62">
        <v>764.97302999999999</v>
      </c>
      <c r="J109" s="62"/>
      <c r="K109" s="67"/>
    </row>
    <row r="110" spans="1:11" s="4" customFormat="1" x14ac:dyDescent="0.3">
      <c r="A110" s="74" t="s">
        <v>79</v>
      </c>
      <c r="B110" s="75"/>
      <c r="C110" s="75"/>
      <c r="D110" s="75"/>
      <c r="E110" s="76"/>
      <c r="F110" s="62">
        <f>G110+H110+I110+J110+K110</f>
        <v>1944.9130299999997</v>
      </c>
      <c r="G110" s="62">
        <f>G107+G108+G109</f>
        <v>0</v>
      </c>
      <c r="H110" s="62">
        <f>H107+H108+H109</f>
        <v>1179.9399999999998</v>
      </c>
      <c r="I110" s="62">
        <f t="shared" ref="I110:K110" si="15">I107+I108+I109</f>
        <v>764.97302999999999</v>
      </c>
      <c r="J110" s="62">
        <f t="shared" si="15"/>
        <v>0</v>
      </c>
      <c r="K110" s="67">
        <f t="shared" si="15"/>
        <v>0</v>
      </c>
    </row>
    <row r="111" spans="1:11" s="4" customFormat="1" ht="25.5" customHeight="1" x14ac:dyDescent="0.3">
      <c r="A111" s="77" t="s">
        <v>80</v>
      </c>
      <c r="B111" s="81" t="s">
        <v>169</v>
      </c>
      <c r="C111" s="81" t="s">
        <v>126</v>
      </c>
      <c r="D111" s="55" t="s">
        <v>58</v>
      </c>
      <c r="E111" s="81" t="s">
        <v>13</v>
      </c>
      <c r="F111" s="62">
        <f t="shared" ref="F111:F119" si="16">SUM(G111:K111)</f>
        <v>84.150800000000004</v>
      </c>
      <c r="G111" s="62"/>
      <c r="H111" s="62"/>
      <c r="I111" s="62">
        <v>84.150800000000004</v>
      </c>
      <c r="J111" s="62"/>
      <c r="K111" s="67"/>
    </row>
    <row r="112" spans="1:11" s="4" customFormat="1" ht="66" x14ac:dyDescent="0.3">
      <c r="A112" s="77"/>
      <c r="B112" s="82"/>
      <c r="C112" s="82"/>
      <c r="D112" s="55" t="s">
        <v>27</v>
      </c>
      <c r="E112" s="82"/>
      <c r="F112" s="62">
        <f t="shared" si="16"/>
        <v>204.72230000000002</v>
      </c>
      <c r="G112" s="62"/>
      <c r="H112" s="62"/>
      <c r="I112" s="62">
        <f>33.64394+171.07836</f>
        <v>204.72230000000002</v>
      </c>
      <c r="J112" s="62">
        <v>0</v>
      </c>
      <c r="K112" s="67"/>
    </row>
    <row r="113" spans="1:12" s="4" customFormat="1" ht="26.4" x14ac:dyDescent="0.3">
      <c r="A113" s="77"/>
      <c r="B113" s="82"/>
      <c r="C113" s="82"/>
      <c r="D113" s="55" t="s">
        <v>104</v>
      </c>
      <c r="E113" s="82"/>
      <c r="F113" s="62">
        <f t="shared" si="16"/>
        <v>429.98900000000003</v>
      </c>
      <c r="G113" s="62"/>
      <c r="H113" s="62"/>
      <c r="I113" s="62">
        <f>43.467+76.512+110.01</f>
        <v>229.989</v>
      </c>
      <c r="J113" s="62"/>
      <c r="K113" s="67">
        <v>200</v>
      </c>
    </row>
    <row r="114" spans="1:12" s="4" customFormat="1" ht="66" x14ac:dyDescent="0.3">
      <c r="A114" s="77"/>
      <c r="B114" s="82"/>
      <c r="C114" s="82"/>
      <c r="D114" s="55" t="s">
        <v>117</v>
      </c>
      <c r="E114" s="82"/>
      <c r="F114" s="62">
        <f t="shared" si="16"/>
        <v>6.6816000000000004</v>
      </c>
      <c r="G114" s="62"/>
      <c r="H114" s="62"/>
      <c r="I114" s="62">
        <v>6.6816000000000004</v>
      </c>
      <c r="J114" s="62"/>
      <c r="K114" s="67"/>
    </row>
    <row r="115" spans="1:12" s="4" customFormat="1" ht="66" x14ac:dyDescent="0.3">
      <c r="A115" s="77"/>
      <c r="B115" s="83"/>
      <c r="C115" s="83"/>
      <c r="D115" s="55" t="s">
        <v>78</v>
      </c>
      <c r="E115" s="83"/>
      <c r="F115" s="62">
        <f t="shared" si="16"/>
        <v>47.464500000000001</v>
      </c>
      <c r="G115" s="62"/>
      <c r="H115" s="62"/>
      <c r="I115" s="62">
        <v>41.299399999999999</v>
      </c>
      <c r="J115" s="62">
        <v>6.1650999999999998</v>
      </c>
      <c r="K115" s="67"/>
    </row>
    <row r="116" spans="1:12" s="4" customFormat="1" ht="52.8" x14ac:dyDescent="0.3">
      <c r="A116" s="77"/>
      <c r="B116" s="60"/>
      <c r="C116" s="60"/>
      <c r="D116" s="55" t="s">
        <v>118</v>
      </c>
      <c r="E116" s="60"/>
      <c r="F116" s="62">
        <f t="shared" si="16"/>
        <v>0</v>
      </c>
      <c r="G116" s="62"/>
      <c r="H116" s="62"/>
      <c r="I116" s="62"/>
      <c r="J116" s="62"/>
      <c r="K116" s="67"/>
    </row>
    <row r="117" spans="1:12" s="4" customFormat="1" ht="52.8" x14ac:dyDescent="0.3">
      <c r="A117" s="77"/>
      <c r="B117" s="56"/>
      <c r="C117" s="60"/>
      <c r="D117" s="55" t="s">
        <v>119</v>
      </c>
      <c r="E117" s="60"/>
      <c r="F117" s="62">
        <f t="shared" si="16"/>
        <v>46.623699999999999</v>
      </c>
      <c r="G117" s="62"/>
      <c r="H117" s="62"/>
      <c r="I117" s="62">
        <v>16.806699999999999</v>
      </c>
      <c r="J117" s="62">
        <v>16.817</v>
      </c>
      <c r="K117" s="67">
        <f>13</f>
        <v>13</v>
      </c>
    </row>
    <row r="118" spans="1:12" s="4" customFormat="1" ht="52.8" x14ac:dyDescent="0.3">
      <c r="A118" s="60"/>
      <c r="B118" s="56"/>
      <c r="C118" s="60"/>
      <c r="D118" s="55" t="s">
        <v>120</v>
      </c>
      <c r="E118" s="60"/>
      <c r="F118" s="62">
        <f t="shared" si="16"/>
        <v>0</v>
      </c>
      <c r="G118" s="62"/>
      <c r="H118" s="62"/>
      <c r="I118" s="62"/>
      <c r="J118" s="62"/>
      <c r="K118" s="67"/>
    </row>
    <row r="119" spans="1:12" s="4" customFormat="1" ht="52.8" x14ac:dyDescent="0.3">
      <c r="A119" s="60"/>
      <c r="B119" s="56"/>
      <c r="C119" s="60"/>
      <c r="D119" s="55" t="s">
        <v>121</v>
      </c>
      <c r="E119" s="60"/>
      <c r="F119" s="62">
        <f t="shared" si="16"/>
        <v>16.806699999999999</v>
      </c>
      <c r="G119" s="62"/>
      <c r="H119" s="62"/>
      <c r="I119" s="62">
        <v>16.806699999999999</v>
      </c>
      <c r="J119" s="62"/>
      <c r="K119" s="67"/>
    </row>
    <row r="120" spans="1:12" s="4" customFormat="1" x14ac:dyDescent="0.3">
      <c r="A120" s="74" t="s">
        <v>81</v>
      </c>
      <c r="B120" s="75"/>
      <c r="C120" s="75"/>
      <c r="D120" s="75"/>
      <c r="E120" s="76"/>
      <c r="F120" s="62">
        <f t="shared" ref="F120:K120" si="17">SUM(F111:F119)</f>
        <v>836.43860000000006</v>
      </c>
      <c r="G120" s="62">
        <f t="shared" si="17"/>
        <v>0</v>
      </c>
      <c r="H120" s="62">
        <f t="shared" si="17"/>
        <v>0</v>
      </c>
      <c r="I120" s="62">
        <f t="shared" si="17"/>
        <v>600.45650000000001</v>
      </c>
      <c r="J120" s="62">
        <f t="shared" si="17"/>
        <v>22.982099999999999</v>
      </c>
      <c r="K120" s="67">
        <f t="shared" si="17"/>
        <v>213</v>
      </c>
    </row>
    <row r="121" spans="1:12" s="4" customFormat="1" ht="90.75" customHeight="1" x14ac:dyDescent="0.3">
      <c r="A121" s="78" t="s">
        <v>163</v>
      </c>
      <c r="B121" s="56" t="s">
        <v>82</v>
      </c>
      <c r="C121" s="60" t="s">
        <v>96</v>
      </c>
      <c r="D121" s="55" t="s">
        <v>31</v>
      </c>
      <c r="E121" s="55" t="s">
        <v>13</v>
      </c>
      <c r="F121" s="62">
        <f>SUM(G121:K121)</f>
        <v>8802.0701200000003</v>
      </c>
      <c r="G121" s="62"/>
      <c r="H121" s="62"/>
      <c r="I121" s="62">
        <v>5226.1314000000002</v>
      </c>
      <c r="J121" s="62">
        <v>3575.9387200000001</v>
      </c>
      <c r="K121" s="67"/>
    </row>
    <row r="122" spans="1:12" s="4" customFormat="1" ht="78.75" customHeight="1" x14ac:dyDescent="0.3">
      <c r="A122" s="78"/>
      <c r="B122" s="56"/>
      <c r="C122" s="60" t="s">
        <v>97</v>
      </c>
      <c r="D122" s="59" t="s">
        <v>31</v>
      </c>
      <c r="E122" s="55" t="s">
        <v>13</v>
      </c>
      <c r="F122" s="62">
        <f>SUM(G122:K122)</f>
        <v>796.99455</v>
      </c>
      <c r="G122" s="62"/>
      <c r="H122" s="62"/>
      <c r="I122" s="62">
        <v>796.99455</v>
      </c>
      <c r="J122" s="62"/>
      <c r="K122" s="67"/>
    </row>
    <row r="123" spans="1:12" s="4" customFormat="1" ht="82.5" customHeight="1" x14ac:dyDescent="0.3">
      <c r="A123" s="78"/>
      <c r="B123" s="56"/>
      <c r="C123" s="60" t="s">
        <v>98</v>
      </c>
      <c r="D123" s="59" t="s">
        <v>31</v>
      </c>
      <c r="E123" s="55" t="s">
        <v>13</v>
      </c>
      <c r="F123" s="62">
        <f>SUM(G123:K123)</f>
        <v>1880.3949499999999</v>
      </c>
      <c r="G123" s="62"/>
      <c r="H123" s="62"/>
      <c r="I123" s="62">
        <v>642.12316999999996</v>
      </c>
      <c r="J123" s="62">
        <v>1238.27178</v>
      </c>
      <c r="K123" s="67"/>
    </row>
    <row r="124" spans="1:12" s="4" customFormat="1" ht="133.5" customHeight="1" x14ac:dyDescent="0.3">
      <c r="A124" s="78"/>
      <c r="B124" s="56"/>
      <c r="C124" s="31" t="s">
        <v>99</v>
      </c>
      <c r="D124" s="59" t="s">
        <v>31</v>
      </c>
      <c r="E124" s="55" t="s">
        <v>13</v>
      </c>
      <c r="F124" s="62">
        <f>SUM(G124:K124)</f>
        <v>4684.4636899999996</v>
      </c>
      <c r="G124" s="62"/>
      <c r="H124" s="62"/>
      <c r="I124" s="62">
        <v>4684.4636899999996</v>
      </c>
      <c r="J124" s="62"/>
      <c r="K124" s="67"/>
    </row>
    <row r="125" spans="1:12" s="4" customFormat="1" x14ac:dyDescent="0.3">
      <c r="A125" s="74" t="s">
        <v>83</v>
      </c>
      <c r="B125" s="75"/>
      <c r="C125" s="75"/>
      <c r="D125" s="75"/>
      <c r="E125" s="76"/>
      <c r="F125" s="62">
        <f t="shared" ref="F125:K125" si="18">SUM(F121:F124)</f>
        <v>16163.923309999998</v>
      </c>
      <c r="G125" s="62">
        <f t="shared" si="18"/>
        <v>0</v>
      </c>
      <c r="H125" s="62">
        <f t="shared" si="18"/>
        <v>0</v>
      </c>
      <c r="I125" s="62">
        <f t="shared" si="18"/>
        <v>11349.712810000001</v>
      </c>
      <c r="J125" s="62">
        <f t="shared" si="18"/>
        <v>4814.2105000000001</v>
      </c>
      <c r="K125" s="67">
        <f t="shared" si="18"/>
        <v>0</v>
      </c>
    </row>
    <row r="126" spans="1:12" s="4" customFormat="1" ht="94.5" customHeight="1" x14ac:dyDescent="0.3">
      <c r="A126" s="56" t="s">
        <v>161</v>
      </c>
      <c r="B126" s="56" t="s">
        <v>160</v>
      </c>
      <c r="C126" s="56" t="s">
        <v>162</v>
      </c>
      <c r="D126" s="55" t="s">
        <v>27</v>
      </c>
      <c r="E126" s="55" t="s">
        <v>13</v>
      </c>
      <c r="F126" s="62">
        <f>G126+H126+I126+J126+K126</f>
        <v>589.86</v>
      </c>
      <c r="G126" s="62"/>
      <c r="H126" s="62"/>
      <c r="I126" s="62"/>
      <c r="J126" s="62">
        <v>589.86</v>
      </c>
      <c r="K126" s="67"/>
    </row>
    <row r="127" spans="1:12" s="2" customFormat="1" x14ac:dyDescent="0.3">
      <c r="A127" s="85" t="s">
        <v>84</v>
      </c>
      <c r="B127" s="85"/>
      <c r="C127" s="85"/>
      <c r="D127" s="85"/>
      <c r="E127" s="85"/>
      <c r="F127" s="16">
        <f t="shared" ref="F127:K127" si="19">F15+F16+F51+F52+F55+F65+F66+F74+F89+F92+F93+F94+F106+F110+F120+F125+F126</f>
        <v>220199.81530999998</v>
      </c>
      <c r="G127" s="16">
        <f t="shared" si="19"/>
        <v>1350</v>
      </c>
      <c r="H127" s="16">
        <f t="shared" si="19"/>
        <v>30780.614729999994</v>
      </c>
      <c r="I127" s="16">
        <f t="shared" si="19"/>
        <v>35966.881080000006</v>
      </c>
      <c r="J127" s="16">
        <f t="shared" si="19"/>
        <v>28355.194879999999</v>
      </c>
      <c r="K127" s="16">
        <f t="shared" si="19"/>
        <v>123747.12462</v>
      </c>
      <c r="L127" s="30"/>
    </row>
    <row r="128" spans="1:12" s="4" customFormat="1" x14ac:dyDescent="0.3">
      <c r="A128" s="40"/>
      <c r="B128" s="47"/>
      <c r="C128" s="40"/>
      <c r="D128" s="40" t="s">
        <v>166</v>
      </c>
      <c r="E128" s="40"/>
      <c r="F128" s="40"/>
      <c r="G128" s="40"/>
      <c r="H128" s="40"/>
      <c r="I128" s="40"/>
      <c r="J128" s="40"/>
      <c r="K128" s="40"/>
    </row>
    <row r="129" spans="1:11" s="4" customFormat="1" x14ac:dyDescent="0.3">
      <c r="A129" s="40"/>
      <c r="B129" s="47"/>
      <c r="C129" s="40"/>
      <c r="D129" s="40" t="s">
        <v>167</v>
      </c>
      <c r="E129" s="40"/>
      <c r="F129" s="41">
        <f>SUM(G129:K129)</f>
        <v>110189.57331000001</v>
      </c>
      <c r="G129" s="41">
        <f>G127</f>
        <v>1350</v>
      </c>
      <c r="H129" s="41">
        <f t="shared" ref="H129:I129" si="20">H127</f>
        <v>30780.614729999994</v>
      </c>
      <c r="I129" s="41">
        <f t="shared" si="20"/>
        <v>35966.881080000006</v>
      </c>
      <c r="J129" s="41">
        <f>J127-J46-J48</f>
        <v>17679.480499999998</v>
      </c>
      <c r="K129" s="41">
        <f>K127-K46-K48</f>
        <v>24412.597000000002</v>
      </c>
    </row>
    <row r="130" spans="1:11" s="4" customFormat="1" x14ac:dyDescent="0.3">
      <c r="A130" s="40"/>
      <c r="B130" s="47"/>
      <c r="C130" s="40"/>
      <c r="D130" s="40" t="s">
        <v>168</v>
      </c>
      <c r="E130" s="40"/>
      <c r="F130" s="41">
        <f>SUM(G130:K130)</f>
        <v>83518.8</v>
      </c>
      <c r="G130" s="40"/>
      <c r="H130" s="40"/>
      <c r="I130" s="40"/>
      <c r="J130" s="41">
        <f>J46</f>
        <v>0</v>
      </c>
      <c r="K130" s="41">
        <f>K46</f>
        <v>83518.8</v>
      </c>
    </row>
    <row r="131" spans="1:11" s="4" customFormat="1" x14ac:dyDescent="0.3">
      <c r="A131" s="40"/>
      <c r="B131" s="47"/>
      <c r="C131" s="40"/>
      <c r="D131" s="40" t="s">
        <v>171</v>
      </c>
      <c r="E131" s="40"/>
      <c r="F131" s="41">
        <f>SUM(G131:K131)</f>
        <v>26491.441999999999</v>
      </c>
      <c r="G131" s="40"/>
      <c r="H131" s="40"/>
      <c r="I131" s="40"/>
      <c r="J131" s="41">
        <f>J48</f>
        <v>10675.714379999999</v>
      </c>
      <c r="K131" s="41">
        <f>K48</f>
        <v>15815.72762</v>
      </c>
    </row>
    <row r="132" spans="1:11" s="4" customFormat="1" x14ac:dyDescent="0.3">
      <c r="A132" s="42"/>
      <c r="B132" s="48"/>
      <c r="C132" s="42"/>
      <c r="D132" s="42"/>
      <c r="E132" s="42"/>
      <c r="F132" s="43"/>
      <c r="G132" s="42"/>
      <c r="H132" s="42"/>
      <c r="I132" s="42"/>
      <c r="J132" s="43"/>
      <c r="K132" s="42"/>
    </row>
    <row r="133" spans="1:11" x14ac:dyDescent="0.3">
      <c r="A133" s="9"/>
      <c r="B133" s="61"/>
      <c r="C133" s="9"/>
      <c r="D133" s="9"/>
      <c r="E133" s="9"/>
      <c r="F133" s="9"/>
      <c r="G133" s="9"/>
      <c r="H133" s="9"/>
      <c r="I133" s="9"/>
      <c r="J133" s="9"/>
      <c r="K133" s="9"/>
    </row>
    <row r="134" spans="1:11" x14ac:dyDescent="0.3">
      <c r="A134" s="9"/>
      <c r="B134" s="61" t="s">
        <v>179</v>
      </c>
      <c r="C134" s="9"/>
      <c r="D134" s="9"/>
      <c r="E134" s="9"/>
      <c r="F134" s="9"/>
      <c r="G134" s="9"/>
      <c r="H134" s="9"/>
      <c r="I134" s="9"/>
      <c r="J134" s="9"/>
      <c r="K134" s="46"/>
    </row>
    <row r="135" spans="1:11" x14ac:dyDescent="0.3">
      <c r="A135" s="9"/>
      <c r="B135" s="61"/>
      <c r="C135" s="9"/>
      <c r="D135" s="9"/>
      <c r="E135" s="9"/>
      <c r="F135" s="9"/>
      <c r="G135" s="9"/>
      <c r="H135" s="9"/>
      <c r="I135" s="9"/>
      <c r="J135" s="9"/>
      <c r="K135" s="9"/>
    </row>
    <row r="136" spans="1:11" s="5" customFormat="1" ht="15.6" x14ac:dyDescent="0.3">
      <c r="A136" s="9"/>
      <c r="B136" s="49" t="s">
        <v>136</v>
      </c>
      <c r="C136" s="17"/>
      <c r="D136" s="17"/>
      <c r="E136" s="17"/>
      <c r="F136" s="17"/>
      <c r="G136" s="17" t="s">
        <v>137</v>
      </c>
      <c r="H136" s="9"/>
      <c r="I136" s="9"/>
      <c r="J136" s="9"/>
      <c r="K136" s="46"/>
    </row>
    <row r="137" spans="1:11" x14ac:dyDescent="0.3">
      <c r="A137" s="9"/>
      <c r="B137" s="61"/>
      <c r="C137" s="9"/>
      <c r="D137" s="9"/>
      <c r="E137" s="9"/>
      <c r="F137" s="9"/>
      <c r="G137" s="9"/>
      <c r="H137" s="9"/>
      <c r="I137" s="9"/>
      <c r="J137" s="9"/>
      <c r="K137" s="9"/>
    </row>
    <row r="138" spans="1:11" s="6" customFormat="1" ht="15.6" x14ac:dyDescent="0.3">
      <c r="B138" s="50"/>
      <c r="E138" s="18"/>
      <c r="F138" s="19"/>
      <c r="G138" s="19"/>
      <c r="H138" s="19"/>
      <c r="I138" s="19"/>
      <c r="J138" s="19"/>
      <c r="K138" s="19"/>
    </row>
    <row r="139" spans="1:11" s="6" customFormat="1" ht="15.6" x14ac:dyDescent="0.3">
      <c r="B139" s="50"/>
      <c r="E139" s="18"/>
      <c r="F139" s="19"/>
      <c r="G139" s="19"/>
      <c r="H139" s="19"/>
      <c r="I139" s="19"/>
      <c r="J139" s="19"/>
      <c r="K139" s="19"/>
    </row>
    <row r="140" spans="1:11" ht="14.4" x14ac:dyDescent="0.3">
      <c r="E140" s="18"/>
      <c r="F140" s="18"/>
      <c r="G140" s="18"/>
      <c r="H140" s="18"/>
      <c r="I140" s="18"/>
      <c r="J140" s="18"/>
      <c r="K140" s="18"/>
    </row>
    <row r="141" spans="1:11" ht="14.4" x14ac:dyDescent="0.3">
      <c r="E141" s="18"/>
      <c r="F141" s="19"/>
      <c r="G141" s="18"/>
      <c r="H141" s="18"/>
      <c r="I141" s="18"/>
      <c r="J141" s="19"/>
      <c r="K141" s="18"/>
    </row>
    <row r="142" spans="1:11" s="2" customFormat="1" ht="14.4" x14ac:dyDescent="0.3">
      <c r="A142" s="8"/>
      <c r="B142" s="51"/>
      <c r="C142" s="8"/>
      <c r="D142" s="8"/>
      <c r="E142" s="18"/>
      <c r="F142" s="18"/>
      <c r="G142" s="18"/>
      <c r="H142" s="20"/>
      <c r="I142" s="20"/>
      <c r="J142" s="18"/>
      <c r="K142" s="18"/>
    </row>
    <row r="143" spans="1:11" s="2" customFormat="1" ht="14.4" x14ac:dyDescent="0.3">
      <c r="A143" s="8"/>
      <c r="B143" s="51"/>
      <c r="C143" s="8"/>
      <c r="D143" s="8"/>
      <c r="E143" s="18"/>
      <c r="F143" s="18"/>
      <c r="G143" s="18"/>
      <c r="H143" s="20"/>
      <c r="I143" s="20"/>
      <c r="J143" s="18"/>
      <c r="K143" s="18"/>
    </row>
    <row r="144" spans="1:11" s="4" customFormat="1" ht="14.4" x14ac:dyDescent="0.3">
      <c r="B144" s="52"/>
      <c r="E144" s="21"/>
      <c r="F144" s="21"/>
      <c r="G144" s="21"/>
      <c r="H144" s="22"/>
      <c r="I144" s="22"/>
      <c r="J144" s="21"/>
      <c r="K144" s="21"/>
    </row>
    <row r="145" spans="1:11" s="4" customFormat="1" ht="14.4" x14ac:dyDescent="0.3">
      <c r="B145" s="52"/>
      <c r="E145" s="21"/>
      <c r="F145" s="21"/>
      <c r="G145" s="21"/>
      <c r="H145" s="22"/>
      <c r="I145" s="22"/>
      <c r="J145" s="21"/>
      <c r="K145" s="21"/>
    </row>
    <row r="146" spans="1:11" s="4" customFormat="1" ht="14.4" x14ac:dyDescent="0.3">
      <c r="B146" s="52"/>
      <c r="E146" s="21"/>
      <c r="F146" s="21"/>
      <c r="G146" s="21"/>
      <c r="H146" s="22"/>
      <c r="I146" s="22"/>
      <c r="J146" s="21"/>
      <c r="K146" s="21"/>
    </row>
    <row r="147" spans="1:11" s="4" customFormat="1" ht="14.4" x14ac:dyDescent="0.3">
      <c r="B147" s="52"/>
      <c r="E147" s="21"/>
      <c r="F147" s="21"/>
      <c r="G147" s="21"/>
      <c r="H147" s="22"/>
      <c r="I147" s="22"/>
      <c r="J147" s="21"/>
      <c r="K147" s="21"/>
    </row>
    <row r="148" spans="1:11" s="4" customFormat="1" ht="14.4" x14ac:dyDescent="0.3">
      <c r="B148" s="52"/>
      <c r="E148" s="21"/>
      <c r="F148" s="21"/>
      <c r="G148" s="21"/>
      <c r="H148" s="22"/>
      <c r="I148" s="22"/>
      <c r="J148" s="21"/>
      <c r="K148" s="21"/>
    </row>
    <row r="149" spans="1:11" s="2" customFormat="1" ht="14.4" x14ac:dyDescent="0.3">
      <c r="A149" s="8"/>
      <c r="B149" s="51"/>
      <c r="C149" s="8"/>
      <c r="D149" s="8"/>
      <c r="E149" s="18"/>
      <c r="F149" s="18"/>
      <c r="G149" s="18"/>
      <c r="H149" s="20"/>
      <c r="I149" s="24"/>
      <c r="J149" s="18"/>
      <c r="K149" s="18"/>
    </row>
    <row r="150" spans="1:11" s="2" customFormat="1" ht="14.4" x14ac:dyDescent="0.3">
      <c r="A150" s="8"/>
      <c r="B150" s="51"/>
      <c r="C150" s="8"/>
      <c r="D150" s="8"/>
      <c r="E150" s="18"/>
      <c r="F150" s="18"/>
      <c r="G150" s="18"/>
      <c r="H150" s="23"/>
      <c r="I150" s="23"/>
      <c r="J150" s="18"/>
      <c r="K150" s="18"/>
    </row>
    <row r="151" spans="1:11" s="2" customFormat="1" ht="14.4" x14ac:dyDescent="0.3">
      <c r="A151" s="8"/>
      <c r="B151" s="51"/>
      <c r="C151" s="8"/>
      <c r="D151" s="8"/>
      <c r="E151" s="18"/>
      <c r="F151" s="18"/>
      <c r="G151" s="18"/>
      <c r="H151" s="23"/>
      <c r="I151" s="23"/>
      <c r="J151" s="18"/>
      <c r="K151" s="18"/>
    </row>
    <row r="152" spans="1:11" s="2" customFormat="1" ht="14.4" x14ac:dyDescent="0.3">
      <c r="A152" s="8"/>
      <c r="B152" s="51"/>
      <c r="C152" s="8"/>
      <c r="D152" s="8"/>
      <c r="E152" s="18"/>
      <c r="F152" s="19"/>
      <c r="G152" s="19"/>
      <c r="H152" s="24"/>
      <c r="I152" s="19"/>
      <c r="J152" s="24"/>
      <c r="K152" s="24"/>
    </row>
    <row r="153" spans="1:11" s="2" customFormat="1" ht="14.4" x14ac:dyDescent="0.3">
      <c r="A153" s="8"/>
      <c r="B153" s="51"/>
      <c r="C153" s="8"/>
      <c r="D153" s="8"/>
      <c r="E153" s="18"/>
      <c r="F153" s="24"/>
      <c r="G153" s="24"/>
      <c r="H153" s="24"/>
      <c r="I153" s="19"/>
      <c r="J153" s="24"/>
      <c r="K153" s="24"/>
    </row>
    <row r="154" spans="1:11" s="4" customFormat="1" ht="14.4" x14ac:dyDescent="0.3">
      <c r="B154" s="52"/>
      <c r="E154" s="21"/>
      <c r="F154" s="25"/>
      <c r="G154" s="25"/>
      <c r="H154" s="25"/>
      <c r="I154" s="36"/>
      <c r="J154" s="25"/>
      <c r="K154" s="25"/>
    </row>
    <row r="155" spans="1:11" s="4" customFormat="1" ht="14.4" x14ac:dyDescent="0.3">
      <c r="B155" s="52"/>
      <c r="E155" s="21"/>
      <c r="F155" s="25"/>
      <c r="G155" s="25"/>
      <c r="H155" s="25"/>
      <c r="I155" s="36"/>
      <c r="J155" s="25"/>
      <c r="K155" s="25"/>
    </row>
    <row r="156" spans="1:11" s="4" customFormat="1" ht="14.4" x14ac:dyDescent="0.3">
      <c r="B156" s="52"/>
      <c r="E156" s="21"/>
      <c r="F156" s="25"/>
      <c r="G156" s="26"/>
      <c r="H156" s="26"/>
      <c r="I156" s="26"/>
      <c r="J156" s="25"/>
      <c r="K156" s="25"/>
    </row>
    <row r="157" spans="1:11" s="4" customFormat="1" ht="14.4" x14ac:dyDescent="0.3">
      <c r="B157" s="52"/>
      <c r="E157" s="21"/>
      <c r="F157" s="21"/>
      <c r="G157" s="21"/>
      <c r="H157" s="26"/>
      <c r="I157" s="26"/>
      <c r="J157" s="21"/>
      <c r="K157" s="21"/>
    </row>
    <row r="158" spans="1:11" ht="14.4" x14ac:dyDescent="0.3">
      <c r="E158" s="18"/>
      <c r="F158" s="18"/>
      <c r="G158" s="18"/>
      <c r="H158" s="27"/>
      <c r="I158" s="27"/>
      <c r="J158" s="18"/>
      <c r="K158" s="18"/>
    </row>
    <row r="159" spans="1:11" ht="14.4" x14ac:dyDescent="0.3">
      <c r="E159" s="18"/>
      <c r="F159" s="18"/>
      <c r="G159" s="18"/>
      <c r="H159" s="27"/>
      <c r="I159" s="27"/>
      <c r="J159" s="18"/>
      <c r="K159" s="18"/>
    </row>
    <row r="160" spans="1:11" ht="14.4" x14ac:dyDescent="0.3">
      <c r="E160" s="18"/>
      <c r="F160" s="18"/>
      <c r="G160" s="18"/>
      <c r="H160" s="27"/>
      <c r="I160" s="27"/>
      <c r="J160" s="18"/>
      <c r="K160" s="18"/>
    </row>
    <row r="161" spans="1:11" s="7" customFormat="1" ht="18" x14ac:dyDescent="0.35">
      <c r="A161" s="28"/>
      <c r="B161" s="53"/>
      <c r="C161" s="28"/>
      <c r="D161" s="28"/>
      <c r="E161" s="18"/>
      <c r="F161" s="18"/>
      <c r="G161" s="18"/>
      <c r="H161" s="19"/>
      <c r="I161" s="19"/>
      <c r="J161" s="18"/>
      <c r="K161" s="18"/>
    </row>
    <row r="162" spans="1:11" ht="14.4" x14ac:dyDescent="0.3">
      <c r="E162" s="18"/>
      <c r="F162" s="18"/>
      <c r="G162" s="18"/>
      <c r="H162" s="19"/>
      <c r="I162" s="19"/>
      <c r="J162" s="18"/>
      <c r="K162" s="18"/>
    </row>
    <row r="163" spans="1:11" ht="14.4" x14ac:dyDescent="0.3">
      <c r="E163" s="18"/>
      <c r="F163" s="18"/>
      <c r="G163" s="18"/>
      <c r="H163" s="18"/>
      <c r="I163" s="18"/>
      <c r="J163" s="18"/>
      <c r="K163" s="18"/>
    </row>
    <row r="164" spans="1:11" ht="14.4" x14ac:dyDescent="0.3">
      <c r="E164" s="18"/>
      <c r="F164" s="18"/>
      <c r="G164" s="18"/>
      <c r="H164" s="18"/>
      <c r="I164" s="18"/>
      <c r="J164" s="18"/>
      <c r="K164" s="18"/>
    </row>
    <row r="165" spans="1:11" ht="33.6" x14ac:dyDescent="0.65">
      <c r="H165" s="29"/>
    </row>
    <row r="166" spans="1:11" ht="33.6" x14ac:dyDescent="0.65">
      <c r="H166" s="29"/>
    </row>
    <row r="167" spans="1:11" ht="33.6" x14ac:dyDescent="0.65">
      <c r="H167" s="29"/>
    </row>
    <row r="168" spans="1:11" ht="33.6" x14ac:dyDescent="0.65">
      <c r="H168" s="29"/>
    </row>
  </sheetData>
  <mergeCells count="57">
    <mergeCell ref="F17:K17"/>
    <mergeCell ref="D6:D7"/>
    <mergeCell ref="F6:F7"/>
    <mergeCell ref="B6:B7"/>
    <mergeCell ref="A15:E15"/>
    <mergeCell ref="A9:A14"/>
    <mergeCell ref="B9:B14"/>
    <mergeCell ref="D9:D14"/>
    <mergeCell ref="E9:E14"/>
    <mergeCell ref="A52:A54"/>
    <mergeCell ref="D46:D47"/>
    <mergeCell ref="D48:D49"/>
    <mergeCell ref="C19:C23"/>
    <mergeCell ref="E19:E23"/>
    <mergeCell ref="B52:B53"/>
    <mergeCell ref="C52:C53"/>
    <mergeCell ref="E52:E53"/>
    <mergeCell ref="B18:B22"/>
    <mergeCell ref="A18:A22"/>
    <mergeCell ref="C48:C49"/>
    <mergeCell ref="C46:C47"/>
    <mergeCell ref="A51:E51"/>
    <mergeCell ref="H3:J3"/>
    <mergeCell ref="E6:E7"/>
    <mergeCell ref="C6:C7"/>
    <mergeCell ref="A4:K4"/>
    <mergeCell ref="G6:K6"/>
    <mergeCell ref="A6:A7"/>
    <mergeCell ref="E56:E64"/>
    <mergeCell ref="E79:E80"/>
    <mergeCell ref="B75:B76"/>
    <mergeCell ref="A89:E89"/>
    <mergeCell ref="E81:E84"/>
    <mergeCell ref="A74:E74"/>
    <mergeCell ref="A65:E65"/>
    <mergeCell ref="A67:A73"/>
    <mergeCell ref="A75:A76"/>
    <mergeCell ref="C75:C76"/>
    <mergeCell ref="A127:E127"/>
    <mergeCell ref="A121:A124"/>
    <mergeCell ref="A111:A117"/>
    <mergeCell ref="A125:E125"/>
    <mergeCell ref="A120:E120"/>
    <mergeCell ref="B111:B115"/>
    <mergeCell ref="C111:C115"/>
    <mergeCell ref="E111:E115"/>
    <mergeCell ref="A110:E110"/>
    <mergeCell ref="D95:D96"/>
    <mergeCell ref="E95:E96"/>
    <mergeCell ref="C92:D92"/>
    <mergeCell ref="B95:B96"/>
    <mergeCell ref="B108:B109"/>
    <mergeCell ref="A107:A109"/>
    <mergeCell ref="A106:E106"/>
    <mergeCell ref="A95:A98"/>
    <mergeCell ref="A99:A102"/>
    <mergeCell ref="A90:A92"/>
  </mergeCells>
  <pageMargins left="0.19685039370078741" right="0.19685039370078741" top="0.59055118110236227" bottom="0.39370078740157483" header="0.19685039370078741" footer="0.19685039370078741"/>
  <pageSetup paperSize="9" scale="54" fitToWidth="8" fitToHeight="8" pageOrder="overThenDown" orientation="landscape" r:id="rId1"/>
  <headerFooter differentFirst="1">
    <oddHeader>&amp;C&amp;P</oddHeader>
  </headerFooter>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220FU6</cp:lastModifiedBy>
  <cp:lastPrinted>2025-06-16T10:59:34Z</cp:lastPrinted>
  <dcterms:created xsi:type="dcterms:W3CDTF">2022-01-28T07:03:00Z</dcterms:created>
  <dcterms:modified xsi:type="dcterms:W3CDTF">2025-06-16T12:28:52Z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