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на сайт рада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'2025'!$A$1:$P$219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2" i="1" l="1"/>
  <c r="G212" i="1"/>
  <c r="H212" i="1"/>
  <c r="I212" i="1"/>
  <c r="J212" i="1"/>
  <c r="K212" i="1"/>
  <c r="L212" i="1"/>
  <c r="M212" i="1"/>
  <c r="N212" i="1"/>
  <c r="O212" i="1"/>
  <c r="E212" i="1"/>
  <c r="L133" i="1"/>
  <c r="M133" i="1"/>
  <c r="N133" i="1"/>
  <c r="O133" i="1"/>
  <c r="K133" i="1"/>
  <c r="G133" i="1"/>
  <c r="H133" i="1"/>
  <c r="I133" i="1"/>
  <c r="F133" i="1"/>
  <c r="P140" i="1"/>
  <c r="E140" i="1"/>
  <c r="F136" i="1"/>
  <c r="O91" i="1" l="1"/>
  <c r="K91" i="1"/>
  <c r="G64" i="1"/>
  <c r="F64" i="1"/>
  <c r="F89" i="1" l="1"/>
  <c r="F77" i="1"/>
  <c r="F66" i="1"/>
  <c r="F65" i="1"/>
  <c r="O151" i="1" l="1"/>
  <c r="K151" i="1"/>
  <c r="O171" i="1"/>
  <c r="K171" i="1"/>
  <c r="O200" i="1" l="1"/>
  <c r="K200" i="1"/>
  <c r="F200" i="1"/>
  <c r="E190" i="1"/>
  <c r="O170" i="1"/>
  <c r="K170" i="1"/>
  <c r="O169" i="1"/>
  <c r="K169" i="1"/>
  <c r="F150" i="1"/>
  <c r="F139" i="1"/>
  <c r="F111" i="1"/>
  <c r="F103" i="1"/>
  <c r="F87" i="1"/>
  <c r="G76" i="1"/>
  <c r="F76" i="1"/>
  <c r="F74" i="1"/>
  <c r="O65" i="1"/>
  <c r="K65" i="1"/>
  <c r="G56" i="1"/>
  <c r="F56" i="1"/>
  <c r="J53" i="1"/>
  <c r="E53" i="1"/>
  <c r="F52" i="1"/>
  <c r="F37" i="1"/>
  <c r="F35" i="1"/>
  <c r="O29" i="1"/>
  <c r="K29" i="1"/>
  <c r="F29" i="1"/>
  <c r="P53" i="1" l="1"/>
  <c r="L192" i="1"/>
  <c r="M192" i="1"/>
  <c r="N192" i="1"/>
  <c r="O192" i="1"/>
  <c r="K192" i="1"/>
  <c r="G192" i="1"/>
  <c r="H192" i="1"/>
  <c r="I192" i="1"/>
  <c r="J198" i="1"/>
  <c r="E198" i="1"/>
  <c r="P198" i="1" s="1"/>
  <c r="O168" i="1"/>
  <c r="K168" i="1"/>
  <c r="F167" i="1"/>
  <c r="O150" i="1"/>
  <c r="K150" i="1"/>
  <c r="I150" i="1"/>
  <c r="O148" i="1"/>
  <c r="K148" i="1"/>
  <c r="O147" i="1"/>
  <c r="K147" i="1"/>
  <c r="I147" i="1"/>
  <c r="O128" i="1"/>
  <c r="K128" i="1"/>
  <c r="F128" i="1"/>
  <c r="F127" i="1"/>
  <c r="G124" i="1"/>
  <c r="F124" i="1"/>
  <c r="I210" i="1"/>
  <c r="K210" i="1"/>
  <c r="L210" i="1"/>
  <c r="M210" i="1"/>
  <c r="N210" i="1"/>
  <c r="O210" i="1"/>
  <c r="J109" i="1"/>
  <c r="E109" i="1"/>
  <c r="I208" i="1"/>
  <c r="L208" i="1"/>
  <c r="N208" i="1"/>
  <c r="F90" i="1"/>
  <c r="J83" i="1"/>
  <c r="E83" i="1"/>
  <c r="E82" i="1"/>
  <c r="J82" i="1"/>
  <c r="F59" i="1"/>
  <c r="J45" i="1"/>
  <c r="J40" i="1"/>
  <c r="E40" i="1"/>
  <c r="G209" i="1"/>
  <c r="H209" i="1"/>
  <c r="I209" i="1"/>
  <c r="L209" i="1"/>
  <c r="M209" i="1"/>
  <c r="N209" i="1"/>
  <c r="J34" i="1"/>
  <c r="E34" i="1"/>
  <c r="O27" i="1"/>
  <c r="O209" i="1" s="1"/>
  <c r="K27" i="1"/>
  <c r="K209" i="1" s="1"/>
  <c r="P83" i="1" l="1"/>
  <c r="P40" i="1"/>
  <c r="P109" i="1"/>
  <c r="P34" i="1"/>
  <c r="P82" i="1"/>
  <c r="O175" i="1" l="1"/>
  <c r="K175" i="1"/>
  <c r="H128" i="1" l="1"/>
  <c r="H124" i="1"/>
  <c r="O201" i="1" l="1"/>
  <c r="K201" i="1"/>
  <c r="F201" i="1"/>
  <c r="I184" i="1"/>
  <c r="O157" i="1"/>
  <c r="K157" i="1"/>
  <c r="I159" i="1"/>
  <c r="O158" i="1"/>
  <c r="J156" i="1"/>
  <c r="E156" i="1"/>
  <c r="F146" i="1"/>
  <c r="F138" i="1"/>
  <c r="F131" i="1"/>
  <c r="F114" i="1"/>
  <c r="F102" i="1"/>
  <c r="G101" i="1"/>
  <c r="F101" i="1"/>
  <c r="F95" i="1"/>
  <c r="E84" i="1"/>
  <c r="J84" i="1"/>
  <c r="F72" i="1"/>
  <c r="O64" i="1"/>
  <c r="O208" i="1" s="1"/>
  <c r="K64" i="1"/>
  <c r="K208" i="1" s="1"/>
  <c r="H21" i="1"/>
  <c r="O58" i="1"/>
  <c r="K58" i="1"/>
  <c r="F58" i="1"/>
  <c r="F55" i="1"/>
  <c r="J54" i="1"/>
  <c r="E54" i="1"/>
  <c r="P54" i="1" s="1"/>
  <c r="O44" i="1"/>
  <c r="K44" i="1"/>
  <c r="K43" i="1" s="1"/>
  <c r="F44" i="1"/>
  <c r="O41" i="1"/>
  <c r="K41" i="1"/>
  <c r="F39" i="1"/>
  <c r="F27" i="1"/>
  <c r="F21" i="1"/>
  <c r="F182" i="1"/>
  <c r="P156" i="1" l="1"/>
  <c r="P84" i="1"/>
  <c r="J197" i="1" l="1"/>
  <c r="E197" i="1"/>
  <c r="J196" i="1"/>
  <c r="E196" i="1"/>
  <c r="F174" i="1"/>
  <c r="L143" i="1"/>
  <c r="M143" i="1"/>
  <c r="N143" i="1"/>
  <c r="I215" i="1"/>
  <c r="L215" i="1"/>
  <c r="M215" i="1"/>
  <c r="N215" i="1"/>
  <c r="J162" i="1"/>
  <c r="J163" i="1"/>
  <c r="E162" i="1"/>
  <c r="E163" i="1"/>
  <c r="F160" i="1"/>
  <c r="F143" i="1" s="1"/>
  <c r="E138" i="1"/>
  <c r="P138" i="1" s="1"/>
  <c r="J81" i="1"/>
  <c r="E81" i="1"/>
  <c r="J42" i="1"/>
  <c r="E42" i="1"/>
  <c r="F33" i="1"/>
  <c r="F26" i="1"/>
  <c r="F22" i="1"/>
  <c r="P163" i="1" l="1"/>
  <c r="P197" i="1"/>
  <c r="P162" i="1"/>
  <c r="P81" i="1"/>
  <c r="P196" i="1"/>
  <c r="P42" i="1"/>
  <c r="F130" i="1"/>
  <c r="F137" i="1" l="1"/>
  <c r="O199" i="1" l="1"/>
  <c r="K199" i="1"/>
  <c r="K187" i="1" s="1"/>
  <c r="F199" i="1"/>
  <c r="E204" i="1"/>
  <c r="J203" i="1"/>
  <c r="J204" i="1"/>
  <c r="E203" i="1"/>
  <c r="J202" i="1"/>
  <c r="E202" i="1"/>
  <c r="F193" i="1"/>
  <c r="F183" i="1"/>
  <c r="L165" i="1"/>
  <c r="M165" i="1"/>
  <c r="N165" i="1"/>
  <c r="H165" i="1"/>
  <c r="I165" i="1"/>
  <c r="F165" i="1"/>
  <c r="P203" i="1" l="1"/>
  <c r="P202" i="1"/>
  <c r="P204" i="1"/>
  <c r="J170" i="1"/>
  <c r="E170" i="1"/>
  <c r="J166" i="1"/>
  <c r="E166" i="1"/>
  <c r="O161" i="1"/>
  <c r="K161" i="1"/>
  <c r="I143" i="1"/>
  <c r="J151" i="1"/>
  <c r="E151" i="1"/>
  <c r="O143" i="1" l="1"/>
  <c r="K143" i="1"/>
  <c r="P166" i="1"/>
  <c r="P170" i="1"/>
  <c r="P151" i="1"/>
  <c r="F135" i="1" l="1"/>
  <c r="F126" i="1"/>
  <c r="J108" i="1"/>
  <c r="E108" i="1"/>
  <c r="F75" i="1"/>
  <c r="O59" i="1"/>
  <c r="K59" i="1"/>
  <c r="G215" i="1"/>
  <c r="F50" i="1"/>
  <c r="J44" i="1"/>
  <c r="P108" i="1" l="1"/>
  <c r="J49" i="1"/>
  <c r="E201" i="1" l="1"/>
  <c r="E200" i="1"/>
  <c r="J161" i="1" l="1"/>
  <c r="E161" i="1"/>
  <c r="P161" i="1" l="1"/>
  <c r="J200" i="1" l="1"/>
  <c r="P200" i="1" s="1"/>
  <c r="J201" i="1"/>
  <c r="P201" i="1" s="1"/>
  <c r="L199" i="1"/>
  <c r="M199" i="1"/>
  <c r="M187" i="1" s="1"/>
  <c r="N199" i="1"/>
  <c r="N216" i="1" s="1"/>
  <c r="O187" i="1"/>
  <c r="K216" i="1"/>
  <c r="G199" i="1"/>
  <c r="G216" i="1" s="1"/>
  <c r="H199" i="1"/>
  <c r="H216" i="1" s="1"/>
  <c r="I199" i="1"/>
  <c r="E199" i="1" s="1"/>
  <c r="F195" i="1"/>
  <c r="F192" i="1" s="1"/>
  <c r="F179" i="1"/>
  <c r="N164" i="1"/>
  <c r="L164" i="1"/>
  <c r="M164" i="1"/>
  <c r="K215" i="1"/>
  <c r="J171" i="1"/>
  <c r="J168" i="1"/>
  <c r="E175" i="1"/>
  <c r="J169" i="1"/>
  <c r="J172" i="1"/>
  <c r="J173" i="1"/>
  <c r="J174" i="1"/>
  <c r="E168" i="1"/>
  <c r="E169" i="1"/>
  <c r="E171" i="1"/>
  <c r="E172" i="1"/>
  <c r="E173" i="1"/>
  <c r="J158" i="1"/>
  <c r="E158" i="1"/>
  <c r="J157" i="1"/>
  <c r="E157" i="1"/>
  <c r="J153" i="1"/>
  <c r="E153" i="1"/>
  <c r="J152" i="1"/>
  <c r="E152" i="1"/>
  <c r="J147" i="1"/>
  <c r="E147" i="1"/>
  <c r="L62" i="1"/>
  <c r="M62" i="1"/>
  <c r="N62" i="1"/>
  <c r="O62" i="1"/>
  <c r="I62" i="1"/>
  <c r="G70" i="1"/>
  <c r="F70" i="1"/>
  <c r="E70" i="1" s="1"/>
  <c r="P70" i="1" s="1"/>
  <c r="G69" i="1"/>
  <c r="F69" i="1"/>
  <c r="G100" i="1"/>
  <c r="F100" i="1"/>
  <c r="F210" i="1" s="1"/>
  <c r="E89" i="1"/>
  <c r="J78" i="1"/>
  <c r="J79" i="1"/>
  <c r="J80" i="1"/>
  <c r="J85" i="1"/>
  <c r="J86" i="1"/>
  <c r="E78" i="1"/>
  <c r="E79" i="1"/>
  <c r="E80" i="1"/>
  <c r="E85" i="1"/>
  <c r="E86" i="1"/>
  <c r="E87" i="1"/>
  <c r="E88" i="1"/>
  <c r="E76" i="1"/>
  <c r="P76" i="1" s="1"/>
  <c r="J59" i="1"/>
  <c r="E59" i="1"/>
  <c r="O51" i="1"/>
  <c r="K51" i="1"/>
  <c r="K214" i="1" s="1"/>
  <c r="L43" i="1"/>
  <c r="L214" i="1" s="1"/>
  <c r="M43" i="1"/>
  <c r="M214" i="1" s="1"/>
  <c r="N43" i="1"/>
  <c r="N214" i="1" s="1"/>
  <c r="O43" i="1"/>
  <c r="O214" i="1" s="1"/>
  <c r="F43" i="1"/>
  <c r="P49" i="1"/>
  <c r="E69" i="1" l="1"/>
  <c r="P69" i="1" s="1"/>
  <c r="J175" i="1"/>
  <c r="P175" i="1" s="1"/>
  <c r="O215" i="1"/>
  <c r="P168" i="1"/>
  <c r="K165" i="1"/>
  <c r="K164" i="1" s="1"/>
  <c r="N187" i="1"/>
  <c r="O165" i="1"/>
  <c r="O164" i="1" s="1"/>
  <c r="F67" i="1"/>
  <c r="F208" i="1" s="1"/>
  <c r="J199" i="1"/>
  <c r="P199" i="1" s="1"/>
  <c r="I187" i="1"/>
  <c r="L216" i="1"/>
  <c r="G67" i="1"/>
  <c r="L187" i="1"/>
  <c r="H187" i="1"/>
  <c r="O216" i="1"/>
  <c r="M216" i="1"/>
  <c r="K62" i="1"/>
  <c r="I216" i="1"/>
  <c r="P172" i="1"/>
  <c r="P171" i="1"/>
  <c r="P169" i="1"/>
  <c r="P173" i="1"/>
  <c r="P147" i="1"/>
  <c r="P158" i="1"/>
  <c r="P78" i="1"/>
  <c r="P79" i="1"/>
  <c r="P86" i="1"/>
  <c r="P157" i="1"/>
  <c r="P153" i="1"/>
  <c r="P152" i="1"/>
  <c r="P80" i="1"/>
  <c r="P85" i="1"/>
  <c r="P59" i="1"/>
  <c r="F62" i="1" l="1"/>
  <c r="J47" i="1"/>
  <c r="J48" i="1"/>
  <c r="J50" i="1"/>
  <c r="J51" i="1"/>
  <c r="E51" i="1"/>
  <c r="P51" i="1" l="1"/>
  <c r="G188" i="1"/>
  <c r="G187" i="1" s="1"/>
  <c r="I211" i="1" l="1"/>
  <c r="K211" i="1"/>
  <c r="N211" i="1"/>
  <c r="O211" i="1"/>
  <c r="M124" i="1" l="1"/>
  <c r="M208" i="1" s="1"/>
  <c r="J91" i="1" l="1"/>
  <c r="F31" i="1" l="1"/>
  <c r="L177" i="1" l="1"/>
  <c r="M177" i="1"/>
  <c r="N177" i="1"/>
  <c r="O177" i="1"/>
  <c r="K177" i="1"/>
  <c r="H177" i="1"/>
  <c r="I177" i="1"/>
  <c r="F177" i="1"/>
  <c r="J181" i="1"/>
  <c r="E181" i="1"/>
  <c r="P181" i="1" s="1"/>
  <c r="E188" i="1" l="1"/>
  <c r="H100" i="1" l="1"/>
  <c r="F57" i="1" l="1"/>
  <c r="F215" i="1" s="1"/>
  <c r="F112" i="1" l="1"/>
  <c r="F214" i="1" s="1"/>
  <c r="E115" i="1"/>
  <c r="P115" i="1" s="1"/>
  <c r="E114" i="1"/>
  <c r="P114" i="1" s="1"/>
  <c r="E113" i="1"/>
  <c r="P113" i="1" s="1"/>
  <c r="H65" i="1"/>
  <c r="G65" i="1"/>
  <c r="G43" i="1"/>
  <c r="G214" i="1" s="1"/>
  <c r="H43" i="1"/>
  <c r="H214" i="1" s="1"/>
  <c r="I43" i="1"/>
  <c r="I214" i="1" s="1"/>
  <c r="F30" i="1"/>
  <c r="F209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8" i="1" l="1"/>
  <c r="M211" i="1" s="1"/>
  <c r="L186" i="1"/>
  <c r="M186" i="1"/>
  <c r="N186" i="1"/>
  <c r="O186" i="1"/>
  <c r="K186" i="1"/>
  <c r="J193" i="1"/>
  <c r="J194" i="1"/>
  <c r="J195" i="1"/>
  <c r="H186" i="1"/>
  <c r="I186" i="1"/>
  <c r="E194" i="1"/>
  <c r="E193" i="1"/>
  <c r="E195" i="1"/>
  <c r="P195" i="1" l="1"/>
  <c r="P194" i="1"/>
  <c r="P193" i="1"/>
  <c r="F187" i="1" l="1"/>
  <c r="E187" i="1" s="1"/>
  <c r="E186" i="1" s="1"/>
  <c r="F216" i="1"/>
  <c r="E192" i="1"/>
  <c r="J191" i="1"/>
  <c r="E191" i="1"/>
  <c r="J189" i="1"/>
  <c r="E189" i="1"/>
  <c r="J183" i="1"/>
  <c r="E183" i="1"/>
  <c r="G178" i="1"/>
  <c r="G177" i="1" s="1"/>
  <c r="E174" i="1"/>
  <c r="P174" i="1" s="1"/>
  <c r="G167" i="1"/>
  <c r="G165" i="1" s="1"/>
  <c r="J155" i="1"/>
  <c r="E155" i="1"/>
  <c r="H144" i="1"/>
  <c r="H143" i="1" s="1"/>
  <c r="G144" i="1"/>
  <c r="G143" i="1" s="1"/>
  <c r="L132" i="1"/>
  <c r="M132" i="1"/>
  <c r="N132" i="1"/>
  <c r="O132" i="1"/>
  <c r="K132" i="1"/>
  <c r="J141" i="1"/>
  <c r="E141" i="1"/>
  <c r="H135" i="1"/>
  <c r="G135" i="1"/>
  <c r="G210" i="1" s="1"/>
  <c r="G134" i="1"/>
  <c r="N122" i="1"/>
  <c r="O122" i="1"/>
  <c r="K122" i="1"/>
  <c r="I122" i="1"/>
  <c r="J131" i="1"/>
  <c r="E131" i="1"/>
  <c r="H129" i="1"/>
  <c r="G129" i="1"/>
  <c r="G128" i="1"/>
  <c r="H127" i="1"/>
  <c r="G127" i="1"/>
  <c r="H126" i="1"/>
  <c r="G126" i="1"/>
  <c r="G123" i="1"/>
  <c r="L117" i="1"/>
  <c r="M117" i="1"/>
  <c r="N117" i="1"/>
  <c r="O117" i="1"/>
  <c r="K117" i="1"/>
  <c r="H117" i="1"/>
  <c r="H116" i="1" s="1"/>
  <c r="I117" i="1"/>
  <c r="I116" i="1" s="1"/>
  <c r="F117" i="1"/>
  <c r="F116" i="1" s="1"/>
  <c r="J120" i="1"/>
  <c r="E120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210" i="1" s="1"/>
  <c r="H94" i="1"/>
  <c r="G94" i="1"/>
  <c r="E216" i="1" l="1"/>
  <c r="H211" i="1"/>
  <c r="G211" i="1"/>
  <c r="F211" i="1"/>
  <c r="F186" i="1"/>
  <c r="P191" i="1"/>
  <c r="P189" i="1"/>
  <c r="P183" i="1"/>
  <c r="P131" i="1"/>
  <c r="P155" i="1"/>
  <c r="G122" i="1"/>
  <c r="H122" i="1"/>
  <c r="P120" i="1"/>
  <c r="P141" i="1"/>
  <c r="F122" i="1"/>
  <c r="P112" i="1"/>
  <c r="H93" i="1"/>
  <c r="G93" i="1"/>
  <c r="P103" i="1"/>
  <c r="G186" i="1" l="1"/>
  <c r="E91" i="1"/>
  <c r="P91" i="1" s="1"/>
  <c r="J90" i="1"/>
  <c r="E90" i="1"/>
  <c r="H89" i="1"/>
  <c r="G89" i="1"/>
  <c r="H75" i="1"/>
  <c r="G75" i="1"/>
  <c r="H74" i="1"/>
  <c r="G74" i="1"/>
  <c r="H77" i="1"/>
  <c r="G77" i="1"/>
  <c r="H72" i="1"/>
  <c r="G72" i="1"/>
  <c r="H66" i="1"/>
  <c r="G66" i="1"/>
  <c r="G208" i="1" s="1"/>
  <c r="H64" i="1"/>
  <c r="H63" i="1"/>
  <c r="G63" i="1"/>
  <c r="H56" i="1"/>
  <c r="H215" i="1" s="1"/>
  <c r="E55" i="1"/>
  <c r="J43" i="1"/>
  <c r="E43" i="1"/>
  <c r="J41" i="1"/>
  <c r="E41" i="1"/>
  <c r="H24" i="1"/>
  <c r="G24" i="1"/>
  <c r="H23" i="1"/>
  <c r="G23" i="1"/>
  <c r="H22" i="1"/>
  <c r="G22" i="1"/>
  <c r="G21" i="1"/>
  <c r="H208" i="1" l="1"/>
  <c r="G62" i="1"/>
  <c r="H62" i="1"/>
  <c r="P55" i="1"/>
  <c r="P90" i="1"/>
  <c r="P43" i="1"/>
  <c r="P41" i="1"/>
  <c r="L36" i="1"/>
  <c r="L213" i="1" s="1"/>
  <c r="M36" i="1"/>
  <c r="M213" i="1" s="1"/>
  <c r="N36" i="1"/>
  <c r="N213" i="1" s="1"/>
  <c r="O36" i="1"/>
  <c r="O213" i="1" s="1"/>
  <c r="K36" i="1"/>
  <c r="K213" i="1" s="1"/>
  <c r="G36" i="1"/>
  <c r="G213" i="1" s="1"/>
  <c r="H36" i="1"/>
  <c r="H213" i="1" s="1"/>
  <c r="I36" i="1"/>
  <c r="I213" i="1" s="1"/>
  <c r="F36" i="1"/>
  <c r="J37" i="1"/>
  <c r="J38" i="1"/>
  <c r="J39" i="1"/>
  <c r="E38" i="1"/>
  <c r="E39" i="1"/>
  <c r="E37" i="1"/>
  <c r="F213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7" i="1" l="1"/>
  <c r="N207" i="1"/>
  <c r="N217" i="1" s="1"/>
  <c r="I207" i="1"/>
  <c r="H207" i="1"/>
  <c r="M207" i="1"/>
  <c r="M217" i="1" s="1"/>
  <c r="G207" i="1"/>
  <c r="K207" i="1"/>
  <c r="K217" i="1" s="1"/>
  <c r="L207" i="1"/>
  <c r="F207" i="1"/>
  <c r="O217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76" i="1"/>
  <c r="H176" i="1"/>
  <c r="I176" i="1"/>
  <c r="F176" i="1"/>
  <c r="G164" i="1"/>
  <c r="H164" i="1"/>
  <c r="I164" i="1"/>
  <c r="F164" i="1"/>
  <c r="G142" i="1"/>
  <c r="H142" i="1"/>
  <c r="I142" i="1"/>
  <c r="F142" i="1"/>
  <c r="G132" i="1"/>
  <c r="H132" i="1"/>
  <c r="I132" i="1"/>
  <c r="I217" i="1" s="1"/>
  <c r="F132" i="1"/>
  <c r="G121" i="1"/>
  <c r="H121" i="1"/>
  <c r="I121" i="1"/>
  <c r="F121" i="1"/>
  <c r="J19" i="1" l="1"/>
  <c r="F217" i="1"/>
  <c r="H217" i="1"/>
  <c r="G217" i="1"/>
  <c r="M122" i="1"/>
  <c r="L126" i="1"/>
  <c r="N121" i="1"/>
  <c r="O121" i="1"/>
  <c r="K121" i="1"/>
  <c r="L142" i="1"/>
  <c r="M142" i="1"/>
  <c r="N142" i="1"/>
  <c r="O142" i="1"/>
  <c r="K142" i="1"/>
  <c r="J60" i="1"/>
  <c r="E60" i="1"/>
  <c r="L122" i="1" l="1"/>
  <c r="L121" i="1" s="1"/>
  <c r="L211" i="1"/>
  <c r="L217" i="1" s="1"/>
  <c r="M121" i="1"/>
  <c r="P60" i="1"/>
  <c r="J117" i="1" l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9" i="1"/>
  <c r="J142" i="1"/>
  <c r="J143" i="1"/>
  <c r="J144" i="1"/>
  <c r="J145" i="1"/>
  <c r="J146" i="1"/>
  <c r="J148" i="1"/>
  <c r="J149" i="1"/>
  <c r="J150" i="1"/>
  <c r="J154" i="1"/>
  <c r="J159" i="1"/>
  <c r="J160" i="1"/>
  <c r="J164" i="1"/>
  <c r="J165" i="1"/>
  <c r="J167" i="1"/>
  <c r="J176" i="1"/>
  <c r="J177" i="1"/>
  <c r="J178" i="1"/>
  <c r="J179" i="1"/>
  <c r="J180" i="1"/>
  <c r="J182" i="1"/>
  <c r="J184" i="1"/>
  <c r="J185" i="1"/>
  <c r="J186" i="1"/>
  <c r="J187" i="1"/>
  <c r="J188" i="1"/>
  <c r="J190" i="1"/>
  <c r="J192" i="1"/>
  <c r="J216" i="1" s="1"/>
  <c r="P216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79" i="1"/>
  <c r="E180" i="1"/>
  <c r="E182" i="1"/>
  <c r="E184" i="1"/>
  <c r="E185" i="1"/>
  <c r="E145" i="1"/>
  <c r="E146" i="1"/>
  <c r="E148" i="1"/>
  <c r="E149" i="1"/>
  <c r="E150" i="1"/>
  <c r="E154" i="1"/>
  <c r="E159" i="1"/>
  <c r="E160" i="1"/>
  <c r="E135" i="1"/>
  <c r="E136" i="1"/>
  <c r="E137" i="1"/>
  <c r="E139" i="1"/>
  <c r="E124" i="1"/>
  <c r="E125" i="1"/>
  <c r="E126" i="1"/>
  <c r="E127" i="1"/>
  <c r="E128" i="1"/>
  <c r="E129" i="1"/>
  <c r="E130" i="1"/>
  <c r="E119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78" i="1"/>
  <c r="E177" i="1"/>
  <c r="E176" i="1"/>
  <c r="E167" i="1"/>
  <c r="E165" i="1"/>
  <c r="E164" i="1"/>
  <c r="E144" i="1"/>
  <c r="E143" i="1"/>
  <c r="E142" i="1"/>
  <c r="E134" i="1"/>
  <c r="E133" i="1"/>
  <c r="E132" i="1"/>
  <c r="E123" i="1"/>
  <c r="E122" i="1"/>
  <c r="E121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214" i="1" s="1"/>
  <c r="E56" i="1"/>
  <c r="E57" i="1"/>
  <c r="E58" i="1"/>
  <c r="E20" i="1"/>
  <c r="E19" i="1"/>
  <c r="J214" i="1" l="1"/>
  <c r="E210" i="1"/>
  <c r="J210" i="1"/>
  <c r="E208" i="1"/>
  <c r="J208" i="1"/>
  <c r="E209" i="1"/>
  <c r="J209" i="1"/>
  <c r="J215" i="1"/>
  <c r="E215" i="1"/>
  <c r="J213" i="1"/>
  <c r="E213" i="1"/>
  <c r="E207" i="1"/>
  <c r="J207" i="1"/>
  <c r="E211" i="1"/>
  <c r="J211" i="1"/>
  <c r="K205" i="1"/>
  <c r="O205" i="1"/>
  <c r="N205" i="1"/>
  <c r="M205" i="1"/>
  <c r="L205" i="1"/>
  <c r="G205" i="1"/>
  <c r="H205" i="1"/>
  <c r="I205" i="1"/>
  <c r="P143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2" i="1"/>
  <c r="P190" i="1"/>
  <c r="P188" i="1"/>
  <c r="P187" i="1"/>
  <c r="P186" i="1"/>
  <c r="P185" i="1"/>
  <c r="P184" i="1"/>
  <c r="P182" i="1"/>
  <c r="P180" i="1"/>
  <c r="P179" i="1"/>
  <c r="P178" i="1"/>
  <c r="P177" i="1"/>
  <c r="P176" i="1"/>
  <c r="P167" i="1"/>
  <c r="P165" i="1"/>
  <c r="P164" i="1"/>
  <c r="P160" i="1"/>
  <c r="P159" i="1"/>
  <c r="P154" i="1"/>
  <c r="P150" i="1"/>
  <c r="P149" i="1"/>
  <c r="P148" i="1"/>
  <c r="P146" i="1"/>
  <c r="P145" i="1"/>
  <c r="P144" i="1"/>
  <c r="P142" i="1"/>
  <c r="P139" i="1"/>
  <c r="P137" i="1"/>
  <c r="P136" i="1"/>
  <c r="P135" i="1"/>
  <c r="P134" i="1"/>
  <c r="P133" i="1"/>
  <c r="P132" i="1"/>
  <c r="P130" i="1"/>
  <c r="P129" i="1"/>
  <c r="P128" i="1"/>
  <c r="P127" i="1"/>
  <c r="P126" i="1"/>
  <c r="P125" i="1"/>
  <c r="P124" i="1"/>
  <c r="P123" i="1"/>
  <c r="P122" i="1"/>
  <c r="P121" i="1"/>
  <c r="P119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L218" i="1" l="1"/>
  <c r="M218" i="1"/>
  <c r="N218" i="1"/>
  <c r="I218" i="1"/>
  <c r="K218" i="1"/>
  <c r="H218" i="1"/>
  <c r="O218" i="1"/>
  <c r="G218" i="1"/>
  <c r="P212" i="1"/>
  <c r="P211" i="1"/>
  <c r="P209" i="1"/>
  <c r="J217" i="1"/>
  <c r="P215" i="1"/>
  <c r="P213" i="1"/>
  <c r="P62" i="1"/>
  <c r="E217" i="1"/>
  <c r="P208" i="1"/>
  <c r="E61" i="1"/>
  <c r="E205" i="1" s="1"/>
  <c r="P207" i="1"/>
  <c r="P214" i="1"/>
  <c r="P93" i="1"/>
  <c r="F205" i="1"/>
  <c r="P92" i="1"/>
  <c r="P18" i="1"/>
  <c r="J205" i="1"/>
  <c r="F218" i="1" l="1"/>
  <c r="J218" i="1"/>
  <c r="E218" i="1"/>
  <c r="P217" i="1"/>
  <c r="P61" i="1"/>
  <c r="P210" i="1"/>
  <c r="P205" i="1"/>
  <c r="P218" i="1" l="1"/>
</calcChain>
</file>

<file path=xl/sharedStrings.xml><?xml version="1.0" encoding="utf-8"?>
<sst xmlns="http://schemas.openxmlformats.org/spreadsheetml/2006/main" count="666" uniqueCount="430">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</sst>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9"/>
  <sheetViews>
    <sheetView tabSelected="1" view="pageBreakPreview" zoomScale="60" zoomScaleNormal="70" workbookViewId="0">
      <pane xSplit="4" ySplit="17" topLeftCell="E138" activePane="bottomRight" state="frozen"/>
      <selection pane="topRight" activeCell="E1" sqref="E1"/>
      <selection pane="bottomLeft" activeCell="A14" sqref="A14"/>
      <selection pane="bottomRight" activeCell="D141" sqref="D141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426</v>
      </c>
    </row>
    <row r="2" spans="1:16">
      <c r="M2" s="2" t="s">
        <v>337</v>
      </c>
    </row>
    <row r="3" spans="1:16">
      <c r="M3" s="2" t="s">
        <v>405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8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>
      <c r="A10" s="38" t="s">
        <v>287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0" t="s">
        <v>4</v>
      </c>
      <c r="B13" s="40" t="s">
        <v>5</v>
      </c>
      <c r="C13" s="40" t="s">
        <v>6</v>
      </c>
      <c r="D13" s="37" t="s">
        <v>7</v>
      </c>
      <c r="E13" s="37" t="s">
        <v>8</v>
      </c>
      <c r="F13" s="37"/>
      <c r="G13" s="37"/>
      <c r="H13" s="37"/>
      <c r="I13" s="37"/>
      <c r="J13" s="37" t="s">
        <v>15</v>
      </c>
      <c r="K13" s="37"/>
      <c r="L13" s="37"/>
      <c r="M13" s="37"/>
      <c r="N13" s="37"/>
      <c r="O13" s="37"/>
      <c r="P13" s="37" t="s">
        <v>17</v>
      </c>
    </row>
    <row r="14" spans="1:16" ht="26.4" customHeight="1">
      <c r="A14" s="40"/>
      <c r="B14" s="40"/>
      <c r="C14" s="40"/>
      <c r="D14" s="37"/>
      <c r="E14" s="37" t="s">
        <v>9</v>
      </c>
      <c r="F14" s="37" t="s">
        <v>10</v>
      </c>
      <c r="G14" s="37" t="s">
        <v>11</v>
      </c>
      <c r="H14" s="37"/>
      <c r="I14" s="37" t="s">
        <v>14</v>
      </c>
      <c r="J14" s="37" t="s">
        <v>9</v>
      </c>
      <c r="K14" s="37" t="s">
        <v>16</v>
      </c>
      <c r="L14" s="37" t="s">
        <v>10</v>
      </c>
      <c r="M14" s="37" t="s">
        <v>11</v>
      </c>
      <c r="N14" s="37"/>
      <c r="O14" s="37" t="s">
        <v>14</v>
      </c>
      <c r="P14" s="37"/>
    </row>
    <row r="15" spans="1:16" ht="30.6" customHeight="1">
      <c r="A15" s="40"/>
      <c r="B15" s="40"/>
      <c r="C15" s="40"/>
      <c r="D15" s="37"/>
      <c r="E15" s="37"/>
      <c r="F15" s="37"/>
      <c r="G15" s="37" t="s">
        <v>12</v>
      </c>
      <c r="H15" s="37" t="s">
        <v>13</v>
      </c>
      <c r="I15" s="37"/>
      <c r="J15" s="37"/>
      <c r="K15" s="37"/>
      <c r="L15" s="37"/>
      <c r="M15" s="37" t="s">
        <v>12</v>
      </c>
      <c r="N15" s="37" t="s">
        <v>13</v>
      </c>
      <c r="O15" s="37"/>
      <c r="P15" s="37"/>
    </row>
    <row r="16" spans="1:16" ht="26.4" customHeight="1">
      <c r="A16" s="40"/>
      <c r="B16" s="40"/>
      <c r="C16" s="4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46.8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227079878</v>
      </c>
      <c r="F18" s="10">
        <f>F19</f>
        <v>226334378</v>
      </c>
      <c r="G18" s="10">
        <f>G19</f>
        <v>118112450</v>
      </c>
      <c r="H18" s="10">
        <f>H19</f>
        <v>5221100</v>
      </c>
      <c r="I18" s="10">
        <f>I19</f>
        <v>745500</v>
      </c>
      <c r="J18" s="10">
        <f>L18+O18</f>
        <v>26427985</v>
      </c>
      <c r="K18" s="10">
        <f>K19</f>
        <v>23328340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25410385</v>
      </c>
      <c r="P18" s="10">
        <f t="shared" ref="P18:P88" si="0">E18 + J18</f>
        <v>253507863</v>
      </c>
      <c r="Q18" s="5"/>
    </row>
    <row r="19" spans="1:17" ht="46.8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227079878</v>
      </c>
      <c r="F19" s="10">
        <f>F20+F25+F26+F27+F28+F29+F30+F34+F35+F36+F40+F41+F42+F43+F51+F52+F53+F54+F55+F56+F57+F58+F59+F60</f>
        <v>226334378</v>
      </c>
      <c r="G19" s="10">
        <f t="shared" ref="G19:K19" si="1">G20+G25+G26+G27+G28+G29+G30+G34+G35+G36+G40+G41+G42+G43+G51+G52+G53+G54+G55+G56+G57+G58+G59+G60</f>
        <v>118112450</v>
      </c>
      <c r="H19" s="10">
        <f t="shared" si="1"/>
        <v>5221100</v>
      </c>
      <c r="I19" s="10">
        <f t="shared" si="1"/>
        <v>745500</v>
      </c>
      <c r="J19" s="10">
        <f>L19+O19</f>
        <v>26427985</v>
      </c>
      <c r="K19" s="10">
        <f t="shared" si="1"/>
        <v>23328340</v>
      </c>
      <c r="L19" s="10">
        <f t="shared" ref="L19" si="2">L20+L25+L26+L27+L28+L29+L30+L34+L35+L36+L40+L41+L42+L43+L51+L52+L53+L54+L55+L56+L57+L58+L59+L60</f>
        <v>1017600</v>
      </c>
      <c r="M19" s="10">
        <f t="shared" ref="M19" si="3">M20+M25+M26+M27+M28+M29+M30+M34+M35+M36+M40+M41+M42+M43+M51+M52+M53+M54+M55+M56+M57+M58+M59+M60</f>
        <v>0</v>
      </c>
      <c r="N19" s="10">
        <f t="shared" ref="N19" si="4">N20+N25+N26+N27+N28+N29+N30+N34+N35+N36+N40+N41+N42+N43+N51+N52+N53+N54+N55+N56+N57+N58+N59+N60</f>
        <v>0</v>
      </c>
      <c r="O19" s="10">
        <f t="shared" ref="O19" si="5">O20+O25+O26+O27+O28+O29+O30+O34+O35+O36+O40+O41+O42+O43+O51+O52+O53+O54+O55+O56+O57+O58+O59+O60</f>
        <v>25410385</v>
      </c>
      <c r="P19" s="10">
        <f>E19 + J19</f>
        <v>253507863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6.8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60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60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2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2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9593140</v>
      </c>
      <c r="K27" s="12">
        <f>2036600-65630+1822170+5800000</f>
        <v>9593140</v>
      </c>
      <c r="L27" s="12">
        <v>0</v>
      </c>
      <c r="M27" s="12">
        <v>0</v>
      </c>
      <c r="N27" s="12">
        <v>0</v>
      </c>
      <c r="O27" s="12">
        <f>2036600-65630+1822170+5800000</f>
        <v>9593140</v>
      </c>
      <c r="P27" s="12">
        <f t="shared" si="0"/>
        <v>49373480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4653400</v>
      </c>
      <c r="F29" s="12">
        <f>13402400-8857000+68000+100000-60000</f>
        <v>4653400</v>
      </c>
      <c r="G29" s="12">
        <v>0</v>
      </c>
      <c r="H29" s="12">
        <v>0</v>
      </c>
      <c r="I29" s="12">
        <v>0</v>
      </c>
      <c r="J29" s="12">
        <f t="shared" si="11"/>
        <v>1823100</v>
      </c>
      <c r="K29" s="12">
        <f>1426100+192000+100000+45000+60000</f>
        <v>1823100</v>
      </c>
      <c r="L29" s="12">
        <v>0</v>
      </c>
      <c r="M29" s="12">
        <v>0</v>
      </c>
      <c r="N29" s="12">
        <v>0</v>
      </c>
      <c r="O29" s="12">
        <f>1426100+192000+100000+45000+60000</f>
        <v>1823100</v>
      </c>
      <c r="P29" s="12">
        <f t="shared" si="0"/>
        <v>6476500</v>
      </c>
    </row>
    <row r="30" spans="1:17" ht="31.2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s="19" customFormat="1" ht="25.95" customHeight="1">
      <c r="A34" s="15" t="s">
        <v>413</v>
      </c>
      <c r="B34" s="33">
        <v>2170</v>
      </c>
      <c r="C34" s="15" t="s">
        <v>48</v>
      </c>
      <c r="D34" s="11" t="s">
        <v>414</v>
      </c>
      <c r="E34" s="12">
        <f t="shared" si="10"/>
        <v>0</v>
      </c>
      <c r="F34" s="12"/>
      <c r="G34" s="12"/>
      <c r="H34" s="12"/>
      <c r="I34" s="12"/>
      <c r="J34" s="12">
        <f t="shared" si="11"/>
        <v>197300</v>
      </c>
      <c r="K34" s="12">
        <v>197300</v>
      </c>
      <c r="L34" s="12"/>
      <c r="M34" s="12"/>
      <c r="N34" s="12"/>
      <c r="O34" s="12">
        <v>197300</v>
      </c>
      <c r="P34" s="12">
        <f t="shared" si="0"/>
        <v>197300</v>
      </c>
    </row>
    <row r="35" spans="1:16" ht="41.25" customHeight="1">
      <c r="A35" s="7" t="s">
        <v>50</v>
      </c>
      <c r="B35" s="7" t="s">
        <v>51</v>
      </c>
      <c r="C35" s="7" t="s">
        <v>52</v>
      </c>
      <c r="D35" s="11" t="s">
        <v>53</v>
      </c>
      <c r="E35" s="12">
        <f t="shared" si="10"/>
        <v>4500000</v>
      </c>
      <c r="F35" s="12">
        <f>5000000-500000</f>
        <v>4500000</v>
      </c>
      <c r="G35" s="12">
        <v>0</v>
      </c>
      <c r="H35" s="12">
        <v>0</v>
      </c>
      <c r="I35" s="12">
        <v>0</v>
      </c>
      <c r="J35" s="12">
        <f t="shared" si="11"/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4500000</v>
      </c>
    </row>
    <row r="36" spans="1:16" ht="31.2">
      <c r="A36" s="7" t="s">
        <v>54</v>
      </c>
      <c r="B36" s="7" t="s">
        <v>55</v>
      </c>
      <c r="C36" s="7" t="s">
        <v>56</v>
      </c>
      <c r="D36" s="11" t="s">
        <v>57</v>
      </c>
      <c r="E36" s="12">
        <f t="shared" si="10"/>
        <v>14923900</v>
      </c>
      <c r="F36" s="12">
        <f>SUM(F37:F39)</f>
        <v>14923900</v>
      </c>
      <c r="G36" s="12">
        <f t="shared" ref="G36:I36" si="12">SUM(G37:G39)</f>
        <v>0</v>
      </c>
      <c r="H36" s="12">
        <f t="shared" si="12"/>
        <v>0</v>
      </c>
      <c r="I36" s="12">
        <f t="shared" si="12"/>
        <v>0</v>
      </c>
      <c r="J36" s="12">
        <f t="shared" si="11"/>
        <v>0</v>
      </c>
      <c r="K36" s="12">
        <f>SUM(K37:K39)</f>
        <v>0</v>
      </c>
      <c r="L36" s="12">
        <f t="shared" ref="L36:O36" si="13">SUM(L37:L39)</f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0"/>
        <v>14923900</v>
      </c>
    </row>
    <row r="37" spans="1:16" s="6" customFormat="1" ht="75.75" customHeight="1">
      <c r="A37" s="13"/>
      <c r="B37" s="13"/>
      <c r="C37" s="13"/>
      <c r="D37" s="1" t="s">
        <v>276</v>
      </c>
      <c r="E37" s="14">
        <f>F37+I37</f>
        <v>9260800</v>
      </c>
      <c r="F37" s="14">
        <f>3978400-73000+2000000-15600+1500000-29000+1900000</f>
        <v>9260800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9260800</v>
      </c>
    </row>
    <row r="38" spans="1:16" s="6" customFormat="1" ht="72.75" customHeight="1">
      <c r="A38" s="13"/>
      <c r="B38" s="13"/>
      <c r="C38" s="13"/>
      <c r="D38" s="1" t="s">
        <v>277</v>
      </c>
      <c r="E38" s="14">
        <f t="shared" ref="E38:E39" si="14">F38+I38</f>
        <v>1888200</v>
      </c>
      <c r="F38" s="14">
        <v>1888200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1888200</v>
      </c>
    </row>
    <row r="39" spans="1:16" s="6" customFormat="1" ht="72" customHeight="1">
      <c r="A39" s="13"/>
      <c r="B39" s="13"/>
      <c r="C39" s="13"/>
      <c r="D39" s="1" t="s">
        <v>278</v>
      </c>
      <c r="E39" s="14">
        <f t="shared" si="14"/>
        <v>3774900</v>
      </c>
      <c r="F39" s="14">
        <f>2274900+1500000</f>
        <v>3774900</v>
      </c>
      <c r="G39" s="14"/>
      <c r="H39" s="14"/>
      <c r="I39" s="14"/>
      <c r="J39" s="14">
        <f t="shared" si="11"/>
        <v>0</v>
      </c>
      <c r="K39" s="14"/>
      <c r="L39" s="14"/>
      <c r="M39" s="14"/>
      <c r="N39" s="14"/>
      <c r="O39" s="14"/>
      <c r="P39" s="14">
        <f t="shared" si="0"/>
        <v>3774900</v>
      </c>
    </row>
    <row r="40" spans="1:16" s="19" customFormat="1" ht="72" customHeight="1">
      <c r="A40" s="15" t="s">
        <v>415</v>
      </c>
      <c r="B40" s="15" t="s">
        <v>416</v>
      </c>
      <c r="C40" s="15" t="s">
        <v>255</v>
      </c>
      <c r="D40" s="11" t="s">
        <v>417</v>
      </c>
      <c r="E40" s="12">
        <f t="shared" si="10"/>
        <v>0</v>
      </c>
      <c r="F40" s="12"/>
      <c r="G40" s="12"/>
      <c r="H40" s="12"/>
      <c r="I40" s="12"/>
      <c r="J40" s="12">
        <f t="shared" si="11"/>
        <v>90000</v>
      </c>
      <c r="K40" s="12">
        <v>90000</v>
      </c>
      <c r="L40" s="12"/>
      <c r="M40" s="12"/>
      <c r="N40" s="12"/>
      <c r="O40" s="12">
        <v>90000</v>
      </c>
      <c r="P40" s="12">
        <f t="shared" si="0"/>
        <v>90000</v>
      </c>
    </row>
    <row r="41" spans="1:16" ht="53.25" customHeight="1">
      <c r="A41" s="15" t="s">
        <v>281</v>
      </c>
      <c r="B41" s="15" t="s">
        <v>254</v>
      </c>
      <c r="C41" s="15" t="s">
        <v>255</v>
      </c>
      <c r="D41" s="11" t="s">
        <v>256</v>
      </c>
      <c r="E41" s="12">
        <f t="shared" si="10"/>
        <v>0</v>
      </c>
      <c r="F41" s="12"/>
      <c r="G41" s="12"/>
      <c r="H41" s="12"/>
      <c r="I41" s="12"/>
      <c r="J41" s="12">
        <f t="shared" si="11"/>
        <v>283400</v>
      </c>
      <c r="K41" s="12">
        <f>7000000+340000-7000000-56600</f>
        <v>283400</v>
      </c>
      <c r="L41" s="12"/>
      <c r="M41" s="12"/>
      <c r="N41" s="12"/>
      <c r="O41" s="12">
        <f>7000000+340000-7000000-56600</f>
        <v>283400</v>
      </c>
      <c r="P41" s="12">
        <f t="shared" si="0"/>
        <v>283400</v>
      </c>
    </row>
    <row r="42" spans="1:16" ht="56.25" customHeight="1">
      <c r="A42" s="15" t="s">
        <v>393</v>
      </c>
      <c r="B42" s="15" t="s">
        <v>394</v>
      </c>
      <c r="C42" s="15" t="s">
        <v>255</v>
      </c>
      <c r="D42" s="11" t="s">
        <v>395</v>
      </c>
      <c r="E42" s="12">
        <f t="shared" si="10"/>
        <v>0</v>
      </c>
      <c r="F42" s="12"/>
      <c r="G42" s="12"/>
      <c r="H42" s="12"/>
      <c r="I42" s="12"/>
      <c r="J42" s="12">
        <f t="shared" si="11"/>
        <v>7000000</v>
      </c>
      <c r="K42" s="12">
        <v>7000000</v>
      </c>
      <c r="L42" s="12"/>
      <c r="M42" s="12"/>
      <c r="N42" s="12"/>
      <c r="O42" s="12">
        <v>7000000</v>
      </c>
      <c r="P42" s="12">
        <f t="shared" si="0"/>
        <v>7000000</v>
      </c>
    </row>
    <row r="43" spans="1:16" ht="39" customHeight="1">
      <c r="A43" s="15" t="s">
        <v>282</v>
      </c>
      <c r="B43" s="15" t="s">
        <v>283</v>
      </c>
      <c r="C43" s="15" t="s">
        <v>285</v>
      </c>
      <c r="D43" s="11" t="s">
        <v>284</v>
      </c>
      <c r="E43" s="12">
        <f t="shared" si="10"/>
        <v>1657840</v>
      </c>
      <c r="F43" s="12">
        <f>SUM(F44:F50)</f>
        <v>1512340</v>
      </c>
      <c r="G43" s="12">
        <f t="shared" ref="G43:I43" si="15">SUM(G44:G50)</f>
        <v>0</v>
      </c>
      <c r="H43" s="12">
        <f t="shared" si="15"/>
        <v>0</v>
      </c>
      <c r="I43" s="12">
        <f t="shared" si="15"/>
        <v>145500</v>
      </c>
      <c r="J43" s="12">
        <f t="shared" si="11"/>
        <v>954600</v>
      </c>
      <c r="K43" s="12">
        <f>SUM(K44:K50)</f>
        <v>954600</v>
      </c>
      <c r="L43" s="12">
        <f t="shared" ref="L43:O43" si="16">SUM(L44:L50)</f>
        <v>0</v>
      </c>
      <c r="M43" s="12">
        <f t="shared" si="16"/>
        <v>0</v>
      </c>
      <c r="N43" s="12">
        <f t="shared" si="16"/>
        <v>0</v>
      </c>
      <c r="O43" s="12">
        <f t="shared" si="16"/>
        <v>954600</v>
      </c>
      <c r="P43" s="12">
        <f t="shared" si="0"/>
        <v>2612440</v>
      </c>
    </row>
    <row r="44" spans="1:16" ht="54.75" customHeight="1">
      <c r="A44" s="15"/>
      <c r="B44" s="15"/>
      <c r="C44" s="15"/>
      <c r="D44" s="1" t="s">
        <v>20</v>
      </c>
      <c r="E44" s="14">
        <f t="shared" si="10"/>
        <v>1376600</v>
      </c>
      <c r="F44" s="14">
        <f>1287300+89300</f>
        <v>1376600</v>
      </c>
      <c r="G44" s="12"/>
      <c r="H44" s="12"/>
      <c r="I44" s="12"/>
      <c r="J44" s="12">
        <f>L44+O44</f>
        <v>391600</v>
      </c>
      <c r="K44" s="12">
        <f>191600+40180+159820</f>
        <v>391600</v>
      </c>
      <c r="L44" s="12"/>
      <c r="M44" s="12"/>
      <c r="N44" s="12"/>
      <c r="O44" s="12">
        <f>191600+40180+159820</f>
        <v>391600</v>
      </c>
      <c r="P44" s="14">
        <f t="shared" si="0"/>
        <v>1768200</v>
      </c>
    </row>
    <row r="45" spans="1:16" ht="74.25" customHeight="1">
      <c r="A45" s="15"/>
      <c r="B45" s="15"/>
      <c r="C45" s="15"/>
      <c r="D45" s="1" t="s">
        <v>276</v>
      </c>
      <c r="E45" s="14">
        <f t="shared" si="10"/>
        <v>10400</v>
      </c>
      <c r="F45" s="14">
        <v>10400</v>
      </c>
      <c r="G45" s="12"/>
      <c r="H45" s="12"/>
      <c r="I45" s="12"/>
      <c r="J45" s="12">
        <f>L45+O45</f>
        <v>29000</v>
      </c>
      <c r="K45" s="12">
        <v>29000</v>
      </c>
      <c r="L45" s="12"/>
      <c r="M45" s="12"/>
      <c r="N45" s="12"/>
      <c r="O45" s="12">
        <v>29000</v>
      </c>
      <c r="P45" s="14">
        <f t="shared" si="0"/>
        <v>39400</v>
      </c>
    </row>
    <row r="46" spans="1:16" ht="72" customHeight="1">
      <c r="A46" s="15"/>
      <c r="B46" s="15"/>
      <c r="C46" s="15"/>
      <c r="D46" s="1" t="s">
        <v>277</v>
      </c>
      <c r="E46" s="14">
        <f t="shared" si="10"/>
        <v>18800</v>
      </c>
      <c r="F46" s="14">
        <v>18800</v>
      </c>
      <c r="G46" s="12"/>
      <c r="H46" s="12"/>
      <c r="I46" s="12"/>
      <c r="J46" s="12"/>
      <c r="K46" s="12"/>
      <c r="L46" s="12"/>
      <c r="M46" s="12"/>
      <c r="N46" s="12"/>
      <c r="O46" s="12"/>
      <c r="P46" s="14">
        <f t="shared" si="0"/>
        <v>18800</v>
      </c>
    </row>
    <row r="47" spans="1:16" ht="72" customHeight="1">
      <c r="A47" s="15"/>
      <c r="B47" s="15"/>
      <c r="C47" s="15"/>
      <c r="D47" s="1" t="s">
        <v>278</v>
      </c>
      <c r="E47" s="14">
        <f t="shared" si="10"/>
        <v>10400</v>
      </c>
      <c r="F47" s="14">
        <v>10400</v>
      </c>
      <c r="G47" s="12"/>
      <c r="H47" s="12"/>
      <c r="I47" s="12"/>
      <c r="J47" s="12">
        <f t="shared" ref="J47:J51" si="17">L47+O47</f>
        <v>0</v>
      </c>
      <c r="K47" s="12"/>
      <c r="L47" s="12"/>
      <c r="M47" s="12"/>
      <c r="N47" s="12"/>
      <c r="O47" s="12"/>
      <c r="P47" s="14">
        <f t="shared" si="0"/>
        <v>10400</v>
      </c>
    </row>
    <row r="48" spans="1:16" ht="93" customHeight="1">
      <c r="A48" s="15"/>
      <c r="B48" s="15"/>
      <c r="C48" s="15"/>
      <c r="D48" s="1" t="s">
        <v>303</v>
      </c>
      <c r="E48" s="14">
        <f t="shared" si="10"/>
        <v>145500</v>
      </c>
      <c r="F48" s="14"/>
      <c r="G48" s="12"/>
      <c r="H48" s="12"/>
      <c r="I48" s="14">
        <v>145500</v>
      </c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145500</v>
      </c>
    </row>
    <row r="49" spans="1:17" s="6" customFormat="1" ht="58.5" customHeight="1">
      <c r="A49" s="18"/>
      <c r="B49" s="18"/>
      <c r="C49" s="18"/>
      <c r="D49" s="1" t="s">
        <v>305</v>
      </c>
      <c r="E49" s="14"/>
      <c r="F49" s="14"/>
      <c r="G49" s="14"/>
      <c r="H49" s="14"/>
      <c r="I49" s="14"/>
      <c r="J49" s="12">
        <f t="shared" si="17"/>
        <v>534000</v>
      </c>
      <c r="K49" s="14">
        <v>534000</v>
      </c>
      <c r="L49" s="14"/>
      <c r="M49" s="14"/>
      <c r="N49" s="14"/>
      <c r="O49" s="14">
        <v>534000</v>
      </c>
      <c r="P49" s="14">
        <f t="shared" si="0"/>
        <v>534000</v>
      </c>
    </row>
    <row r="50" spans="1:17" ht="53.25" customHeight="1">
      <c r="A50" s="15"/>
      <c r="B50" s="15"/>
      <c r="C50" s="15"/>
      <c r="D50" s="1" t="s">
        <v>304</v>
      </c>
      <c r="E50" s="14">
        <f t="shared" si="10"/>
        <v>96140</v>
      </c>
      <c r="F50" s="14">
        <f>56900+39240</f>
        <v>96140</v>
      </c>
      <c r="G50" s="12"/>
      <c r="H50" s="12"/>
      <c r="I50" s="12"/>
      <c r="J50" s="12">
        <f t="shared" si="17"/>
        <v>0</v>
      </c>
      <c r="K50" s="12"/>
      <c r="L50" s="12"/>
      <c r="M50" s="12"/>
      <c r="N50" s="12"/>
      <c r="O50" s="12"/>
      <c r="P50" s="14">
        <f t="shared" si="0"/>
        <v>96140</v>
      </c>
    </row>
    <row r="51" spans="1:17">
      <c r="A51" s="15" t="s">
        <v>333</v>
      </c>
      <c r="B51" s="15" t="s">
        <v>334</v>
      </c>
      <c r="C51" s="15" t="s">
        <v>335</v>
      </c>
      <c r="D51" s="11" t="s">
        <v>336</v>
      </c>
      <c r="E51" s="12">
        <f t="shared" si="10"/>
        <v>0</v>
      </c>
      <c r="F51" s="14"/>
      <c r="G51" s="12"/>
      <c r="H51" s="12"/>
      <c r="I51" s="12"/>
      <c r="J51" s="12">
        <f t="shared" si="17"/>
        <v>1500000</v>
      </c>
      <c r="K51" s="12">
        <f>1000000+500000</f>
        <v>1500000</v>
      </c>
      <c r="L51" s="12"/>
      <c r="M51" s="12"/>
      <c r="N51" s="12"/>
      <c r="O51" s="12">
        <f>1000000+500000</f>
        <v>1500000</v>
      </c>
      <c r="P51" s="12">
        <f>E51 + J51</f>
        <v>1500000</v>
      </c>
    </row>
    <row r="52" spans="1:17" ht="31.2">
      <c r="A52" s="7" t="s">
        <v>58</v>
      </c>
      <c r="B52" s="7" t="s">
        <v>59</v>
      </c>
      <c r="C52" s="7" t="s">
        <v>60</v>
      </c>
      <c r="D52" s="11" t="s">
        <v>61</v>
      </c>
      <c r="E52" s="12">
        <f>F52+I52</f>
        <v>180588</v>
      </c>
      <c r="F52" s="12">
        <f>112000-1400-12+70000</f>
        <v>180588</v>
      </c>
      <c r="G52" s="12">
        <v>0</v>
      </c>
      <c r="H52" s="12">
        <v>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>E52 + J52</f>
        <v>180588</v>
      </c>
    </row>
    <row r="53" spans="1:17" ht="173.25" customHeight="1">
      <c r="A53" s="15" t="s">
        <v>427</v>
      </c>
      <c r="B53" s="15" t="s">
        <v>370</v>
      </c>
      <c r="C53" s="15" t="s">
        <v>60</v>
      </c>
      <c r="D53" s="11" t="s">
        <v>371</v>
      </c>
      <c r="E53" s="12">
        <f t="shared" ref="E53" si="18">F53+I53</f>
        <v>0</v>
      </c>
      <c r="F53" s="12"/>
      <c r="G53" s="12"/>
      <c r="H53" s="12"/>
      <c r="I53" s="12"/>
      <c r="J53" s="12">
        <f t="shared" ref="J53" si="19">L53+O53</f>
        <v>2082045</v>
      </c>
      <c r="K53" s="12"/>
      <c r="L53" s="12"/>
      <c r="M53" s="12"/>
      <c r="N53" s="12"/>
      <c r="O53" s="12">
        <v>2082045</v>
      </c>
      <c r="P53" s="12">
        <f t="shared" ref="P53" si="20">E53 + J53</f>
        <v>2082045</v>
      </c>
    </row>
    <row r="54" spans="1:17" ht="31.2">
      <c r="A54" s="15" t="s">
        <v>406</v>
      </c>
      <c r="B54" s="7">
        <v>7693</v>
      </c>
      <c r="C54" s="7" t="s">
        <v>60</v>
      </c>
      <c r="D54" s="11" t="s">
        <v>407</v>
      </c>
      <c r="E54" s="12">
        <f>F54+I54</f>
        <v>600000</v>
      </c>
      <c r="F54" s="12"/>
      <c r="G54" s="12"/>
      <c r="H54" s="12"/>
      <c r="I54" s="12">
        <v>600000</v>
      </c>
      <c r="J54" s="12">
        <f>L54+O54</f>
        <v>0</v>
      </c>
      <c r="K54" s="12"/>
      <c r="L54" s="12"/>
      <c r="M54" s="12"/>
      <c r="N54" s="12"/>
      <c r="O54" s="12"/>
      <c r="P54" s="12">
        <f>E54 + J54</f>
        <v>600000</v>
      </c>
    </row>
    <row r="55" spans="1:17" ht="46.8">
      <c r="A55" s="15" t="s">
        <v>286</v>
      </c>
      <c r="B55" s="15">
        <v>8110</v>
      </c>
      <c r="C55" s="15" t="s">
        <v>238</v>
      </c>
      <c r="D55" s="11" t="s">
        <v>239</v>
      </c>
      <c r="E55" s="12">
        <f>F55+I55</f>
        <v>85000</v>
      </c>
      <c r="F55" s="12">
        <f>42000+13000+30000</f>
        <v>85000</v>
      </c>
      <c r="G55" s="12"/>
      <c r="H55" s="12"/>
      <c r="I55" s="12"/>
      <c r="J55" s="12"/>
      <c r="K55" s="12"/>
      <c r="L55" s="12"/>
      <c r="M55" s="12"/>
      <c r="N55" s="12"/>
      <c r="O55" s="12"/>
      <c r="P55" s="12">
        <f>E55 + J55</f>
        <v>85000</v>
      </c>
    </row>
    <row r="56" spans="1:17" ht="31.2">
      <c r="A56" s="7" t="s">
        <v>62</v>
      </c>
      <c r="B56" s="7" t="s">
        <v>63</v>
      </c>
      <c r="C56" s="7" t="s">
        <v>64</v>
      </c>
      <c r="D56" s="11" t="s">
        <v>65</v>
      </c>
      <c r="E56" s="12">
        <f t="shared" si="10"/>
        <v>27324110</v>
      </c>
      <c r="F56" s="12">
        <f>24248400+2126950-39240+500000+488000</f>
        <v>27324110</v>
      </c>
      <c r="G56" s="12">
        <f>17626300+3877000+2126950+500000+488000</f>
        <v>24618250</v>
      </c>
      <c r="H56" s="12">
        <f>53200+9300</f>
        <v>62500</v>
      </c>
      <c r="I56" s="12">
        <v>0</v>
      </c>
      <c r="J56" s="12">
        <f t="shared" si="11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27324110</v>
      </c>
    </row>
    <row r="57" spans="1:17" ht="31.2">
      <c r="A57" s="7" t="s">
        <v>66</v>
      </c>
      <c r="B57" s="7" t="s">
        <v>67</v>
      </c>
      <c r="C57" s="7" t="s">
        <v>64</v>
      </c>
      <c r="D57" s="11" t="s">
        <v>68</v>
      </c>
      <c r="E57" s="12">
        <f t="shared" si="10"/>
        <v>2083400</v>
      </c>
      <c r="F57" s="12">
        <f>2103400-20000</f>
        <v>2083400</v>
      </c>
      <c r="G57" s="12">
        <v>0</v>
      </c>
      <c r="H57" s="12">
        <v>0</v>
      </c>
      <c r="I57" s="12">
        <v>0</v>
      </c>
      <c r="J57" s="12">
        <f t="shared" si="11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2083400</v>
      </c>
    </row>
    <row r="58" spans="1:17" ht="31.2">
      <c r="A58" s="7" t="s">
        <v>69</v>
      </c>
      <c r="B58" s="7" t="s">
        <v>70</v>
      </c>
      <c r="C58" s="7" t="s">
        <v>64</v>
      </c>
      <c r="D58" s="11" t="s">
        <v>71</v>
      </c>
      <c r="E58" s="12">
        <f t="shared" si="10"/>
        <v>3451700</v>
      </c>
      <c r="F58" s="12">
        <f>2673200+173800+604700</f>
        <v>3451700</v>
      </c>
      <c r="G58" s="12">
        <v>0</v>
      </c>
      <c r="H58" s="12">
        <v>0</v>
      </c>
      <c r="I58" s="12">
        <v>0</v>
      </c>
      <c r="J58" s="12">
        <f t="shared" si="11"/>
        <v>821000</v>
      </c>
      <c r="K58" s="12">
        <f>514000+307000</f>
        <v>821000</v>
      </c>
      <c r="L58" s="12">
        <v>0</v>
      </c>
      <c r="M58" s="12">
        <v>0</v>
      </c>
      <c r="N58" s="12">
        <v>0</v>
      </c>
      <c r="O58" s="12">
        <f>514000+307000</f>
        <v>821000</v>
      </c>
      <c r="P58" s="12">
        <f t="shared" si="0"/>
        <v>4272700</v>
      </c>
    </row>
    <row r="59" spans="1:17" ht="31.2">
      <c r="A59" s="15" t="s">
        <v>343</v>
      </c>
      <c r="B59" s="7">
        <v>8240</v>
      </c>
      <c r="C59" s="15" t="s">
        <v>64</v>
      </c>
      <c r="D59" s="11" t="s">
        <v>260</v>
      </c>
      <c r="E59" s="12">
        <f t="shared" si="10"/>
        <v>630300</v>
      </c>
      <c r="F59" s="12">
        <f>22800+500000+107500</f>
        <v>630300</v>
      </c>
      <c r="G59" s="12"/>
      <c r="H59" s="12"/>
      <c r="I59" s="12"/>
      <c r="J59" s="12">
        <f t="shared" si="11"/>
        <v>56700</v>
      </c>
      <c r="K59" s="12">
        <f>200500-22800-121000</f>
        <v>56700</v>
      </c>
      <c r="L59" s="12"/>
      <c r="M59" s="12"/>
      <c r="N59" s="12"/>
      <c r="O59" s="12">
        <f>200500-22800-121000</f>
        <v>56700</v>
      </c>
      <c r="P59" s="12">
        <f t="shared" si="0"/>
        <v>687000</v>
      </c>
    </row>
    <row r="60" spans="1:17" ht="31.2">
      <c r="A60" s="15" t="s">
        <v>275</v>
      </c>
      <c r="B60" s="7">
        <v>8340</v>
      </c>
      <c r="C60" s="7" t="s">
        <v>273</v>
      </c>
      <c r="D60" s="11" t="s">
        <v>274</v>
      </c>
      <c r="E60" s="12">
        <f t="shared" si="10"/>
        <v>0</v>
      </c>
      <c r="F60" s="12"/>
      <c r="G60" s="12"/>
      <c r="H60" s="12"/>
      <c r="I60" s="12"/>
      <c r="J60" s="12">
        <f t="shared" si="11"/>
        <v>900000</v>
      </c>
      <c r="K60" s="12"/>
      <c r="L60" s="12">
        <v>900000</v>
      </c>
      <c r="M60" s="12"/>
      <c r="N60" s="12"/>
      <c r="O60" s="12"/>
      <c r="P60" s="12">
        <f t="shared" si="0"/>
        <v>900000</v>
      </c>
    </row>
    <row r="61" spans="1:17" ht="46.8">
      <c r="A61" s="8" t="s">
        <v>72</v>
      </c>
      <c r="B61" s="8" t="s">
        <v>19</v>
      </c>
      <c r="C61" s="8" t="s">
        <v>19</v>
      </c>
      <c r="D61" s="9" t="s">
        <v>73</v>
      </c>
      <c r="E61" s="10">
        <f>F61+I61</f>
        <v>405365437</v>
      </c>
      <c r="F61" s="10">
        <f>F62</f>
        <v>405365437</v>
      </c>
      <c r="G61" s="10">
        <f>G62</f>
        <v>297455215</v>
      </c>
      <c r="H61" s="10">
        <f>H62</f>
        <v>36013400</v>
      </c>
      <c r="I61" s="10">
        <f>I62</f>
        <v>0</v>
      </c>
      <c r="J61" s="10">
        <f>L61+O61</f>
        <v>40053335</v>
      </c>
      <c r="K61" s="10">
        <f>K62</f>
        <v>23047835</v>
      </c>
      <c r="L61" s="10">
        <f t="shared" ref="L61:O61" si="21">L62</f>
        <v>17005500</v>
      </c>
      <c r="M61" s="10">
        <f t="shared" si="21"/>
        <v>0</v>
      </c>
      <c r="N61" s="10">
        <f t="shared" si="21"/>
        <v>0</v>
      </c>
      <c r="O61" s="10">
        <f t="shared" si="21"/>
        <v>23047835</v>
      </c>
      <c r="P61" s="10">
        <f t="shared" si="0"/>
        <v>445418772</v>
      </c>
      <c r="Q61" s="5"/>
    </row>
    <row r="62" spans="1:17" ht="46.8">
      <c r="A62" s="8" t="s">
        <v>74</v>
      </c>
      <c r="B62" s="8" t="s">
        <v>19</v>
      </c>
      <c r="C62" s="8" t="s">
        <v>19</v>
      </c>
      <c r="D62" s="9" t="s">
        <v>73</v>
      </c>
      <c r="E62" s="10">
        <f>F62+I62</f>
        <v>405365437</v>
      </c>
      <c r="F62" s="10">
        <f>SUM(F63:F91)-F69-F70</f>
        <v>405365437</v>
      </c>
      <c r="G62" s="10">
        <f t="shared" ref="G62:I62" si="22">SUM(G63:G91)-G69-G70</f>
        <v>297455215</v>
      </c>
      <c r="H62" s="10">
        <f t="shared" si="22"/>
        <v>36013400</v>
      </c>
      <c r="I62" s="10">
        <f t="shared" si="22"/>
        <v>0</v>
      </c>
      <c r="J62" s="10">
        <f>L62+O62</f>
        <v>40053335</v>
      </c>
      <c r="K62" s="10">
        <f>SUM(K63:K91)-K69-K70</f>
        <v>23047835</v>
      </c>
      <c r="L62" s="10">
        <f t="shared" ref="L62:O62" si="23">SUM(L63:L91)-L69-L70</f>
        <v>17005500</v>
      </c>
      <c r="M62" s="10">
        <f t="shared" si="23"/>
        <v>0</v>
      </c>
      <c r="N62" s="10">
        <f t="shared" si="23"/>
        <v>0</v>
      </c>
      <c r="O62" s="10">
        <f t="shared" si="23"/>
        <v>23047835</v>
      </c>
      <c r="P62" s="10">
        <f>E62 + J62</f>
        <v>445418772</v>
      </c>
    </row>
    <row r="63" spans="1:17" ht="79.5" customHeight="1">
      <c r="A63" s="7" t="s">
        <v>75</v>
      </c>
      <c r="B63" s="7" t="s">
        <v>76</v>
      </c>
      <c r="C63" s="7" t="s">
        <v>24</v>
      </c>
      <c r="D63" s="11" t="s">
        <v>77</v>
      </c>
      <c r="E63" s="12">
        <f>F63+I63</f>
        <v>5954600</v>
      </c>
      <c r="F63" s="12">
        <v>5954600</v>
      </c>
      <c r="G63" s="12">
        <f>4429700+974500</f>
        <v>5404200</v>
      </c>
      <c r="H63" s="12">
        <f>222100+10400+210000+8800</f>
        <v>451300</v>
      </c>
      <c r="I63" s="12">
        <v>0</v>
      </c>
      <c r="J63" s="12">
        <f>L63+O63</f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5954600</v>
      </c>
    </row>
    <row r="64" spans="1:17">
      <c r="A64" s="7" t="s">
        <v>78</v>
      </c>
      <c r="B64" s="7" t="s">
        <v>79</v>
      </c>
      <c r="C64" s="7" t="s">
        <v>80</v>
      </c>
      <c r="D64" s="11" t="s">
        <v>81</v>
      </c>
      <c r="E64" s="12">
        <f t="shared" ref="E64:E90" si="24">F64+I64</f>
        <v>97807161</v>
      </c>
      <c r="F64" s="12">
        <f>101843700+145980+130000+3240500-1041260-2405300-2231800-1838375+259500-295784</f>
        <v>97807161</v>
      </c>
      <c r="G64" s="12">
        <f>65000000+14300000-1041260-3225300-1838375-295784</f>
        <v>72899281</v>
      </c>
      <c r="H64" s="12">
        <f>8000000+660000+3656100+157600+320000</f>
        <v>12793700</v>
      </c>
      <c r="I64" s="12">
        <v>0</v>
      </c>
      <c r="J64" s="12">
        <f t="shared" ref="J64:J91" si="25">L64+O64</f>
        <v>11737687</v>
      </c>
      <c r="K64" s="12">
        <f>1073037+700000+577000</f>
        <v>2350037</v>
      </c>
      <c r="L64" s="12">
        <v>9387650</v>
      </c>
      <c r="M64" s="12">
        <v>0</v>
      </c>
      <c r="N64" s="12">
        <v>0</v>
      </c>
      <c r="O64" s="12">
        <f>1073037+700000+577000</f>
        <v>2350037</v>
      </c>
      <c r="P64" s="12">
        <f t="shared" si="0"/>
        <v>109544848</v>
      </c>
    </row>
    <row r="65" spans="1:17" ht="60.75" customHeight="1">
      <c r="A65" s="7" t="s">
        <v>82</v>
      </c>
      <c r="B65" s="7" t="s">
        <v>83</v>
      </c>
      <c r="C65" s="7" t="s">
        <v>84</v>
      </c>
      <c r="D65" s="11" t="s">
        <v>85</v>
      </c>
      <c r="E65" s="12">
        <f t="shared" si="24"/>
        <v>100093792</v>
      </c>
      <c r="F65" s="12">
        <f>95351700+432180+146000+6788200+800000-2841388-492900-90000</f>
        <v>100093792</v>
      </c>
      <c r="G65" s="12">
        <f>38229200+8410300</f>
        <v>46639500</v>
      </c>
      <c r="H65" s="12">
        <f>10200000+608000+4800000+900000+675000</f>
        <v>17183000</v>
      </c>
      <c r="I65" s="12">
        <v>0</v>
      </c>
      <c r="J65" s="12">
        <f t="shared" si="25"/>
        <v>5243314</v>
      </c>
      <c r="K65" s="12">
        <f>1800000+800000-200000-546750+1009000+2173375</f>
        <v>5035625</v>
      </c>
      <c r="L65" s="12">
        <v>207689</v>
      </c>
      <c r="M65" s="12">
        <v>0</v>
      </c>
      <c r="N65" s="12">
        <v>0</v>
      </c>
      <c r="O65" s="12">
        <f>1800000+800000-200000-546750+1009000+2173375</f>
        <v>5035625</v>
      </c>
      <c r="P65" s="12">
        <f t="shared" si="0"/>
        <v>105337106</v>
      </c>
      <c r="Q65" s="5"/>
    </row>
    <row r="66" spans="1:17" ht="109.5" customHeight="1">
      <c r="A66" s="7" t="s">
        <v>86</v>
      </c>
      <c r="B66" s="7" t="s">
        <v>87</v>
      </c>
      <c r="C66" s="7" t="s">
        <v>88</v>
      </c>
      <c r="D66" s="11" t="s">
        <v>89</v>
      </c>
      <c r="E66" s="12">
        <f t="shared" si="24"/>
        <v>15479400</v>
      </c>
      <c r="F66" s="12">
        <f>14574000+13000+837400+51000+4000</f>
        <v>15479400</v>
      </c>
      <c r="G66" s="12">
        <f>7769100+1735200</f>
        <v>9504300</v>
      </c>
      <c r="H66" s="12">
        <f>871200+80500+661100+37300</f>
        <v>1650100</v>
      </c>
      <c r="I66" s="12">
        <v>0</v>
      </c>
      <c r="J66" s="12">
        <f t="shared" si="25"/>
        <v>9100</v>
      </c>
      <c r="K66" s="12">
        <v>9100</v>
      </c>
      <c r="L66" s="12">
        <v>0</v>
      </c>
      <c r="M66" s="12">
        <v>0</v>
      </c>
      <c r="N66" s="12">
        <v>0</v>
      </c>
      <c r="O66" s="12">
        <v>9100</v>
      </c>
      <c r="P66" s="12">
        <f t="shared" si="0"/>
        <v>15488500</v>
      </c>
    </row>
    <row r="67" spans="1:17" s="19" customFormat="1" ht="53.25" customHeight="1">
      <c r="A67" s="7" t="s">
        <v>90</v>
      </c>
      <c r="B67" s="7" t="s">
        <v>91</v>
      </c>
      <c r="C67" s="7" t="s">
        <v>84</v>
      </c>
      <c r="D67" s="11" t="s">
        <v>92</v>
      </c>
      <c r="E67" s="12">
        <f t="shared" si="24"/>
        <v>92648774</v>
      </c>
      <c r="F67" s="12">
        <f>F69+F70</f>
        <v>92648774</v>
      </c>
      <c r="G67" s="12">
        <f>G69+G70</f>
        <v>92648774</v>
      </c>
      <c r="H67" s="12">
        <v>0</v>
      </c>
      <c r="I67" s="12">
        <v>0</v>
      </c>
      <c r="J67" s="12">
        <f t="shared" si="25"/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92648774</v>
      </c>
    </row>
    <row r="68" spans="1:17" s="31" customFormat="1">
      <c r="A68" s="13"/>
      <c r="B68" s="13"/>
      <c r="C68" s="13"/>
      <c r="D68" s="1" t="s">
        <v>361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7" s="31" customFormat="1" ht="31.2">
      <c r="A69" s="13"/>
      <c r="B69" s="13"/>
      <c r="C69" s="13"/>
      <c r="D69" s="1" t="s">
        <v>362</v>
      </c>
      <c r="E69" s="14">
        <f t="shared" ref="E69:E70" si="26">F69+I69</f>
        <v>92366200</v>
      </c>
      <c r="F69" s="14">
        <f>92366200</f>
        <v>92366200</v>
      </c>
      <c r="G69" s="14">
        <f>92366200</f>
        <v>92366200</v>
      </c>
      <c r="H69" s="14"/>
      <c r="I69" s="14"/>
      <c r="J69" s="14"/>
      <c r="K69" s="14"/>
      <c r="L69" s="14"/>
      <c r="M69" s="14"/>
      <c r="N69" s="14"/>
      <c r="O69" s="14"/>
      <c r="P69" s="14">
        <f t="shared" si="0"/>
        <v>92366200</v>
      </c>
    </row>
    <row r="70" spans="1:17" s="31" customFormat="1" ht="31.2">
      <c r="A70" s="13"/>
      <c r="B70" s="13"/>
      <c r="C70" s="13"/>
      <c r="D70" s="1" t="s">
        <v>363</v>
      </c>
      <c r="E70" s="14">
        <f t="shared" si="26"/>
        <v>282574</v>
      </c>
      <c r="F70" s="14">
        <f>282574</f>
        <v>282574</v>
      </c>
      <c r="G70" s="14">
        <f>282574</f>
        <v>282574</v>
      </c>
      <c r="H70" s="14"/>
      <c r="I70" s="14"/>
      <c r="J70" s="14"/>
      <c r="K70" s="14"/>
      <c r="L70" s="14"/>
      <c r="M70" s="14"/>
      <c r="N70" s="14"/>
      <c r="O70" s="14"/>
      <c r="P70" s="14">
        <f t="shared" si="0"/>
        <v>282574</v>
      </c>
    </row>
    <row r="71" spans="1:17" s="19" customFormat="1" ht="107.25" customHeight="1">
      <c r="A71" s="7" t="s">
        <v>93</v>
      </c>
      <c r="B71" s="7" t="s">
        <v>94</v>
      </c>
      <c r="C71" s="7" t="s">
        <v>88</v>
      </c>
      <c r="D71" s="11" t="s">
        <v>95</v>
      </c>
      <c r="E71" s="12">
        <f t="shared" si="24"/>
        <v>10645300</v>
      </c>
      <c r="F71" s="12">
        <v>10645300</v>
      </c>
      <c r="G71" s="12">
        <v>10645300</v>
      </c>
      <c r="H71" s="12">
        <v>0</v>
      </c>
      <c r="I71" s="12">
        <v>0</v>
      </c>
      <c r="J71" s="12">
        <f t="shared" si="25"/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10645300</v>
      </c>
    </row>
    <row r="72" spans="1:17" ht="57" customHeight="1">
      <c r="A72" s="7" t="s">
        <v>96</v>
      </c>
      <c r="B72" s="7" t="s">
        <v>97</v>
      </c>
      <c r="C72" s="7" t="s">
        <v>98</v>
      </c>
      <c r="D72" s="11" t="s">
        <v>99</v>
      </c>
      <c r="E72" s="12">
        <f t="shared" si="24"/>
        <v>23399450</v>
      </c>
      <c r="F72" s="12">
        <f>22476900+13050+16000+793500+100000</f>
        <v>23399450</v>
      </c>
      <c r="G72" s="12">
        <f>15583500+3428400</f>
        <v>19011900</v>
      </c>
      <c r="H72" s="12">
        <f>217600+352800+674300+79100</f>
        <v>1323800</v>
      </c>
      <c r="I72" s="12">
        <v>0</v>
      </c>
      <c r="J72" s="12">
        <f t="shared" si="25"/>
        <v>193360</v>
      </c>
      <c r="K72" s="12">
        <v>4000</v>
      </c>
      <c r="L72" s="12">
        <v>189360</v>
      </c>
      <c r="M72" s="12">
        <v>0</v>
      </c>
      <c r="N72" s="12">
        <v>0</v>
      </c>
      <c r="O72" s="12">
        <v>4000</v>
      </c>
      <c r="P72" s="12">
        <f t="shared" si="0"/>
        <v>23592810</v>
      </c>
    </row>
    <row r="73" spans="1:17" ht="48.75" customHeight="1">
      <c r="A73" s="7" t="s">
        <v>100</v>
      </c>
      <c r="B73" s="7" t="s">
        <v>101</v>
      </c>
      <c r="C73" s="7" t="s">
        <v>102</v>
      </c>
      <c r="D73" s="11" t="s">
        <v>103</v>
      </c>
      <c r="E73" s="12">
        <f t="shared" si="24"/>
        <v>15000</v>
      </c>
      <c r="F73" s="12">
        <v>15000</v>
      </c>
      <c r="G73" s="12">
        <v>0</v>
      </c>
      <c r="H73" s="12">
        <v>0</v>
      </c>
      <c r="I73" s="12">
        <v>0</v>
      </c>
      <c r="J73" s="12">
        <f t="shared" si="25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15000</v>
      </c>
    </row>
    <row r="74" spans="1:17" ht="41.25" customHeight="1">
      <c r="A74" s="7" t="s">
        <v>104</v>
      </c>
      <c r="B74" s="7" t="s">
        <v>105</v>
      </c>
      <c r="C74" s="7" t="s">
        <v>106</v>
      </c>
      <c r="D74" s="11" t="s">
        <v>107</v>
      </c>
      <c r="E74" s="12">
        <f t="shared" si="24"/>
        <v>21528400</v>
      </c>
      <c r="F74" s="12">
        <f>27706400+25000+70000-5973000-300000</f>
        <v>21528400</v>
      </c>
      <c r="G74" s="12">
        <f>13803000+3036500</f>
        <v>16839500</v>
      </c>
      <c r="H74" s="12">
        <f>605500+60000+850000+111400</f>
        <v>1626900</v>
      </c>
      <c r="I74" s="12"/>
      <c r="J74" s="12">
        <f t="shared" si="25"/>
        <v>1</v>
      </c>
      <c r="K74" s="12">
        <v>0</v>
      </c>
      <c r="L74" s="12">
        <v>1</v>
      </c>
      <c r="M74" s="12">
        <v>0</v>
      </c>
      <c r="N74" s="12">
        <v>0</v>
      </c>
      <c r="O74" s="12">
        <v>0</v>
      </c>
      <c r="P74" s="12">
        <f t="shared" si="0"/>
        <v>21528401</v>
      </c>
    </row>
    <row r="75" spans="1:17" ht="60" customHeight="1">
      <c r="A75" s="7" t="s">
        <v>108</v>
      </c>
      <c r="B75" s="7" t="s">
        <v>109</v>
      </c>
      <c r="C75" s="7" t="s">
        <v>106</v>
      </c>
      <c r="D75" s="11" t="s">
        <v>110</v>
      </c>
      <c r="E75" s="12">
        <f t="shared" si="24"/>
        <v>909000</v>
      </c>
      <c r="F75" s="12">
        <f>703000+100000+6000+100000</f>
        <v>909000</v>
      </c>
      <c r="G75" s="12">
        <f>349500+76200</f>
        <v>425700</v>
      </c>
      <c r="H75" s="12">
        <f>50000+6500+58900+7900</f>
        <v>123300</v>
      </c>
      <c r="I75" s="12">
        <v>0</v>
      </c>
      <c r="J75" s="12">
        <f t="shared" si="2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909000</v>
      </c>
    </row>
    <row r="76" spans="1:17" s="19" customFormat="1" ht="62.25" customHeight="1">
      <c r="A76" s="15" t="s">
        <v>344</v>
      </c>
      <c r="B76" s="7">
        <v>1152</v>
      </c>
      <c r="C76" s="7" t="s">
        <v>106</v>
      </c>
      <c r="D76" s="11" t="s">
        <v>345</v>
      </c>
      <c r="E76" s="12">
        <f t="shared" si="24"/>
        <v>1895260</v>
      </c>
      <c r="F76" s="12">
        <f>1387870+507390</f>
        <v>1895260</v>
      </c>
      <c r="G76" s="12">
        <f>1387870+507390</f>
        <v>1895260</v>
      </c>
      <c r="H76" s="12"/>
      <c r="I76" s="12"/>
      <c r="J76" s="12"/>
      <c r="K76" s="12"/>
      <c r="L76" s="12"/>
      <c r="M76" s="12"/>
      <c r="N76" s="12"/>
      <c r="O76" s="12"/>
      <c r="P76" s="12">
        <f t="shared" si="0"/>
        <v>1895260</v>
      </c>
    </row>
    <row r="77" spans="1:17" ht="60" customHeight="1">
      <c r="A77" s="7" t="s">
        <v>111</v>
      </c>
      <c r="B77" s="7" t="s">
        <v>112</v>
      </c>
      <c r="C77" s="7" t="s">
        <v>106</v>
      </c>
      <c r="D77" s="11" t="s">
        <v>113</v>
      </c>
      <c r="E77" s="12">
        <f t="shared" si="24"/>
        <v>5073900</v>
      </c>
      <c r="F77" s="12">
        <f>4125500+145600+800000+2800</f>
        <v>5073900</v>
      </c>
      <c r="G77" s="12">
        <f>3167900+696900</f>
        <v>3864800</v>
      </c>
      <c r="H77" s="12">
        <f>18400+4300+15700+1800</f>
        <v>40200</v>
      </c>
      <c r="I77" s="12">
        <v>0</v>
      </c>
      <c r="J77" s="12">
        <f t="shared" si="25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5073900</v>
      </c>
    </row>
    <row r="78" spans="1:17" ht="143.25" customHeight="1">
      <c r="A78" s="15" t="s">
        <v>346</v>
      </c>
      <c r="B78" s="15" t="s">
        <v>351</v>
      </c>
      <c r="C78" s="15" t="s">
        <v>106</v>
      </c>
      <c r="D78" s="11" t="s">
        <v>356</v>
      </c>
      <c r="E78" s="12">
        <f t="shared" si="24"/>
        <v>0</v>
      </c>
      <c r="F78" s="12"/>
      <c r="G78" s="12"/>
      <c r="H78" s="12"/>
      <c r="I78" s="12"/>
      <c r="J78" s="12">
        <f t="shared" si="25"/>
        <v>1304329</v>
      </c>
      <c r="K78" s="12">
        <v>1304329</v>
      </c>
      <c r="L78" s="12"/>
      <c r="M78" s="12"/>
      <c r="N78" s="12"/>
      <c r="O78" s="12">
        <v>1304329</v>
      </c>
      <c r="P78" s="12">
        <f t="shared" si="0"/>
        <v>1304329</v>
      </c>
    </row>
    <row r="79" spans="1:17" ht="137.25" customHeight="1">
      <c r="A79" s="15" t="s">
        <v>347</v>
      </c>
      <c r="B79" s="15" t="s">
        <v>352</v>
      </c>
      <c r="C79" s="15" t="s">
        <v>106</v>
      </c>
      <c r="D79" s="11" t="s">
        <v>357</v>
      </c>
      <c r="E79" s="12">
        <f t="shared" si="24"/>
        <v>0</v>
      </c>
      <c r="F79" s="12"/>
      <c r="G79" s="12"/>
      <c r="H79" s="12"/>
      <c r="I79" s="12"/>
      <c r="J79" s="12">
        <f t="shared" si="25"/>
        <v>3043200</v>
      </c>
      <c r="K79" s="12">
        <v>3043200</v>
      </c>
      <c r="L79" s="12"/>
      <c r="M79" s="12"/>
      <c r="N79" s="12"/>
      <c r="O79" s="12">
        <v>3043200</v>
      </c>
      <c r="P79" s="12">
        <f t="shared" si="0"/>
        <v>3043200</v>
      </c>
    </row>
    <row r="80" spans="1:17" ht="125.25" customHeight="1">
      <c r="A80" s="15" t="s">
        <v>348</v>
      </c>
      <c r="B80" s="15" t="s">
        <v>353</v>
      </c>
      <c r="C80" s="15" t="s">
        <v>106</v>
      </c>
      <c r="D80" s="11" t="s">
        <v>358</v>
      </c>
      <c r="E80" s="12">
        <f t="shared" si="24"/>
        <v>330900</v>
      </c>
      <c r="F80" s="12">
        <v>330900</v>
      </c>
      <c r="G80" s="12"/>
      <c r="H80" s="12"/>
      <c r="I80" s="12"/>
      <c r="J80" s="12">
        <f t="shared" si="25"/>
        <v>0</v>
      </c>
      <c r="K80" s="12"/>
      <c r="L80" s="12"/>
      <c r="M80" s="12"/>
      <c r="N80" s="12"/>
      <c r="O80" s="12"/>
      <c r="P80" s="12">
        <f t="shared" si="0"/>
        <v>330900</v>
      </c>
    </row>
    <row r="81" spans="1:17" ht="202.5" customHeight="1">
      <c r="A81" s="15" t="s">
        <v>396</v>
      </c>
      <c r="B81" s="15" t="s">
        <v>397</v>
      </c>
      <c r="C81" s="15" t="s">
        <v>106</v>
      </c>
      <c r="D81" s="11" t="s">
        <v>398</v>
      </c>
      <c r="E81" s="12">
        <f t="shared" si="24"/>
        <v>0</v>
      </c>
      <c r="F81" s="12"/>
      <c r="G81" s="12"/>
      <c r="H81" s="12"/>
      <c r="I81" s="12"/>
      <c r="J81" s="12">
        <f t="shared" si="25"/>
        <v>50000</v>
      </c>
      <c r="K81" s="12">
        <v>50000</v>
      </c>
      <c r="L81" s="12"/>
      <c r="M81" s="12"/>
      <c r="N81" s="12"/>
      <c r="O81" s="12">
        <v>50000</v>
      </c>
      <c r="P81" s="12">
        <f t="shared" si="0"/>
        <v>50000</v>
      </c>
    </row>
    <row r="82" spans="1:17" s="19" customFormat="1" ht="171.6">
      <c r="A82" s="15" t="s">
        <v>418</v>
      </c>
      <c r="B82" s="15" t="s">
        <v>419</v>
      </c>
      <c r="C82" s="15" t="s">
        <v>106</v>
      </c>
      <c r="D82" s="11" t="s">
        <v>420</v>
      </c>
      <c r="E82" s="12">
        <f t="shared" si="24"/>
        <v>0</v>
      </c>
      <c r="F82" s="12"/>
      <c r="G82" s="12"/>
      <c r="H82" s="12"/>
      <c r="I82" s="12"/>
      <c r="J82" s="12">
        <f t="shared" si="25"/>
        <v>50000</v>
      </c>
      <c r="K82" s="12">
        <v>50000</v>
      </c>
      <c r="L82" s="12"/>
      <c r="M82" s="12"/>
      <c r="N82" s="12"/>
      <c r="O82" s="12">
        <v>50000</v>
      </c>
      <c r="P82" s="12">
        <f t="shared" si="0"/>
        <v>50000</v>
      </c>
    </row>
    <row r="83" spans="1:17" s="19" customFormat="1" ht="109.2">
      <c r="A83" s="15" t="s">
        <v>421</v>
      </c>
      <c r="B83" s="15" t="s">
        <v>422</v>
      </c>
      <c r="C83" s="15" t="s">
        <v>106</v>
      </c>
      <c r="D83" s="11" t="s">
        <v>423</v>
      </c>
      <c r="E83" s="12">
        <f t="shared" si="24"/>
        <v>0</v>
      </c>
      <c r="F83" s="12"/>
      <c r="G83" s="12"/>
      <c r="H83" s="12"/>
      <c r="I83" s="12"/>
      <c r="J83" s="12">
        <f t="shared" si="25"/>
        <v>1500000</v>
      </c>
      <c r="K83" s="12">
        <v>1500000</v>
      </c>
      <c r="L83" s="12"/>
      <c r="M83" s="12"/>
      <c r="N83" s="12"/>
      <c r="O83" s="12">
        <v>1500000</v>
      </c>
      <c r="P83" s="12">
        <f t="shared" si="0"/>
        <v>1500000</v>
      </c>
    </row>
    <row r="84" spans="1:17" ht="88.5" customHeight="1">
      <c r="A84" s="15" t="s">
        <v>408</v>
      </c>
      <c r="B84" s="15" t="s">
        <v>409</v>
      </c>
      <c r="C84" s="15" t="s">
        <v>106</v>
      </c>
      <c r="D84" s="11" t="s">
        <v>410</v>
      </c>
      <c r="E84" s="12">
        <f t="shared" si="24"/>
        <v>0</v>
      </c>
      <c r="F84" s="12"/>
      <c r="G84" s="12"/>
      <c r="H84" s="12"/>
      <c r="I84" s="12"/>
      <c r="J84" s="12">
        <f t="shared" si="25"/>
        <v>1400000</v>
      </c>
      <c r="K84" s="12">
        <v>1400000</v>
      </c>
      <c r="L84" s="12"/>
      <c r="M84" s="12"/>
      <c r="N84" s="12"/>
      <c r="O84" s="12">
        <v>1400000</v>
      </c>
      <c r="P84" s="12">
        <f t="shared" si="0"/>
        <v>1400000</v>
      </c>
    </row>
    <row r="85" spans="1:17" ht="88.5" customHeight="1">
      <c r="A85" s="15" t="s">
        <v>349</v>
      </c>
      <c r="B85" s="15" t="s">
        <v>354</v>
      </c>
      <c r="C85" s="15" t="s">
        <v>106</v>
      </c>
      <c r="D85" s="11" t="s">
        <v>359</v>
      </c>
      <c r="E85" s="12">
        <f t="shared" si="24"/>
        <v>0</v>
      </c>
      <c r="F85" s="12"/>
      <c r="G85" s="12"/>
      <c r="H85" s="12"/>
      <c r="I85" s="12"/>
      <c r="J85" s="12">
        <f t="shared" si="25"/>
        <v>7220800</v>
      </c>
      <c r="K85" s="12"/>
      <c r="L85" s="12">
        <v>7220800</v>
      </c>
      <c r="M85" s="12"/>
      <c r="N85" s="12"/>
      <c r="O85" s="12"/>
      <c r="P85" s="12">
        <f t="shared" si="0"/>
        <v>7220800</v>
      </c>
    </row>
    <row r="86" spans="1:17" ht="90" customHeight="1">
      <c r="A86" s="15" t="s">
        <v>350</v>
      </c>
      <c r="B86" s="15" t="s">
        <v>355</v>
      </c>
      <c r="C86" s="15" t="s">
        <v>106</v>
      </c>
      <c r="D86" s="11" t="s">
        <v>360</v>
      </c>
      <c r="E86" s="12">
        <f t="shared" si="24"/>
        <v>7051000</v>
      </c>
      <c r="F86" s="12">
        <v>7051000</v>
      </c>
      <c r="G86" s="12">
        <v>7051000</v>
      </c>
      <c r="H86" s="12"/>
      <c r="I86" s="12"/>
      <c r="J86" s="12">
        <f t="shared" si="25"/>
        <v>0</v>
      </c>
      <c r="K86" s="12"/>
      <c r="L86" s="12"/>
      <c r="M86" s="12"/>
      <c r="N86" s="12"/>
      <c r="O86" s="12"/>
      <c r="P86" s="12">
        <f t="shared" si="0"/>
        <v>7051000</v>
      </c>
    </row>
    <row r="87" spans="1:17" ht="100.5" customHeight="1">
      <c r="A87" s="7" t="s">
        <v>114</v>
      </c>
      <c r="B87" s="7" t="s">
        <v>115</v>
      </c>
      <c r="C87" s="7" t="s">
        <v>116</v>
      </c>
      <c r="D87" s="11" t="s">
        <v>117</v>
      </c>
      <c r="E87" s="12">
        <f t="shared" si="24"/>
        <v>2986000</v>
      </c>
      <c r="F87" s="12">
        <f>4638400-500000-1152400</f>
        <v>2986000</v>
      </c>
      <c r="G87" s="12">
        <v>0</v>
      </c>
      <c r="H87" s="12">
        <v>0</v>
      </c>
      <c r="I87" s="12">
        <v>0</v>
      </c>
      <c r="J87" s="12">
        <f t="shared" si="25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2986000</v>
      </c>
    </row>
    <row r="88" spans="1:17" ht="37.5" customHeight="1">
      <c r="A88" s="7" t="s">
        <v>118</v>
      </c>
      <c r="B88" s="7" t="s">
        <v>51</v>
      </c>
      <c r="C88" s="7" t="s">
        <v>52</v>
      </c>
      <c r="D88" s="11" t="s">
        <v>53</v>
      </c>
      <c r="E88" s="12">
        <f t="shared" si="24"/>
        <v>4101000</v>
      </c>
      <c r="F88" s="12">
        <v>4101000</v>
      </c>
      <c r="G88" s="12">
        <v>0</v>
      </c>
      <c r="H88" s="12">
        <v>0</v>
      </c>
      <c r="I88" s="12">
        <v>0</v>
      </c>
      <c r="J88" s="12">
        <f t="shared" si="2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0"/>
        <v>4101000</v>
      </c>
    </row>
    <row r="89" spans="1:17" ht="74.25" customHeight="1">
      <c r="A89" s="7" t="s">
        <v>119</v>
      </c>
      <c r="B89" s="7" t="s">
        <v>120</v>
      </c>
      <c r="C89" s="7" t="s">
        <v>121</v>
      </c>
      <c r="D89" s="11" t="s">
        <v>340</v>
      </c>
      <c r="E89" s="12">
        <f t="shared" si="24"/>
        <v>13393500</v>
      </c>
      <c r="F89" s="12">
        <f>12646800+12000+473000+248000-310000+500000-176300</f>
        <v>13393500</v>
      </c>
      <c r="G89" s="12">
        <f>8709600+1916100</f>
        <v>10625700</v>
      </c>
      <c r="H89" s="12">
        <f>657600+21600+127000+14900</f>
        <v>821100</v>
      </c>
      <c r="I89" s="12">
        <v>0</v>
      </c>
      <c r="J89" s="12">
        <f t="shared" si="25"/>
        <v>310000</v>
      </c>
      <c r="K89" s="12">
        <v>310000</v>
      </c>
      <c r="L89" s="12">
        <v>0</v>
      </c>
      <c r="M89" s="12">
        <v>0</v>
      </c>
      <c r="N89" s="12">
        <v>0</v>
      </c>
      <c r="O89" s="12">
        <v>310000</v>
      </c>
      <c r="P89" s="12">
        <f t="shared" ref="P89:P128" si="27">E89 + J89</f>
        <v>13703500</v>
      </c>
    </row>
    <row r="90" spans="1:17" ht="35.25" customHeight="1">
      <c r="A90" s="15" t="s">
        <v>288</v>
      </c>
      <c r="B90" s="15" t="s">
        <v>283</v>
      </c>
      <c r="C90" s="15" t="s">
        <v>285</v>
      </c>
      <c r="D90" s="11" t="s">
        <v>284</v>
      </c>
      <c r="E90" s="12">
        <f t="shared" si="24"/>
        <v>1273000</v>
      </c>
      <c r="F90" s="12">
        <f>500000+600000+173000</f>
        <v>1273000</v>
      </c>
      <c r="G90" s="12"/>
      <c r="H90" s="12"/>
      <c r="I90" s="12"/>
      <c r="J90" s="12">
        <f t="shared" si="25"/>
        <v>0</v>
      </c>
      <c r="K90" s="12"/>
      <c r="L90" s="12"/>
      <c r="M90" s="12"/>
      <c r="N90" s="12"/>
      <c r="O90" s="12"/>
      <c r="P90" s="12">
        <f t="shared" si="27"/>
        <v>1273000</v>
      </c>
    </row>
    <row r="91" spans="1:17" ht="54.75" customHeight="1">
      <c r="A91" s="15" t="s">
        <v>289</v>
      </c>
      <c r="B91" s="15">
        <v>8110</v>
      </c>
      <c r="C91" s="15" t="s">
        <v>238</v>
      </c>
      <c r="D91" s="11" t="s">
        <v>239</v>
      </c>
      <c r="E91" s="12">
        <f>F91+I91</f>
        <v>780000</v>
      </c>
      <c r="F91" s="12">
        <v>780000</v>
      </c>
      <c r="G91" s="12"/>
      <c r="H91" s="12"/>
      <c r="I91" s="12"/>
      <c r="J91" s="12">
        <f t="shared" si="25"/>
        <v>7991544</v>
      </c>
      <c r="K91" s="12">
        <f>200000+6894650+200000-37590-211300+780000-130000+295784</f>
        <v>7991544</v>
      </c>
      <c r="L91" s="12"/>
      <c r="M91" s="12"/>
      <c r="N91" s="12"/>
      <c r="O91" s="12">
        <f>200000+6894650+200000-37590-211300+780000-130000+295784</f>
        <v>7991544</v>
      </c>
      <c r="P91" s="12">
        <f>E91 + J91</f>
        <v>8771544</v>
      </c>
    </row>
    <row r="92" spans="1:17" ht="58.5" customHeight="1">
      <c r="A92" s="8" t="s">
        <v>122</v>
      </c>
      <c r="B92" s="8" t="s">
        <v>19</v>
      </c>
      <c r="C92" s="8" t="s">
        <v>19</v>
      </c>
      <c r="D92" s="9" t="s">
        <v>123</v>
      </c>
      <c r="E92" s="10">
        <f>F92+I92</f>
        <v>119647947.87</v>
      </c>
      <c r="F92" s="10">
        <f>F93</f>
        <v>119647947.87</v>
      </c>
      <c r="G92" s="10">
        <f>G93</f>
        <v>47210242.870000005</v>
      </c>
      <c r="H92" s="10">
        <f>H93</f>
        <v>1477200</v>
      </c>
      <c r="I92" s="10">
        <f>I93</f>
        <v>0</v>
      </c>
      <c r="J92" s="10">
        <f>L92+O92</f>
        <v>7822299</v>
      </c>
      <c r="K92" s="10">
        <f>K93</f>
        <v>7640299</v>
      </c>
      <c r="L92" s="10">
        <f t="shared" ref="L92:O92" si="28">L93</f>
        <v>57000</v>
      </c>
      <c r="M92" s="10">
        <f t="shared" si="28"/>
        <v>0</v>
      </c>
      <c r="N92" s="10">
        <f t="shared" si="28"/>
        <v>0</v>
      </c>
      <c r="O92" s="10">
        <f t="shared" si="28"/>
        <v>7765299</v>
      </c>
      <c r="P92" s="10">
        <f t="shared" si="27"/>
        <v>127470246.87</v>
      </c>
      <c r="Q92" s="5"/>
    </row>
    <row r="93" spans="1:17" ht="60.75" customHeight="1">
      <c r="A93" s="8" t="s">
        <v>124</v>
      </c>
      <c r="B93" s="8" t="s">
        <v>19</v>
      </c>
      <c r="C93" s="8" t="s">
        <v>19</v>
      </c>
      <c r="D93" s="9" t="s">
        <v>123</v>
      </c>
      <c r="E93" s="10">
        <f>F93+I93</f>
        <v>119647947.87</v>
      </c>
      <c r="F93" s="10">
        <f>SUM(F94:F112)</f>
        <v>119647947.87</v>
      </c>
      <c r="G93" s="10">
        <f t="shared" ref="G93:K93" si="29">SUM(G94:G112)</f>
        <v>47210242.870000005</v>
      </c>
      <c r="H93" s="10">
        <f t="shared" si="29"/>
        <v>1477200</v>
      </c>
      <c r="I93" s="10">
        <f t="shared" si="29"/>
        <v>0</v>
      </c>
      <c r="J93" s="10">
        <f>L93+O93</f>
        <v>7822299</v>
      </c>
      <c r="K93" s="10">
        <f t="shared" si="29"/>
        <v>7640299</v>
      </c>
      <c r="L93" s="10">
        <f t="shared" ref="L93" si="30">SUM(L94:L112)</f>
        <v>57000</v>
      </c>
      <c r="M93" s="10">
        <f t="shared" ref="M93" si="31">SUM(M94:M112)</f>
        <v>0</v>
      </c>
      <c r="N93" s="10">
        <f t="shared" ref="N93" si="32">SUM(N94:N112)</f>
        <v>0</v>
      </c>
      <c r="O93" s="10">
        <f t="shared" ref="O93" si="33">SUM(O94:O112)</f>
        <v>7765299</v>
      </c>
      <c r="P93" s="10">
        <f t="shared" si="27"/>
        <v>127470246.87</v>
      </c>
      <c r="Q93" s="5"/>
    </row>
    <row r="94" spans="1:17" ht="69.75" customHeight="1">
      <c r="A94" s="7" t="s">
        <v>125</v>
      </c>
      <c r="B94" s="7" t="s">
        <v>76</v>
      </c>
      <c r="C94" s="7" t="s">
        <v>24</v>
      </c>
      <c r="D94" s="11" t="s">
        <v>77</v>
      </c>
      <c r="E94" s="12">
        <f>F94+I94</f>
        <v>22512700</v>
      </c>
      <c r="F94" s="12">
        <v>22512700</v>
      </c>
      <c r="G94" s="12">
        <f>17437500+3836200</f>
        <v>21273700</v>
      </c>
      <c r="H94" s="12">
        <f>500000+20000+300000</f>
        <v>820000</v>
      </c>
      <c r="I94" s="12">
        <v>0</v>
      </c>
      <c r="J94" s="12">
        <f>L94+O94</f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7"/>
        <v>22512700</v>
      </c>
    </row>
    <row r="95" spans="1:17" ht="42.75" customHeight="1">
      <c r="A95" s="7" t="s">
        <v>126</v>
      </c>
      <c r="B95" s="7" t="s">
        <v>31</v>
      </c>
      <c r="C95" s="7" t="s">
        <v>32</v>
      </c>
      <c r="D95" s="11" t="s">
        <v>33</v>
      </c>
      <c r="E95" s="12">
        <f t="shared" ref="E95:E115" si="34">F95+I95</f>
        <v>105000</v>
      </c>
      <c r="F95" s="12">
        <f>50000+55000</f>
        <v>105000</v>
      </c>
      <c r="G95" s="12">
        <v>0</v>
      </c>
      <c r="H95" s="12">
        <v>0</v>
      </c>
      <c r="I95" s="12">
        <v>0</v>
      </c>
      <c r="J95" s="12">
        <f t="shared" ref="J95:J186" si="35">L95+O95</f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7"/>
        <v>105000</v>
      </c>
    </row>
    <row r="96" spans="1:17" ht="46.8">
      <c r="A96" s="7" t="s">
        <v>127</v>
      </c>
      <c r="B96" s="7" t="s">
        <v>128</v>
      </c>
      <c r="C96" s="7" t="s">
        <v>129</v>
      </c>
      <c r="D96" s="11" t="s">
        <v>130</v>
      </c>
      <c r="E96" s="12">
        <f t="shared" si="34"/>
        <v>3161000</v>
      </c>
      <c r="F96" s="12">
        <v>3161000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3161000</v>
      </c>
    </row>
    <row r="97" spans="1:16" ht="37.5" customHeight="1">
      <c r="A97" s="7" t="s">
        <v>131</v>
      </c>
      <c r="B97" s="7" t="s">
        <v>132</v>
      </c>
      <c r="C97" s="7" t="s">
        <v>97</v>
      </c>
      <c r="D97" s="11" t="s">
        <v>133</v>
      </c>
      <c r="E97" s="12">
        <f t="shared" si="34"/>
        <v>5000</v>
      </c>
      <c r="F97" s="12">
        <v>5000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5000</v>
      </c>
    </row>
    <row r="98" spans="1:16" s="19" customFormat="1" ht="57" customHeight="1">
      <c r="A98" s="7" t="s">
        <v>134</v>
      </c>
      <c r="B98" s="7" t="s">
        <v>135</v>
      </c>
      <c r="C98" s="7" t="s">
        <v>97</v>
      </c>
      <c r="D98" s="11" t="s">
        <v>136</v>
      </c>
      <c r="E98" s="12">
        <f t="shared" si="34"/>
        <v>444119</v>
      </c>
      <c r="F98" s="12">
        <v>444119</v>
      </c>
      <c r="G98" s="12">
        <v>0</v>
      </c>
      <c r="H98" s="12">
        <v>0</v>
      </c>
      <c r="I98" s="12">
        <v>0</v>
      </c>
      <c r="J98" s="12">
        <f t="shared" si="35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7"/>
        <v>444119</v>
      </c>
    </row>
    <row r="99" spans="1:16" s="19" customFormat="1" ht="57" customHeight="1">
      <c r="A99" s="7" t="s">
        <v>137</v>
      </c>
      <c r="B99" s="7" t="s">
        <v>138</v>
      </c>
      <c r="C99" s="7" t="s">
        <v>129</v>
      </c>
      <c r="D99" s="11" t="s">
        <v>139</v>
      </c>
      <c r="E99" s="12">
        <f t="shared" si="34"/>
        <v>83516</v>
      </c>
      <c r="F99" s="12">
        <v>83516</v>
      </c>
      <c r="G99" s="12">
        <v>0</v>
      </c>
      <c r="H99" s="12">
        <v>0</v>
      </c>
      <c r="I99" s="12">
        <v>0</v>
      </c>
      <c r="J99" s="12">
        <f t="shared" si="35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7"/>
        <v>83516</v>
      </c>
    </row>
    <row r="100" spans="1:16" ht="84.75" customHeight="1">
      <c r="A100" s="7" t="s">
        <v>140</v>
      </c>
      <c r="B100" s="7" t="s">
        <v>141</v>
      </c>
      <c r="C100" s="7" t="s">
        <v>142</v>
      </c>
      <c r="D100" s="11" t="s">
        <v>143</v>
      </c>
      <c r="E100" s="12">
        <f t="shared" si="34"/>
        <v>18855774.870000001</v>
      </c>
      <c r="F100" s="12">
        <f>17480300+1200000+175474.87</f>
        <v>18855774.870000001</v>
      </c>
      <c r="G100" s="12">
        <f>13304500+2932600+1200000+175474.87</f>
        <v>17612574.870000001</v>
      </c>
      <c r="H100" s="12">
        <f>190000+6000+140000</f>
        <v>336000</v>
      </c>
      <c r="I100" s="12">
        <v>0</v>
      </c>
      <c r="J100" s="12">
        <f t="shared" si="35"/>
        <v>182000</v>
      </c>
      <c r="K100" s="12">
        <v>0</v>
      </c>
      <c r="L100" s="12">
        <v>57000</v>
      </c>
      <c r="M100" s="12">
        <v>0</v>
      </c>
      <c r="N100" s="12">
        <v>0</v>
      </c>
      <c r="O100" s="12">
        <v>125000</v>
      </c>
      <c r="P100" s="12">
        <f t="shared" si="27"/>
        <v>19037774.870000001</v>
      </c>
    </row>
    <row r="101" spans="1:16" ht="126.75" customHeight="1">
      <c r="A101" s="7" t="s">
        <v>144</v>
      </c>
      <c r="B101" s="7" t="s">
        <v>145</v>
      </c>
      <c r="C101" s="7" t="s">
        <v>116</v>
      </c>
      <c r="D101" s="11" t="s">
        <v>338</v>
      </c>
      <c r="E101" s="12">
        <f t="shared" si="34"/>
        <v>10294200</v>
      </c>
      <c r="F101" s="12">
        <f>9208500+93000+98000+894700</f>
        <v>10294200</v>
      </c>
      <c r="G101" s="12">
        <f>6040000+1344700+334650</f>
        <v>7719350</v>
      </c>
      <c r="H101" s="12">
        <f>123600+18800+178800</f>
        <v>321200</v>
      </c>
      <c r="I101" s="12">
        <v>0</v>
      </c>
      <c r="J101" s="12">
        <f t="shared" si="35"/>
        <v>991625</v>
      </c>
      <c r="K101" s="12">
        <v>991625</v>
      </c>
      <c r="L101" s="12">
        <v>0</v>
      </c>
      <c r="M101" s="12">
        <v>0</v>
      </c>
      <c r="N101" s="12">
        <v>0</v>
      </c>
      <c r="O101" s="12">
        <v>991625</v>
      </c>
      <c r="P101" s="12">
        <f t="shared" si="27"/>
        <v>11285825</v>
      </c>
    </row>
    <row r="102" spans="1:16" ht="44.25" customHeight="1">
      <c r="A102" s="7" t="s">
        <v>146</v>
      </c>
      <c r="B102" s="7" t="s">
        <v>147</v>
      </c>
      <c r="C102" s="7" t="s">
        <v>116</v>
      </c>
      <c r="D102" s="11" t="s">
        <v>148</v>
      </c>
      <c r="E102" s="12">
        <f t="shared" si="34"/>
        <v>652500</v>
      </c>
      <c r="F102" s="12">
        <f>707500-55000</f>
        <v>652500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652500</v>
      </c>
    </row>
    <row r="103" spans="1:16" ht="106.95" hidden="1" customHeight="1">
      <c r="A103" s="15" t="s">
        <v>290</v>
      </c>
      <c r="B103" s="7" t="s">
        <v>115</v>
      </c>
      <c r="C103" s="7" t="s">
        <v>116</v>
      </c>
      <c r="D103" s="11" t="s">
        <v>117</v>
      </c>
      <c r="E103" s="12">
        <f t="shared" si="34"/>
        <v>0</v>
      </c>
      <c r="F103" s="12">
        <f>200000+1000000-287300-912700</f>
        <v>0</v>
      </c>
      <c r="G103" s="12">
        <v>0</v>
      </c>
      <c r="H103" s="12">
        <v>0</v>
      </c>
      <c r="I103" s="12">
        <v>0</v>
      </c>
      <c r="J103" s="12">
        <f t="shared" si="35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7"/>
        <v>0</v>
      </c>
    </row>
    <row r="104" spans="1:16" ht="121.5" customHeight="1">
      <c r="A104" s="7" t="s">
        <v>149</v>
      </c>
      <c r="B104" s="7" t="s">
        <v>150</v>
      </c>
      <c r="C104" s="7" t="s">
        <v>79</v>
      </c>
      <c r="D104" s="11" t="s">
        <v>151</v>
      </c>
      <c r="E104" s="12">
        <f t="shared" si="34"/>
        <v>3300000</v>
      </c>
      <c r="F104" s="12">
        <v>3300000</v>
      </c>
      <c r="G104" s="12">
        <v>0</v>
      </c>
      <c r="H104" s="12">
        <v>0</v>
      </c>
      <c r="I104" s="12">
        <v>0</v>
      </c>
      <c r="J104" s="12">
        <f t="shared" si="35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7"/>
        <v>3300000</v>
      </c>
    </row>
    <row r="105" spans="1:16" s="19" customFormat="1" ht="86.25" customHeight="1">
      <c r="A105" s="7" t="s">
        <v>152</v>
      </c>
      <c r="B105" s="7" t="s">
        <v>153</v>
      </c>
      <c r="C105" s="7" t="s">
        <v>79</v>
      </c>
      <c r="D105" s="11" t="s">
        <v>154</v>
      </c>
      <c r="E105" s="12">
        <f t="shared" si="34"/>
        <v>28720</v>
      </c>
      <c r="F105" s="12">
        <v>28720</v>
      </c>
      <c r="G105" s="12">
        <v>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28720</v>
      </c>
    </row>
    <row r="106" spans="1:16" ht="93.6">
      <c r="A106" s="7" t="s">
        <v>155</v>
      </c>
      <c r="B106" s="7" t="s">
        <v>156</v>
      </c>
      <c r="C106" s="7" t="s">
        <v>157</v>
      </c>
      <c r="D106" s="11" t="s">
        <v>158</v>
      </c>
      <c r="E106" s="12">
        <f t="shared" si="34"/>
        <v>1000000</v>
      </c>
      <c r="F106" s="12">
        <v>1000000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27"/>
        <v>1000000</v>
      </c>
    </row>
    <row r="107" spans="1:16" ht="74.25" customHeight="1">
      <c r="A107" s="7" t="s">
        <v>159</v>
      </c>
      <c r="B107" s="7" t="s">
        <v>160</v>
      </c>
      <c r="C107" s="7" t="s">
        <v>129</v>
      </c>
      <c r="D107" s="11" t="s">
        <v>161</v>
      </c>
      <c r="E107" s="12">
        <f t="shared" si="34"/>
        <v>71000</v>
      </c>
      <c r="F107" s="12">
        <v>71000</v>
      </c>
      <c r="G107" s="12">
        <v>0</v>
      </c>
      <c r="H107" s="12">
        <v>0</v>
      </c>
      <c r="I107" s="12">
        <v>0</v>
      </c>
      <c r="J107" s="12">
        <f t="shared" si="35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27"/>
        <v>71000</v>
      </c>
    </row>
    <row r="108" spans="1:16" ht="100.5" customHeight="1">
      <c r="A108" s="15" t="s">
        <v>389</v>
      </c>
      <c r="B108" s="7">
        <v>3193</v>
      </c>
      <c r="C108" s="7">
        <v>1030</v>
      </c>
      <c r="D108" s="11" t="s">
        <v>388</v>
      </c>
      <c r="E108" s="12">
        <f t="shared" si="34"/>
        <v>604618</v>
      </c>
      <c r="F108" s="12">
        <v>604618</v>
      </c>
      <c r="G108" s="12">
        <v>604618</v>
      </c>
      <c r="H108" s="12"/>
      <c r="I108" s="12"/>
      <c r="J108" s="12">
        <f t="shared" si="35"/>
        <v>0</v>
      </c>
      <c r="K108" s="12"/>
      <c r="L108" s="12"/>
      <c r="M108" s="12"/>
      <c r="N108" s="12"/>
      <c r="O108" s="12"/>
      <c r="P108" s="12">
        <f t="shared" si="27"/>
        <v>604618</v>
      </c>
    </row>
    <row r="109" spans="1:16" s="19" customFormat="1" ht="409.6">
      <c r="A109" s="15" t="s">
        <v>424</v>
      </c>
      <c r="B109" s="33">
        <v>3225</v>
      </c>
      <c r="C109" s="33">
        <v>1060</v>
      </c>
      <c r="D109" s="11" t="s">
        <v>425</v>
      </c>
      <c r="E109" s="12">
        <f t="shared" si="34"/>
        <v>0</v>
      </c>
      <c r="F109" s="12"/>
      <c r="G109" s="12"/>
      <c r="H109" s="12"/>
      <c r="I109" s="12"/>
      <c r="J109" s="12">
        <f t="shared" si="35"/>
        <v>6648674</v>
      </c>
      <c r="K109" s="12">
        <v>6648674</v>
      </c>
      <c r="L109" s="12"/>
      <c r="M109" s="12"/>
      <c r="N109" s="12"/>
      <c r="O109" s="12">
        <v>6648674</v>
      </c>
      <c r="P109" s="12">
        <f t="shared" si="27"/>
        <v>6648674</v>
      </c>
    </row>
    <row r="110" spans="1:16" ht="72.75" customHeight="1">
      <c r="A110" s="7" t="s">
        <v>162</v>
      </c>
      <c r="B110" s="7" t="s">
        <v>163</v>
      </c>
      <c r="C110" s="7" t="s">
        <v>97</v>
      </c>
      <c r="D110" s="11" t="s">
        <v>164</v>
      </c>
      <c r="E110" s="12">
        <f t="shared" si="34"/>
        <v>497600</v>
      </c>
      <c r="F110" s="12">
        <v>497600</v>
      </c>
      <c r="G110" s="12">
        <v>0</v>
      </c>
      <c r="H110" s="12">
        <v>0</v>
      </c>
      <c r="I110" s="12">
        <v>0</v>
      </c>
      <c r="J110" s="12">
        <f t="shared" si="35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27"/>
        <v>497600</v>
      </c>
    </row>
    <row r="111" spans="1:16" ht="41.25" customHeight="1">
      <c r="A111" s="7" t="s">
        <v>165</v>
      </c>
      <c r="B111" s="7" t="s">
        <v>51</v>
      </c>
      <c r="C111" s="7" t="s">
        <v>52</v>
      </c>
      <c r="D111" s="11" t="s">
        <v>53</v>
      </c>
      <c r="E111" s="12">
        <f t="shared" si="34"/>
        <v>57648400</v>
      </c>
      <c r="F111" s="12">
        <f>57048400-35000000+1000000+35000000-1000000+600000</f>
        <v>57648400</v>
      </c>
      <c r="G111" s="12">
        <v>0</v>
      </c>
      <c r="H111" s="12">
        <v>0</v>
      </c>
      <c r="I111" s="12">
        <v>0</v>
      </c>
      <c r="J111" s="12">
        <f t="shared" si="35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27"/>
        <v>57648400</v>
      </c>
    </row>
    <row r="112" spans="1:16" ht="31.2">
      <c r="A112" s="15" t="s">
        <v>291</v>
      </c>
      <c r="B112" s="15" t="s">
        <v>283</v>
      </c>
      <c r="C112" s="15" t="s">
        <v>285</v>
      </c>
      <c r="D112" s="11" t="s">
        <v>284</v>
      </c>
      <c r="E112" s="12">
        <f t="shared" si="34"/>
        <v>383800</v>
      </c>
      <c r="F112" s="12">
        <f>SUM(F113:F115)</f>
        <v>383800</v>
      </c>
      <c r="G112" s="12"/>
      <c r="H112" s="12"/>
      <c r="I112" s="12"/>
      <c r="J112" s="12">
        <f t="shared" si="35"/>
        <v>0</v>
      </c>
      <c r="K112" s="12"/>
      <c r="L112" s="12"/>
      <c r="M112" s="12"/>
      <c r="N112" s="12"/>
      <c r="O112" s="12"/>
      <c r="P112" s="12">
        <f t="shared" ref="P112:P115" si="36">E112 + J112</f>
        <v>383800</v>
      </c>
    </row>
    <row r="113" spans="1:17" s="6" customFormat="1" ht="46.8">
      <c r="A113" s="18"/>
      <c r="B113" s="18"/>
      <c r="C113" s="18"/>
      <c r="D113" s="1" t="s">
        <v>307</v>
      </c>
      <c r="E113" s="14">
        <f t="shared" si="34"/>
        <v>96200</v>
      </c>
      <c r="F113" s="14">
        <v>96200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6"/>
        <v>96200</v>
      </c>
    </row>
    <row r="114" spans="1:17" s="6" customFormat="1" ht="62.4">
      <c r="A114" s="18"/>
      <c r="B114" s="18"/>
      <c r="C114" s="18"/>
      <c r="D114" s="1" t="s">
        <v>312</v>
      </c>
      <c r="E114" s="14">
        <f t="shared" si="34"/>
        <v>232200</v>
      </c>
      <c r="F114" s="14">
        <f>126900+105300</f>
        <v>232200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36"/>
        <v>232200</v>
      </c>
    </row>
    <row r="115" spans="1:17" s="6" customFormat="1" ht="78">
      <c r="A115" s="18"/>
      <c r="B115" s="18"/>
      <c r="C115" s="18"/>
      <c r="D115" s="1" t="s">
        <v>311</v>
      </c>
      <c r="E115" s="14">
        <f t="shared" si="34"/>
        <v>55400</v>
      </c>
      <c r="F115" s="14">
        <v>55400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f t="shared" si="36"/>
        <v>55400</v>
      </c>
    </row>
    <row r="116" spans="1:17" ht="46.8">
      <c r="A116" s="8" t="s">
        <v>166</v>
      </c>
      <c r="B116" s="8" t="s">
        <v>19</v>
      </c>
      <c r="C116" s="8" t="s">
        <v>19</v>
      </c>
      <c r="D116" s="9" t="s">
        <v>167</v>
      </c>
      <c r="E116" s="10">
        <f t="shared" ref="E116:E123" si="37">F116+I116</f>
        <v>3720800</v>
      </c>
      <c r="F116" s="10">
        <f>F117</f>
        <v>3720800</v>
      </c>
      <c r="G116" s="10">
        <f t="shared" ref="G116:I116" si="38">G117</f>
        <v>3224300</v>
      </c>
      <c r="H116" s="10">
        <f t="shared" si="38"/>
        <v>0</v>
      </c>
      <c r="I116" s="10">
        <f t="shared" si="38"/>
        <v>0</v>
      </c>
      <c r="J116" s="10">
        <f t="shared" si="35"/>
        <v>0</v>
      </c>
      <c r="K116" s="10">
        <f>K117</f>
        <v>0</v>
      </c>
      <c r="L116" s="10">
        <f t="shared" ref="L116:O116" si="39">L117</f>
        <v>0</v>
      </c>
      <c r="M116" s="10">
        <f t="shared" si="39"/>
        <v>0</v>
      </c>
      <c r="N116" s="10">
        <f t="shared" si="39"/>
        <v>0</v>
      </c>
      <c r="O116" s="10">
        <f t="shared" si="39"/>
        <v>0</v>
      </c>
      <c r="P116" s="10">
        <f t="shared" si="27"/>
        <v>3720800</v>
      </c>
      <c r="Q116" s="5"/>
    </row>
    <row r="117" spans="1:17" ht="46.8">
      <c r="A117" s="8" t="s">
        <v>168</v>
      </c>
      <c r="B117" s="8" t="s">
        <v>19</v>
      </c>
      <c r="C117" s="8" t="s">
        <v>19</v>
      </c>
      <c r="D117" s="9" t="s">
        <v>167</v>
      </c>
      <c r="E117" s="10">
        <f t="shared" si="37"/>
        <v>3720800</v>
      </c>
      <c r="F117" s="10">
        <f>SUM(F118:F120)</f>
        <v>3720800</v>
      </c>
      <c r="G117" s="10">
        <f t="shared" ref="G117:K117" si="40">SUM(G118:G120)</f>
        <v>3224300</v>
      </c>
      <c r="H117" s="10">
        <f t="shared" si="40"/>
        <v>0</v>
      </c>
      <c r="I117" s="10">
        <f t="shared" si="40"/>
        <v>0</v>
      </c>
      <c r="J117" s="10">
        <f t="shared" si="35"/>
        <v>0</v>
      </c>
      <c r="K117" s="10">
        <f t="shared" si="40"/>
        <v>0</v>
      </c>
      <c r="L117" s="10">
        <f t="shared" ref="L117" si="41">SUM(L118:L120)</f>
        <v>0</v>
      </c>
      <c r="M117" s="10">
        <f t="shared" ref="M117" si="42">SUM(M118:M120)</f>
        <v>0</v>
      </c>
      <c r="N117" s="10">
        <f t="shared" ref="N117" si="43">SUM(N118:N120)</f>
        <v>0</v>
      </c>
      <c r="O117" s="10">
        <f t="shared" ref="O117" si="44">SUM(O118:O120)</f>
        <v>0</v>
      </c>
      <c r="P117" s="10">
        <f t="shared" si="27"/>
        <v>3720800</v>
      </c>
    </row>
    <row r="118" spans="1:17" ht="66" customHeight="1">
      <c r="A118" s="7" t="s">
        <v>169</v>
      </c>
      <c r="B118" s="7" t="s">
        <v>76</v>
      </c>
      <c r="C118" s="7" t="s">
        <v>24</v>
      </c>
      <c r="D118" s="11" t="s">
        <v>77</v>
      </c>
      <c r="E118" s="12">
        <f t="shared" si="37"/>
        <v>3342500</v>
      </c>
      <c r="F118" s="12">
        <v>3342500</v>
      </c>
      <c r="G118" s="12">
        <f>2642900+581400</f>
        <v>3224300</v>
      </c>
      <c r="H118" s="12">
        <v>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27"/>
        <v>3342500</v>
      </c>
    </row>
    <row r="119" spans="1:17" ht="31.2">
      <c r="A119" s="7" t="s">
        <v>170</v>
      </c>
      <c r="B119" s="7" t="s">
        <v>171</v>
      </c>
      <c r="C119" s="7" t="s">
        <v>116</v>
      </c>
      <c r="D119" s="11" t="s">
        <v>172</v>
      </c>
      <c r="E119" s="12">
        <f t="shared" si="37"/>
        <v>278000</v>
      </c>
      <c r="F119" s="12">
        <v>278000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27"/>
        <v>278000</v>
      </c>
    </row>
    <row r="120" spans="1:17" ht="31.2">
      <c r="A120" s="15" t="s">
        <v>292</v>
      </c>
      <c r="B120" s="15" t="s">
        <v>283</v>
      </c>
      <c r="C120" s="15" t="s">
        <v>285</v>
      </c>
      <c r="D120" s="11" t="s">
        <v>284</v>
      </c>
      <c r="E120" s="12">
        <f t="shared" si="37"/>
        <v>100300</v>
      </c>
      <c r="F120" s="12">
        <v>100300</v>
      </c>
      <c r="G120" s="12"/>
      <c r="H120" s="12"/>
      <c r="I120" s="12"/>
      <c r="J120" s="12">
        <f t="shared" ref="J120" si="45">L120+O120</f>
        <v>0</v>
      </c>
      <c r="K120" s="12"/>
      <c r="L120" s="12"/>
      <c r="M120" s="12"/>
      <c r="N120" s="12"/>
      <c r="O120" s="12"/>
      <c r="P120" s="12">
        <f t="shared" si="27"/>
        <v>100300</v>
      </c>
    </row>
    <row r="121" spans="1:17" ht="46.8">
      <c r="A121" s="8" t="s">
        <v>173</v>
      </c>
      <c r="B121" s="8" t="s">
        <v>19</v>
      </c>
      <c r="C121" s="8" t="s">
        <v>19</v>
      </c>
      <c r="D121" s="9" t="s">
        <v>174</v>
      </c>
      <c r="E121" s="10">
        <f t="shared" si="37"/>
        <v>57867000</v>
      </c>
      <c r="F121" s="10">
        <f>F122</f>
        <v>57867000</v>
      </c>
      <c r="G121" s="10">
        <f t="shared" ref="G121:I121" si="46">G122</f>
        <v>48680700</v>
      </c>
      <c r="H121" s="10">
        <f t="shared" si="46"/>
        <v>3687100</v>
      </c>
      <c r="I121" s="10">
        <f t="shared" si="46"/>
        <v>0</v>
      </c>
      <c r="J121" s="10">
        <f t="shared" si="35"/>
        <v>1866100</v>
      </c>
      <c r="K121" s="10">
        <f>K122</f>
        <v>500100</v>
      </c>
      <c r="L121" s="10">
        <f t="shared" ref="L121:O121" si="47">L122</f>
        <v>1136000</v>
      </c>
      <c r="M121" s="10">
        <f t="shared" si="47"/>
        <v>507100</v>
      </c>
      <c r="N121" s="10">
        <f t="shared" si="47"/>
        <v>0</v>
      </c>
      <c r="O121" s="10">
        <f t="shared" si="47"/>
        <v>730100</v>
      </c>
      <c r="P121" s="10">
        <f t="shared" si="27"/>
        <v>59733100</v>
      </c>
      <c r="Q121" s="5"/>
    </row>
    <row r="122" spans="1:17" ht="46.8">
      <c r="A122" s="8" t="s">
        <v>175</v>
      </c>
      <c r="B122" s="8" t="s">
        <v>19</v>
      </c>
      <c r="C122" s="8" t="s">
        <v>19</v>
      </c>
      <c r="D122" s="9" t="s">
        <v>174</v>
      </c>
      <c r="E122" s="10">
        <f t="shared" si="37"/>
        <v>57867000</v>
      </c>
      <c r="F122" s="10">
        <f>SUM(F123:F131)</f>
        <v>57867000</v>
      </c>
      <c r="G122" s="10">
        <f t="shared" ref="G122:K122" si="48">SUM(G123:G131)</f>
        <v>48680700</v>
      </c>
      <c r="H122" s="10">
        <f t="shared" si="48"/>
        <v>3687100</v>
      </c>
      <c r="I122" s="10">
        <f t="shared" si="48"/>
        <v>0</v>
      </c>
      <c r="J122" s="10">
        <f t="shared" si="35"/>
        <v>1866100</v>
      </c>
      <c r="K122" s="10">
        <f t="shared" si="48"/>
        <v>500100</v>
      </c>
      <c r="L122" s="10">
        <f t="shared" ref="L122" si="49">SUM(L123:L131)</f>
        <v>1136000</v>
      </c>
      <c r="M122" s="10">
        <f t="shared" ref="M122" si="50">SUM(M123:M131)</f>
        <v>507100</v>
      </c>
      <c r="N122" s="10">
        <f t="shared" ref="N122" si="51">SUM(N123:N131)</f>
        <v>0</v>
      </c>
      <c r="O122" s="10">
        <f t="shared" ref="O122" si="52">SUM(O123:O131)</f>
        <v>730100</v>
      </c>
      <c r="P122" s="10">
        <f t="shared" si="27"/>
        <v>59733100</v>
      </c>
    </row>
    <row r="123" spans="1:17" ht="73.5" customHeight="1">
      <c r="A123" s="7" t="s">
        <v>176</v>
      </c>
      <c r="B123" s="7" t="s">
        <v>76</v>
      </c>
      <c r="C123" s="7" t="s">
        <v>24</v>
      </c>
      <c r="D123" s="11" t="s">
        <v>77</v>
      </c>
      <c r="E123" s="12">
        <f t="shared" si="37"/>
        <v>1352500</v>
      </c>
      <c r="F123" s="12">
        <v>1352500</v>
      </c>
      <c r="G123" s="12">
        <f>1085700+238900</f>
        <v>1324600</v>
      </c>
      <c r="H123" s="12">
        <v>0</v>
      </c>
      <c r="I123" s="12">
        <v>0</v>
      </c>
      <c r="J123" s="12">
        <f t="shared" si="35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27"/>
        <v>1352500</v>
      </c>
    </row>
    <row r="124" spans="1:17" ht="31.2">
      <c r="A124" s="7" t="s">
        <v>177</v>
      </c>
      <c r="B124" s="7" t="s">
        <v>178</v>
      </c>
      <c r="C124" s="7" t="s">
        <v>98</v>
      </c>
      <c r="D124" s="11" t="s">
        <v>179</v>
      </c>
      <c r="E124" s="12">
        <f t="shared" ref="E124:E131" si="53">F124+I124</f>
        <v>25636400</v>
      </c>
      <c r="F124" s="12">
        <f>25258300+587600-9500-200000</f>
        <v>25636400</v>
      </c>
      <c r="G124" s="12">
        <f>19980300+4395600-9500-200000</f>
        <v>24166400</v>
      </c>
      <c r="H124" s="12">
        <f>24500+399000+292900+34000-24000</f>
        <v>726400</v>
      </c>
      <c r="I124" s="12">
        <v>0</v>
      </c>
      <c r="J124" s="12">
        <f t="shared" si="35"/>
        <v>1086000</v>
      </c>
      <c r="K124" s="12">
        <v>0</v>
      </c>
      <c r="L124" s="12">
        <v>886000</v>
      </c>
      <c r="M124" s="12">
        <f>405800+89300</f>
        <v>495100</v>
      </c>
      <c r="N124" s="12">
        <v>0</v>
      </c>
      <c r="O124" s="12">
        <v>200000</v>
      </c>
      <c r="P124" s="12">
        <f t="shared" si="27"/>
        <v>26722400</v>
      </c>
    </row>
    <row r="125" spans="1:17" ht="113.25" customHeight="1">
      <c r="A125" s="7" t="s">
        <v>180</v>
      </c>
      <c r="B125" s="7" t="s">
        <v>115</v>
      </c>
      <c r="C125" s="7" t="s">
        <v>116</v>
      </c>
      <c r="D125" s="11" t="s">
        <v>117</v>
      </c>
      <c r="E125" s="12">
        <f t="shared" si="53"/>
        <v>150000</v>
      </c>
      <c r="F125" s="12">
        <v>150000</v>
      </c>
      <c r="G125" s="12">
        <v>0</v>
      </c>
      <c r="H125" s="12">
        <v>0</v>
      </c>
      <c r="I125" s="12">
        <v>0</v>
      </c>
      <c r="J125" s="12">
        <f t="shared" si="35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27"/>
        <v>150000</v>
      </c>
    </row>
    <row r="126" spans="1:17">
      <c r="A126" s="7" t="s">
        <v>181</v>
      </c>
      <c r="B126" s="7" t="s">
        <v>182</v>
      </c>
      <c r="C126" s="7" t="s">
        <v>183</v>
      </c>
      <c r="D126" s="11" t="s">
        <v>184</v>
      </c>
      <c r="E126" s="12">
        <f t="shared" si="53"/>
        <v>9465700</v>
      </c>
      <c r="F126" s="12">
        <f>9205700+260000</f>
        <v>9465700</v>
      </c>
      <c r="G126" s="12">
        <f>6059000+1332900</f>
        <v>7391900</v>
      </c>
      <c r="H126" s="12">
        <f>741700+20200+410400+36800+4700</f>
        <v>1213800</v>
      </c>
      <c r="I126" s="12">
        <v>0</v>
      </c>
      <c r="J126" s="12">
        <f t="shared" si="35"/>
        <v>80000</v>
      </c>
      <c r="K126" s="12">
        <v>0</v>
      </c>
      <c r="L126" s="12">
        <f>80000</f>
        <v>80000</v>
      </c>
      <c r="M126" s="12">
        <v>0</v>
      </c>
      <c r="N126" s="12">
        <v>0</v>
      </c>
      <c r="O126" s="12">
        <v>0</v>
      </c>
      <c r="P126" s="12">
        <f t="shared" si="27"/>
        <v>9545700</v>
      </c>
    </row>
    <row r="127" spans="1:17" ht="31.2">
      <c r="A127" s="7" t="s">
        <v>185</v>
      </c>
      <c r="B127" s="7" t="s">
        <v>186</v>
      </c>
      <c r="C127" s="7" t="s">
        <v>183</v>
      </c>
      <c r="D127" s="11" t="s">
        <v>187</v>
      </c>
      <c r="E127" s="12">
        <f t="shared" si="53"/>
        <v>4128000</v>
      </c>
      <c r="F127" s="12">
        <f>3595900+136500+195600+200000</f>
        <v>4128000</v>
      </c>
      <c r="G127" s="12">
        <f>2170200+477400</f>
        <v>2647600</v>
      </c>
      <c r="H127" s="12">
        <f>370700+10100+125400+3100</f>
        <v>509300</v>
      </c>
      <c r="I127" s="12">
        <v>0</v>
      </c>
      <c r="J127" s="12">
        <f t="shared" si="35"/>
        <v>40000</v>
      </c>
      <c r="K127" s="12">
        <v>0</v>
      </c>
      <c r="L127" s="12">
        <v>40000</v>
      </c>
      <c r="M127" s="12">
        <v>0</v>
      </c>
      <c r="N127" s="12">
        <v>0</v>
      </c>
      <c r="O127" s="12">
        <v>0</v>
      </c>
      <c r="P127" s="12">
        <f t="shared" si="27"/>
        <v>4168000</v>
      </c>
    </row>
    <row r="128" spans="1:17" ht="46.8">
      <c r="A128" s="7" t="s">
        <v>188</v>
      </c>
      <c r="B128" s="7" t="s">
        <v>189</v>
      </c>
      <c r="C128" s="7" t="s">
        <v>190</v>
      </c>
      <c r="D128" s="11" t="s">
        <v>191</v>
      </c>
      <c r="E128" s="12">
        <f t="shared" si="53"/>
        <v>13682100</v>
      </c>
      <c r="F128" s="12">
        <f>13136300+515900+30000-30000+29900</f>
        <v>13682100</v>
      </c>
      <c r="G128" s="12">
        <f>8756500+1926400</f>
        <v>10682900</v>
      </c>
      <c r="H128" s="12">
        <f>44400+535800+392900+241000-48000</f>
        <v>1166100</v>
      </c>
      <c r="I128" s="12">
        <v>0</v>
      </c>
      <c r="J128" s="12">
        <f t="shared" si="35"/>
        <v>580100</v>
      </c>
      <c r="K128" s="12">
        <f>200000+30000+300000-109900</f>
        <v>420100</v>
      </c>
      <c r="L128" s="12">
        <v>130000</v>
      </c>
      <c r="M128" s="12">
        <f>10000+2000</f>
        <v>12000</v>
      </c>
      <c r="N128" s="12">
        <v>0</v>
      </c>
      <c r="O128" s="12">
        <f>30000+200000+30000+300000-109900</f>
        <v>450100</v>
      </c>
      <c r="P128" s="12">
        <f t="shared" si="27"/>
        <v>14262200</v>
      </c>
    </row>
    <row r="129" spans="1:17" ht="31.2">
      <c r="A129" s="7" t="s">
        <v>192</v>
      </c>
      <c r="B129" s="7" t="s">
        <v>193</v>
      </c>
      <c r="C129" s="7" t="s">
        <v>194</v>
      </c>
      <c r="D129" s="11" t="s">
        <v>195</v>
      </c>
      <c r="E129" s="12">
        <f t="shared" si="53"/>
        <v>2595800</v>
      </c>
      <c r="F129" s="12">
        <v>2595800</v>
      </c>
      <c r="G129" s="12">
        <f>2022400+444900</f>
        <v>2467300</v>
      </c>
      <c r="H129" s="12">
        <f>24400+1500+45600</f>
        <v>71500</v>
      </c>
      <c r="I129" s="12">
        <v>0</v>
      </c>
      <c r="J129" s="12">
        <f t="shared" si="35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ref="P129:P183" si="54">E129 + J129</f>
        <v>2595800</v>
      </c>
    </row>
    <row r="130" spans="1:17" ht="31.2">
      <c r="A130" s="7" t="s">
        <v>196</v>
      </c>
      <c r="B130" s="7" t="s">
        <v>197</v>
      </c>
      <c r="C130" s="7" t="s">
        <v>194</v>
      </c>
      <c r="D130" s="11" t="s">
        <v>198</v>
      </c>
      <c r="E130" s="12">
        <f t="shared" si="53"/>
        <v>680000</v>
      </c>
      <c r="F130" s="12">
        <f>600000+80000</f>
        <v>680000</v>
      </c>
      <c r="G130" s="12">
        <v>0</v>
      </c>
      <c r="H130" s="12">
        <v>0</v>
      </c>
      <c r="I130" s="12">
        <v>0</v>
      </c>
      <c r="J130" s="12">
        <f t="shared" si="35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4"/>
        <v>680000</v>
      </c>
    </row>
    <row r="131" spans="1:17" ht="31.2">
      <c r="A131" s="15" t="s">
        <v>293</v>
      </c>
      <c r="B131" s="15" t="s">
        <v>283</v>
      </c>
      <c r="C131" s="15" t="s">
        <v>285</v>
      </c>
      <c r="D131" s="11" t="s">
        <v>284</v>
      </c>
      <c r="E131" s="12">
        <f t="shared" si="53"/>
        <v>176500</v>
      </c>
      <c r="F131" s="12">
        <f>167000+9500</f>
        <v>176500</v>
      </c>
      <c r="G131" s="12"/>
      <c r="H131" s="12"/>
      <c r="I131" s="12"/>
      <c r="J131" s="12">
        <f t="shared" si="35"/>
        <v>80000</v>
      </c>
      <c r="K131" s="12">
        <v>80000</v>
      </c>
      <c r="L131" s="12"/>
      <c r="M131" s="12"/>
      <c r="N131" s="12"/>
      <c r="O131" s="12">
        <v>80000</v>
      </c>
      <c r="P131" s="12">
        <f t="shared" si="54"/>
        <v>256500</v>
      </c>
    </row>
    <row r="132" spans="1:17" ht="46.8">
      <c r="A132" s="8" t="s">
        <v>199</v>
      </c>
      <c r="B132" s="8" t="s">
        <v>19</v>
      </c>
      <c r="C132" s="8" t="s">
        <v>19</v>
      </c>
      <c r="D132" s="9" t="s">
        <v>200</v>
      </c>
      <c r="E132" s="10">
        <f t="shared" ref="E132:E144" si="55">F132+I132</f>
        <v>10516956</v>
      </c>
      <c r="F132" s="10">
        <f>F133</f>
        <v>10516956</v>
      </c>
      <c r="G132" s="10">
        <f t="shared" ref="G132:I132" si="56">G133</f>
        <v>3241400</v>
      </c>
      <c r="H132" s="10">
        <f t="shared" si="56"/>
        <v>70800</v>
      </c>
      <c r="I132" s="10">
        <f t="shared" si="56"/>
        <v>0</v>
      </c>
      <c r="J132" s="10">
        <f t="shared" si="35"/>
        <v>35000</v>
      </c>
      <c r="K132" s="10">
        <f>K133</f>
        <v>35000</v>
      </c>
      <c r="L132" s="10">
        <f t="shared" ref="L132:O132" si="57">L133</f>
        <v>0</v>
      </c>
      <c r="M132" s="10">
        <f t="shared" si="57"/>
        <v>0</v>
      </c>
      <c r="N132" s="10">
        <f t="shared" si="57"/>
        <v>0</v>
      </c>
      <c r="O132" s="10">
        <f t="shared" si="57"/>
        <v>35000</v>
      </c>
      <c r="P132" s="10">
        <f t="shared" si="54"/>
        <v>10551956</v>
      </c>
      <c r="Q132" s="5"/>
    </row>
    <row r="133" spans="1:17" ht="46.8">
      <c r="A133" s="8" t="s">
        <v>201</v>
      </c>
      <c r="B133" s="8" t="s">
        <v>19</v>
      </c>
      <c r="C133" s="8" t="s">
        <v>19</v>
      </c>
      <c r="D133" s="9" t="s">
        <v>200</v>
      </c>
      <c r="E133" s="10">
        <f t="shared" si="55"/>
        <v>10516956</v>
      </c>
      <c r="F133" s="10">
        <f>SUM(F134:F141)</f>
        <v>10516956</v>
      </c>
      <c r="G133" s="10">
        <f t="shared" ref="G133:K133" si="58">SUM(G134:G141)</f>
        <v>3241400</v>
      </c>
      <c r="H133" s="10">
        <f t="shared" si="58"/>
        <v>70800</v>
      </c>
      <c r="I133" s="10">
        <f t="shared" si="58"/>
        <v>0</v>
      </c>
      <c r="J133" s="10">
        <f t="shared" si="35"/>
        <v>35000</v>
      </c>
      <c r="K133" s="10">
        <f t="shared" si="58"/>
        <v>35000</v>
      </c>
      <c r="L133" s="10">
        <f t="shared" ref="L133" si="59">SUM(L134:L141)</f>
        <v>0</v>
      </c>
      <c r="M133" s="10">
        <f t="shared" ref="M133" si="60">SUM(M134:M141)</f>
        <v>0</v>
      </c>
      <c r="N133" s="10">
        <f t="shared" ref="N133" si="61">SUM(N134:N141)</f>
        <v>0</v>
      </c>
      <c r="O133" s="10">
        <f t="shared" ref="O133" si="62">SUM(O134:O141)</f>
        <v>35000</v>
      </c>
      <c r="P133" s="10">
        <f t="shared" si="54"/>
        <v>10551956</v>
      </c>
    </row>
    <row r="134" spans="1:17" ht="71.25" customHeight="1">
      <c r="A134" s="7" t="s">
        <v>202</v>
      </c>
      <c r="B134" s="7" t="s">
        <v>76</v>
      </c>
      <c r="C134" s="7" t="s">
        <v>24</v>
      </c>
      <c r="D134" s="11" t="s">
        <v>77</v>
      </c>
      <c r="E134" s="12">
        <f t="shared" si="55"/>
        <v>2778600</v>
      </c>
      <c r="F134" s="12">
        <v>2778600</v>
      </c>
      <c r="G134" s="12">
        <f>2183700+480400</f>
        <v>2664100</v>
      </c>
      <c r="H134" s="12">
        <v>0</v>
      </c>
      <c r="I134" s="12">
        <v>0</v>
      </c>
      <c r="J134" s="12">
        <f t="shared" si="35"/>
        <v>35000</v>
      </c>
      <c r="K134" s="12">
        <v>35000</v>
      </c>
      <c r="L134" s="12">
        <v>0</v>
      </c>
      <c r="M134" s="12">
        <v>0</v>
      </c>
      <c r="N134" s="12">
        <v>0</v>
      </c>
      <c r="O134" s="12">
        <v>35000</v>
      </c>
      <c r="P134" s="12">
        <f t="shared" si="54"/>
        <v>2813600</v>
      </c>
    </row>
    <row r="135" spans="1:17" ht="62.4">
      <c r="A135" s="7" t="s">
        <v>203</v>
      </c>
      <c r="B135" s="7" t="s">
        <v>204</v>
      </c>
      <c r="C135" s="7" t="s">
        <v>116</v>
      </c>
      <c r="D135" s="11" t="s">
        <v>339</v>
      </c>
      <c r="E135" s="12">
        <f t="shared" si="55"/>
        <v>1921300</v>
      </c>
      <c r="F135" s="12">
        <f>1956300-35000</f>
        <v>1921300</v>
      </c>
      <c r="G135" s="12">
        <f>473200+104100</f>
        <v>577300</v>
      </c>
      <c r="H135" s="12">
        <f>54600+1600+14600</f>
        <v>70800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4"/>
        <v>1921300</v>
      </c>
    </row>
    <row r="136" spans="1:17" ht="46.8">
      <c r="A136" s="7" t="s">
        <v>205</v>
      </c>
      <c r="B136" s="7" t="s">
        <v>206</v>
      </c>
      <c r="C136" s="7" t="s">
        <v>121</v>
      </c>
      <c r="D136" s="11" t="s">
        <v>207</v>
      </c>
      <c r="E136" s="12">
        <f t="shared" si="55"/>
        <v>1449000</v>
      </c>
      <c r="F136" s="12">
        <f>1400000+49000</f>
        <v>1449000</v>
      </c>
      <c r="G136" s="12">
        <v>0</v>
      </c>
      <c r="H136" s="12">
        <v>0</v>
      </c>
      <c r="I136" s="12">
        <v>0</v>
      </c>
      <c r="J136" s="12">
        <f t="shared" si="35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54"/>
        <v>1449000</v>
      </c>
    </row>
    <row r="137" spans="1:17" ht="46.8">
      <c r="A137" s="7" t="s">
        <v>208</v>
      </c>
      <c r="B137" s="7" t="s">
        <v>209</v>
      </c>
      <c r="C137" s="7" t="s">
        <v>121</v>
      </c>
      <c r="D137" s="11" t="s">
        <v>210</v>
      </c>
      <c r="E137" s="12">
        <f t="shared" si="55"/>
        <v>1039000</v>
      </c>
      <c r="F137" s="12">
        <f>990000+49000</f>
        <v>1039000</v>
      </c>
      <c r="G137" s="12">
        <v>0</v>
      </c>
      <c r="H137" s="12">
        <v>0</v>
      </c>
      <c r="I137" s="12">
        <v>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4"/>
        <v>1039000</v>
      </c>
    </row>
    <row r="138" spans="1:17" ht="71.25" customHeight="1">
      <c r="A138" s="7">
        <v>1115049</v>
      </c>
      <c r="B138" s="7">
        <v>5049</v>
      </c>
      <c r="C138" s="7" t="s">
        <v>121</v>
      </c>
      <c r="D138" s="11" t="s">
        <v>399</v>
      </c>
      <c r="E138" s="12">
        <f t="shared" si="55"/>
        <v>114192</v>
      </c>
      <c r="F138" s="12">
        <f>35136+79056</f>
        <v>114192</v>
      </c>
      <c r="G138" s="12"/>
      <c r="H138" s="12"/>
      <c r="I138" s="12">
        <v>0</v>
      </c>
      <c r="J138" s="12"/>
      <c r="K138" s="12"/>
      <c r="L138" s="12"/>
      <c r="M138" s="12"/>
      <c r="N138" s="12"/>
      <c r="O138" s="12"/>
      <c r="P138" s="12">
        <f t="shared" si="54"/>
        <v>114192</v>
      </c>
    </row>
    <row r="139" spans="1:17" ht="84" customHeight="1">
      <c r="A139" s="7" t="s">
        <v>211</v>
      </c>
      <c r="B139" s="7" t="s">
        <v>212</v>
      </c>
      <c r="C139" s="7" t="s">
        <v>121</v>
      </c>
      <c r="D139" s="11" t="s">
        <v>412</v>
      </c>
      <c r="E139" s="12">
        <f t="shared" si="55"/>
        <v>2969864</v>
      </c>
      <c r="F139" s="12">
        <f>3185000-35136-180000</f>
        <v>2969864</v>
      </c>
      <c r="G139" s="12">
        <v>0</v>
      </c>
      <c r="H139" s="12">
        <v>0</v>
      </c>
      <c r="I139" s="12">
        <v>0</v>
      </c>
      <c r="J139" s="12">
        <f t="shared" si="35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4"/>
        <v>2969864</v>
      </c>
    </row>
    <row r="140" spans="1:17" ht="62.4">
      <c r="A140" s="36">
        <v>1115062</v>
      </c>
      <c r="B140" s="36">
        <v>5062</v>
      </c>
      <c r="C140" s="15" t="s">
        <v>121</v>
      </c>
      <c r="D140" s="11" t="s">
        <v>429</v>
      </c>
      <c r="E140" s="12">
        <f t="shared" si="55"/>
        <v>180000</v>
      </c>
      <c r="F140" s="12">
        <v>180000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4"/>
        <v>180000</v>
      </c>
    </row>
    <row r="141" spans="1:17" ht="31.2">
      <c r="A141" s="15" t="s">
        <v>294</v>
      </c>
      <c r="B141" s="15" t="s">
        <v>283</v>
      </c>
      <c r="C141" s="15" t="s">
        <v>285</v>
      </c>
      <c r="D141" s="11" t="s">
        <v>284</v>
      </c>
      <c r="E141" s="12">
        <f t="shared" si="55"/>
        <v>65000</v>
      </c>
      <c r="F141" s="12">
        <v>65000</v>
      </c>
      <c r="G141" s="12"/>
      <c r="H141" s="12"/>
      <c r="I141" s="12"/>
      <c r="J141" s="12">
        <f t="shared" ref="J141" si="63">L141+O141</f>
        <v>0</v>
      </c>
      <c r="K141" s="12"/>
      <c r="L141" s="12"/>
      <c r="M141" s="12"/>
      <c r="N141" s="12"/>
      <c r="O141" s="12"/>
      <c r="P141" s="12">
        <f t="shared" ref="P141" si="64">E141 + J141</f>
        <v>65000</v>
      </c>
    </row>
    <row r="142" spans="1:17" ht="62.4">
      <c r="A142" s="8" t="s">
        <v>213</v>
      </c>
      <c r="B142" s="8" t="s">
        <v>19</v>
      </c>
      <c r="C142" s="8" t="s">
        <v>19</v>
      </c>
      <c r="D142" s="9" t="s">
        <v>214</v>
      </c>
      <c r="E142" s="10">
        <f t="shared" si="55"/>
        <v>183646332</v>
      </c>
      <c r="F142" s="10">
        <f>F143</f>
        <v>62645359</v>
      </c>
      <c r="G142" s="10">
        <f t="shared" ref="G142:I142" si="65">G143</f>
        <v>5315400</v>
      </c>
      <c r="H142" s="10">
        <f t="shared" si="65"/>
        <v>15700</v>
      </c>
      <c r="I142" s="10">
        <f t="shared" si="65"/>
        <v>121000973</v>
      </c>
      <c r="J142" s="10">
        <f t="shared" si="35"/>
        <v>25434283.18</v>
      </c>
      <c r="K142" s="10">
        <f>K143</f>
        <v>24833909</v>
      </c>
      <c r="L142" s="10">
        <f t="shared" ref="L142:O142" si="66">L143</f>
        <v>0</v>
      </c>
      <c r="M142" s="10">
        <f t="shared" si="66"/>
        <v>0</v>
      </c>
      <c r="N142" s="10">
        <f t="shared" si="66"/>
        <v>0</v>
      </c>
      <c r="O142" s="10">
        <f t="shared" si="66"/>
        <v>25434283.18</v>
      </c>
      <c r="P142" s="10">
        <f t="shared" si="54"/>
        <v>209080615.18000001</v>
      </c>
      <c r="Q142" s="5"/>
    </row>
    <row r="143" spans="1:17" ht="62.4">
      <c r="A143" s="8" t="s">
        <v>215</v>
      </c>
      <c r="B143" s="8" t="s">
        <v>19</v>
      </c>
      <c r="C143" s="8" t="s">
        <v>19</v>
      </c>
      <c r="D143" s="9" t="s">
        <v>214</v>
      </c>
      <c r="E143" s="10">
        <f t="shared" si="55"/>
        <v>183646332</v>
      </c>
      <c r="F143" s="10">
        <f>SUM(F144:F163)</f>
        <v>62645359</v>
      </c>
      <c r="G143" s="10">
        <f t="shared" ref="G143:K143" si="67">SUM(G144:G163)</f>
        <v>5315400</v>
      </c>
      <c r="H143" s="10">
        <f t="shared" si="67"/>
        <v>15700</v>
      </c>
      <c r="I143" s="10">
        <f t="shared" si="67"/>
        <v>121000973</v>
      </c>
      <c r="J143" s="10">
        <f t="shared" si="35"/>
        <v>25434283.18</v>
      </c>
      <c r="K143" s="10">
        <f t="shared" si="67"/>
        <v>24833909</v>
      </c>
      <c r="L143" s="10">
        <f t="shared" ref="L143" si="68">SUM(L144:L163)</f>
        <v>0</v>
      </c>
      <c r="M143" s="10">
        <f t="shared" ref="M143" si="69">SUM(M144:M163)</f>
        <v>0</v>
      </c>
      <c r="N143" s="10">
        <f t="shared" ref="N143" si="70">SUM(N144:N163)</f>
        <v>0</v>
      </c>
      <c r="O143" s="10">
        <f t="shared" ref="O143" si="71">SUM(O144:O163)</f>
        <v>25434283.18</v>
      </c>
      <c r="P143" s="10">
        <f>E143 + J143</f>
        <v>209080615.18000001</v>
      </c>
    </row>
    <row r="144" spans="1:17" ht="46.8">
      <c r="A144" s="7" t="s">
        <v>216</v>
      </c>
      <c r="B144" s="7" t="s">
        <v>76</v>
      </c>
      <c r="C144" s="7" t="s">
        <v>24</v>
      </c>
      <c r="D144" s="11" t="s">
        <v>77</v>
      </c>
      <c r="E144" s="12">
        <f t="shared" si="55"/>
        <v>5665100</v>
      </c>
      <c r="F144" s="12">
        <v>5665100</v>
      </c>
      <c r="G144" s="12">
        <f>4356900+958500</f>
        <v>5315400</v>
      </c>
      <c r="H144" s="12">
        <f>7200+900+7600</f>
        <v>15700</v>
      </c>
      <c r="I144" s="12">
        <v>0</v>
      </c>
      <c r="J144" s="12">
        <f t="shared" si="35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54"/>
        <v>5665100</v>
      </c>
    </row>
    <row r="145" spans="1:16" ht="46.8">
      <c r="A145" s="7" t="s">
        <v>217</v>
      </c>
      <c r="B145" s="7" t="s">
        <v>27</v>
      </c>
      <c r="C145" s="7" t="s">
        <v>28</v>
      </c>
      <c r="D145" s="11" t="s">
        <v>29</v>
      </c>
      <c r="E145" s="12">
        <f t="shared" ref="E145:E163" si="72">F145+I145</f>
        <v>10000</v>
      </c>
      <c r="F145" s="12">
        <v>10000</v>
      </c>
      <c r="G145" s="12">
        <v>0</v>
      </c>
      <c r="H145" s="12">
        <v>0</v>
      </c>
      <c r="I145" s="12">
        <v>0</v>
      </c>
      <c r="J145" s="12">
        <f t="shared" si="35"/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54"/>
        <v>10000</v>
      </c>
    </row>
    <row r="146" spans="1:16" ht="31.2">
      <c r="A146" s="7" t="s">
        <v>218</v>
      </c>
      <c r="B146" s="7" t="s">
        <v>219</v>
      </c>
      <c r="C146" s="7" t="s">
        <v>220</v>
      </c>
      <c r="D146" s="11" t="s">
        <v>221</v>
      </c>
      <c r="E146" s="12">
        <f t="shared" si="72"/>
        <v>30000</v>
      </c>
      <c r="F146" s="12">
        <f>50000-20000</f>
        <v>30000</v>
      </c>
      <c r="G146" s="12">
        <v>0</v>
      </c>
      <c r="H146" s="12">
        <v>0</v>
      </c>
      <c r="I146" s="12">
        <v>0</v>
      </c>
      <c r="J146" s="12">
        <f t="shared" si="35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4"/>
        <v>30000</v>
      </c>
    </row>
    <row r="147" spans="1:16" ht="31.2">
      <c r="A147" s="7">
        <v>1216011</v>
      </c>
      <c r="B147" s="7">
        <v>6011</v>
      </c>
      <c r="C147" s="15" t="s">
        <v>365</v>
      </c>
      <c r="D147" s="11" t="s">
        <v>364</v>
      </c>
      <c r="E147" s="12">
        <f t="shared" si="72"/>
        <v>227819</v>
      </c>
      <c r="F147" s="12"/>
      <c r="G147" s="12"/>
      <c r="H147" s="12"/>
      <c r="I147" s="12">
        <f>319069-91250</f>
        <v>227819</v>
      </c>
      <c r="J147" s="12">
        <f t="shared" si="35"/>
        <v>5323187.75</v>
      </c>
      <c r="K147" s="12">
        <f>1660017+43200+600000+94300+1400000+27908+1413000+84762.75</f>
        <v>5323187.75</v>
      </c>
      <c r="L147" s="12"/>
      <c r="M147" s="12"/>
      <c r="N147" s="12"/>
      <c r="O147" s="12">
        <f>1660017+43200+600000+94300+1400000+27908+1413000+84762.75</f>
        <v>5323187.75</v>
      </c>
      <c r="P147" s="12">
        <f t="shared" si="54"/>
        <v>5551006.75</v>
      </c>
    </row>
    <row r="148" spans="1:16" ht="31.2">
      <c r="A148" s="7" t="s">
        <v>222</v>
      </c>
      <c r="B148" s="7" t="s">
        <v>223</v>
      </c>
      <c r="C148" s="7" t="s">
        <v>56</v>
      </c>
      <c r="D148" s="11" t="s">
        <v>224</v>
      </c>
      <c r="E148" s="12">
        <f t="shared" si="72"/>
        <v>300000</v>
      </c>
      <c r="F148" s="12">
        <v>0</v>
      </c>
      <c r="G148" s="12">
        <v>0</v>
      </c>
      <c r="H148" s="12">
        <v>0</v>
      </c>
      <c r="I148" s="12">
        <v>300000</v>
      </c>
      <c r="J148" s="12">
        <f t="shared" si="35"/>
        <v>6899790.25</v>
      </c>
      <c r="K148" s="12">
        <f>7215287-321984+6487.25</f>
        <v>6899790.25</v>
      </c>
      <c r="L148" s="12">
        <v>0</v>
      </c>
      <c r="M148" s="12">
        <v>0</v>
      </c>
      <c r="N148" s="12">
        <v>0</v>
      </c>
      <c r="O148" s="12">
        <f>7215287-321984+6487.25</f>
        <v>6899790.25</v>
      </c>
      <c r="P148" s="12">
        <f t="shared" si="54"/>
        <v>7199790.25</v>
      </c>
    </row>
    <row r="149" spans="1:16" ht="46.8">
      <c r="A149" s="7" t="s">
        <v>225</v>
      </c>
      <c r="B149" s="7" t="s">
        <v>226</v>
      </c>
      <c r="C149" s="7" t="s">
        <v>56</v>
      </c>
      <c r="D149" s="11" t="s">
        <v>227</v>
      </c>
      <c r="E149" s="12">
        <f t="shared" si="72"/>
        <v>1720000</v>
      </c>
      <c r="F149" s="12">
        <v>0</v>
      </c>
      <c r="G149" s="12">
        <v>0</v>
      </c>
      <c r="H149" s="12">
        <v>0</v>
      </c>
      <c r="I149" s="12">
        <v>1720000</v>
      </c>
      <c r="J149" s="12">
        <f t="shared" si="35"/>
        <v>1095000</v>
      </c>
      <c r="K149" s="12">
        <v>1095000</v>
      </c>
      <c r="L149" s="12">
        <v>0</v>
      </c>
      <c r="M149" s="12">
        <v>0</v>
      </c>
      <c r="N149" s="12">
        <v>0</v>
      </c>
      <c r="O149" s="12">
        <v>1095000</v>
      </c>
      <c r="P149" s="12">
        <f t="shared" si="54"/>
        <v>2815000</v>
      </c>
    </row>
    <row r="150" spans="1:16" ht="31.2">
      <c r="A150" s="7" t="s">
        <v>228</v>
      </c>
      <c r="B150" s="7" t="s">
        <v>55</v>
      </c>
      <c r="C150" s="7" t="s">
        <v>56</v>
      </c>
      <c r="D150" s="11" t="s">
        <v>57</v>
      </c>
      <c r="E150" s="12">
        <f t="shared" si="72"/>
        <v>85214954</v>
      </c>
      <c r="F150" s="12">
        <f>12500000+11000000+15000-500000+195000-200000+500000-300000</f>
        <v>23210000</v>
      </c>
      <c r="G150" s="12">
        <v>0</v>
      </c>
      <c r="H150" s="12">
        <v>0</v>
      </c>
      <c r="I150" s="12">
        <f>60450000+195000+601000-195000+9490+200000+20000+758464-34000</f>
        <v>62004954</v>
      </c>
      <c r="J150" s="12">
        <f t="shared" si="35"/>
        <v>1125500</v>
      </c>
      <c r="K150" s="12">
        <f>839500+252000+34000</f>
        <v>1125500</v>
      </c>
      <c r="L150" s="12">
        <v>0</v>
      </c>
      <c r="M150" s="12">
        <v>0</v>
      </c>
      <c r="N150" s="12">
        <v>0</v>
      </c>
      <c r="O150" s="12">
        <f>839500+252000+34000</f>
        <v>1125500</v>
      </c>
      <c r="P150" s="12">
        <f t="shared" si="54"/>
        <v>86340454</v>
      </c>
    </row>
    <row r="151" spans="1:16" ht="31.2">
      <c r="A151" s="7">
        <v>1216091</v>
      </c>
      <c r="B151" s="7">
        <v>6091</v>
      </c>
      <c r="C151" s="15" t="s">
        <v>309</v>
      </c>
      <c r="D151" s="11" t="s">
        <v>380</v>
      </c>
      <c r="E151" s="12">
        <f t="shared" si="72"/>
        <v>0</v>
      </c>
      <c r="F151" s="12"/>
      <c r="G151" s="12"/>
      <c r="H151" s="12"/>
      <c r="I151" s="12"/>
      <c r="J151" s="12">
        <f t="shared" si="35"/>
        <v>6871000</v>
      </c>
      <c r="K151" s="12">
        <f>5800000+600000+171000+300000</f>
        <v>6871000</v>
      </c>
      <c r="L151" s="12"/>
      <c r="M151" s="12"/>
      <c r="N151" s="12"/>
      <c r="O151" s="12">
        <f>5800000+600000+171000+300000</f>
        <v>6871000</v>
      </c>
      <c r="P151" s="12">
        <f t="shared" si="54"/>
        <v>6871000</v>
      </c>
    </row>
    <row r="152" spans="1:16" ht="93.6">
      <c r="A152" s="7">
        <v>1216093</v>
      </c>
      <c r="B152" s="7">
        <v>6093</v>
      </c>
      <c r="C152" s="15" t="s">
        <v>309</v>
      </c>
      <c r="D152" s="11" t="s">
        <v>366</v>
      </c>
      <c r="E152" s="12">
        <f t="shared" si="72"/>
        <v>47400</v>
      </c>
      <c r="F152" s="12"/>
      <c r="G152" s="12"/>
      <c r="H152" s="12"/>
      <c r="I152" s="12">
        <v>47400</v>
      </c>
      <c r="J152" s="12">
        <f t="shared" si="35"/>
        <v>0</v>
      </c>
      <c r="K152" s="12"/>
      <c r="L152" s="12"/>
      <c r="M152" s="12"/>
      <c r="N152" s="12"/>
      <c r="O152" s="12"/>
      <c r="P152" s="12">
        <f t="shared" si="54"/>
        <v>47400</v>
      </c>
    </row>
    <row r="153" spans="1:16">
      <c r="A153" s="7">
        <v>1217130</v>
      </c>
      <c r="B153" s="7">
        <v>7130</v>
      </c>
      <c r="C153" s="15" t="s">
        <v>252</v>
      </c>
      <c r="D153" s="11" t="s">
        <v>253</v>
      </c>
      <c r="E153" s="12">
        <f t="shared" si="72"/>
        <v>180000</v>
      </c>
      <c r="F153" s="12"/>
      <c r="G153" s="12"/>
      <c r="H153" s="12"/>
      <c r="I153" s="12">
        <v>180000</v>
      </c>
      <c r="J153" s="12">
        <f t="shared" si="35"/>
        <v>0</v>
      </c>
      <c r="K153" s="12"/>
      <c r="L153" s="12"/>
      <c r="M153" s="12"/>
      <c r="N153" s="12"/>
      <c r="O153" s="12"/>
      <c r="P153" s="12">
        <f t="shared" si="54"/>
        <v>180000</v>
      </c>
    </row>
    <row r="154" spans="1:16" ht="46.8">
      <c r="A154" s="7" t="s">
        <v>229</v>
      </c>
      <c r="B154" s="7" t="s">
        <v>230</v>
      </c>
      <c r="C154" s="7" t="s">
        <v>231</v>
      </c>
      <c r="D154" s="11" t="s">
        <v>232</v>
      </c>
      <c r="E154" s="12">
        <f t="shared" si="72"/>
        <v>30000000</v>
      </c>
      <c r="F154" s="12">
        <v>30000000</v>
      </c>
      <c r="G154" s="12">
        <v>0</v>
      </c>
      <c r="H154" s="12">
        <v>0</v>
      </c>
      <c r="I154" s="12">
        <v>0</v>
      </c>
      <c r="J154" s="12">
        <f t="shared" si="35"/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f t="shared" si="54"/>
        <v>30000000</v>
      </c>
    </row>
    <row r="155" spans="1:16" ht="31.2">
      <c r="A155" s="15" t="s">
        <v>295</v>
      </c>
      <c r="B155" s="15" t="s">
        <v>283</v>
      </c>
      <c r="C155" s="15" t="s">
        <v>285</v>
      </c>
      <c r="D155" s="11" t="s">
        <v>284</v>
      </c>
      <c r="E155" s="12">
        <f t="shared" si="72"/>
        <v>488300</v>
      </c>
      <c r="F155" s="12">
        <v>488300</v>
      </c>
      <c r="G155" s="12"/>
      <c r="H155" s="12"/>
      <c r="I155" s="12"/>
      <c r="J155" s="12">
        <f t="shared" si="35"/>
        <v>36000</v>
      </c>
      <c r="K155" s="12">
        <v>36000</v>
      </c>
      <c r="L155" s="12"/>
      <c r="M155" s="12"/>
      <c r="N155" s="12"/>
      <c r="O155" s="12">
        <v>36000</v>
      </c>
      <c r="P155" s="12">
        <f t="shared" si="54"/>
        <v>524300</v>
      </c>
    </row>
    <row r="156" spans="1:16">
      <c r="A156" s="15" t="s">
        <v>411</v>
      </c>
      <c r="B156" s="15" t="s">
        <v>334</v>
      </c>
      <c r="C156" s="15" t="s">
        <v>335</v>
      </c>
      <c r="D156" s="11" t="s">
        <v>336</v>
      </c>
      <c r="E156" s="12">
        <f t="shared" si="72"/>
        <v>0</v>
      </c>
      <c r="F156" s="12"/>
      <c r="G156" s="12"/>
      <c r="H156" s="12"/>
      <c r="I156" s="12"/>
      <c r="J156" s="12">
        <f t="shared" si="35"/>
        <v>360000</v>
      </c>
      <c r="K156" s="12">
        <v>360000</v>
      </c>
      <c r="L156" s="12"/>
      <c r="M156" s="12"/>
      <c r="N156" s="12"/>
      <c r="O156" s="12">
        <v>360000</v>
      </c>
      <c r="P156" s="12">
        <f t="shared" si="54"/>
        <v>360000</v>
      </c>
    </row>
    <row r="157" spans="1:16" ht="46.5" customHeight="1">
      <c r="A157" s="15" t="s">
        <v>367</v>
      </c>
      <c r="B157" s="15" t="s">
        <v>368</v>
      </c>
      <c r="C157" s="15" t="s">
        <v>60</v>
      </c>
      <c r="D157" s="11" t="s">
        <v>369</v>
      </c>
      <c r="E157" s="12">
        <f t="shared" si="72"/>
        <v>0</v>
      </c>
      <c r="F157" s="12"/>
      <c r="G157" s="12"/>
      <c r="H157" s="12"/>
      <c r="I157" s="12"/>
      <c r="J157" s="12">
        <f t="shared" si="35"/>
        <v>2650510</v>
      </c>
      <c r="K157" s="12">
        <f>2060000-9490+600000</f>
        <v>2650510</v>
      </c>
      <c r="L157" s="12"/>
      <c r="M157" s="12"/>
      <c r="N157" s="12"/>
      <c r="O157" s="12">
        <f>2060000-9490+600000</f>
        <v>2650510</v>
      </c>
      <c r="P157" s="12">
        <f t="shared" si="54"/>
        <v>2650510</v>
      </c>
    </row>
    <row r="158" spans="1:16" ht="173.25" customHeight="1">
      <c r="A158" s="15" t="s">
        <v>386</v>
      </c>
      <c r="B158" s="15" t="s">
        <v>370</v>
      </c>
      <c r="C158" s="15" t="s">
        <v>60</v>
      </c>
      <c r="D158" s="11" t="s">
        <v>371</v>
      </c>
      <c r="E158" s="12">
        <f t="shared" si="72"/>
        <v>0</v>
      </c>
      <c r="F158" s="12"/>
      <c r="G158" s="12"/>
      <c r="H158" s="12"/>
      <c r="I158" s="12"/>
      <c r="J158" s="12">
        <f t="shared" si="35"/>
        <v>600374.17999999993</v>
      </c>
      <c r="K158" s="12"/>
      <c r="L158" s="12"/>
      <c r="M158" s="12"/>
      <c r="N158" s="12"/>
      <c r="O158" s="12">
        <f>384374.18+216000</f>
        <v>600374.17999999993</v>
      </c>
      <c r="P158" s="12">
        <f t="shared" si="54"/>
        <v>600374.17999999993</v>
      </c>
    </row>
    <row r="159" spans="1:16" ht="31.2">
      <c r="A159" s="7" t="s">
        <v>233</v>
      </c>
      <c r="B159" s="7" t="s">
        <v>234</v>
      </c>
      <c r="C159" s="7" t="s">
        <v>60</v>
      </c>
      <c r="D159" s="11" t="s">
        <v>235</v>
      </c>
      <c r="E159" s="12">
        <f t="shared" si="72"/>
        <v>56120800</v>
      </c>
      <c r="F159" s="12">
        <v>0</v>
      </c>
      <c r="G159" s="12">
        <v>0</v>
      </c>
      <c r="H159" s="12">
        <v>0</v>
      </c>
      <c r="I159" s="12">
        <f>43320000+4300000+100800+8400000</f>
        <v>56120800</v>
      </c>
      <c r="J159" s="12">
        <f t="shared" si="35"/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54"/>
        <v>56120800</v>
      </c>
    </row>
    <row r="160" spans="1:16" ht="46.8">
      <c r="A160" s="7" t="s">
        <v>236</v>
      </c>
      <c r="B160" s="7" t="s">
        <v>237</v>
      </c>
      <c r="C160" s="7" t="s">
        <v>238</v>
      </c>
      <c r="D160" s="11" t="s">
        <v>239</v>
      </c>
      <c r="E160" s="12">
        <f t="shared" si="72"/>
        <v>3118300</v>
      </c>
      <c r="F160" s="12">
        <f>2527200+91100+500000</f>
        <v>3118300</v>
      </c>
      <c r="G160" s="12">
        <v>0</v>
      </c>
      <c r="H160" s="12">
        <v>0</v>
      </c>
      <c r="I160" s="12">
        <v>0</v>
      </c>
      <c r="J160" s="12">
        <f t="shared" si="35"/>
        <v>378921</v>
      </c>
      <c r="K160" s="12">
        <v>378921</v>
      </c>
      <c r="L160" s="12">
        <v>0</v>
      </c>
      <c r="M160" s="12">
        <v>0</v>
      </c>
      <c r="N160" s="12">
        <v>0</v>
      </c>
      <c r="O160" s="12">
        <v>378921</v>
      </c>
      <c r="P160" s="12">
        <f t="shared" si="54"/>
        <v>3497221</v>
      </c>
    </row>
    <row r="161" spans="1:17" ht="31.2">
      <c r="A161" s="15" t="s">
        <v>387</v>
      </c>
      <c r="B161" s="7">
        <v>8240</v>
      </c>
      <c r="C161" s="15" t="s">
        <v>64</v>
      </c>
      <c r="D161" s="11" t="s">
        <v>260</v>
      </c>
      <c r="E161" s="12">
        <f t="shared" si="72"/>
        <v>0</v>
      </c>
      <c r="F161" s="12"/>
      <c r="G161" s="12"/>
      <c r="H161" s="12"/>
      <c r="I161" s="12"/>
      <c r="J161" s="12">
        <f t="shared" si="35"/>
        <v>94000</v>
      </c>
      <c r="K161" s="12">
        <f>200000-106000</f>
        <v>94000</v>
      </c>
      <c r="L161" s="12"/>
      <c r="M161" s="12"/>
      <c r="N161" s="12"/>
      <c r="O161" s="12">
        <f>200000-106000</f>
        <v>94000</v>
      </c>
      <c r="P161" s="12">
        <f t="shared" si="54"/>
        <v>94000</v>
      </c>
    </row>
    <row r="162" spans="1:17" ht="78">
      <c r="A162" s="15" t="s">
        <v>400</v>
      </c>
      <c r="B162" s="7">
        <v>8733</v>
      </c>
      <c r="C162" s="15" t="s">
        <v>231</v>
      </c>
      <c r="D162" s="11" t="s">
        <v>402</v>
      </c>
      <c r="E162" s="12">
        <f t="shared" si="72"/>
        <v>123659</v>
      </c>
      <c r="F162" s="12">
        <v>123659</v>
      </c>
      <c r="G162" s="12"/>
      <c r="H162" s="12"/>
      <c r="I162" s="12"/>
      <c r="J162" s="12">
        <f t="shared" si="35"/>
        <v>0</v>
      </c>
      <c r="K162" s="12"/>
      <c r="L162" s="12"/>
      <c r="M162" s="12"/>
      <c r="N162" s="12"/>
      <c r="O162" s="12"/>
      <c r="P162" s="12">
        <f t="shared" si="54"/>
        <v>123659</v>
      </c>
    </row>
    <row r="163" spans="1:17" ht="78">
      <c r="A163" s="15" t="s">
        <v>401</v>
      </c>
      <c r="B163" s="7">
        <v>8741</v>
      </c>
      <c r="C163" s="15" t="s">
        <v>365</v>
      </c>
      <c r="D163" s="11" t="s">
        <v>403</v>
      </c>
      <c r="E163" s="12">
        <f t="shared" si="72"/>
        <v>400000</v>
      </c>
      <c r="F163" s="12"/>
      <c r="G163" s="12"/>
      <c r="H163" s="12"/>
      <c r="I163" s="12">
        <v>400000</v>
      </c>
      <c r="J163" s="12">
        <f t="shared" si="35"/>
        <v>0</v>
      </c>
      <c r="K163" s="12"/>
      <c r="L163" s="12"/>
      <c r="M163" s="12"/>
      <c r="N163" s="12"/>
      <c r="O163" s="12"/>
      <c r="P163" s="12">
        <f t="shared" si="54"/>
        <v>400000</v>
      </c>
    </row>
    <row r="164" spans="1:17" ht="62.4">
      <c r="A164" s="8" t="s">
        <v>240</v>
      </c>
      <c r="B164" s="8" t="s">
        <v>19</v>
      </c>
      <c r="C164" s="8" t="s">
        <v>19</v>
      </c>
      <c r="D164" s="9" t="s">
        <v>241</v>
      </c>
      <c r="E164" s="10">
        <f t="shared" ref="E164:E178" si="73">F164+I164</f>
        <v>6437684</v>
      </c>
      <c r="F164" s="10">
        <f>F165</f>
        <v>6437684</v>
      </c>
      <c r="G164" s="10">
        <f t="shared" ref="G164:I164" si="74">G165</f>
        <v>6211800</v>
      </c>
      <c r="H164" s="10">
        <f t="shared" si="74"/>
        <v>0</v>
      </c>
      <c r="I164" s="10">
        <f t="shared" si="74"/>
        <v>0</v>
      </c>
      <c r="J164" s="10">
        <f t="shared" si="35"/>
        <v>166970563.63</v>
      </c>
      <c r="K164" s="10">
        <f>K165</f>
        <v>166970563.63</v>
      </c>
      <c r="L164" s="10">
        <f t="shared" ref="L164:O164" si="75">L165</f>
        <v>0</v>
      </c>
      <c r="M164" s="10">
        <f t="shared" si="75"/>
        <v>0</v>
      </c>
      <c r="N164" s="10">
        <f t="shared" si="75"/>
        <v>0</v>
      </c>
      <c r="O164" s="10">
        <f t="shared" si="75"/>
        <v>166970563.63</v>
      </c>
      <c r="P164" s="10">
        <f t="shared" si="54"/>
        <v>173408247.63</v>
      </c>
      <c r="Q164" s="5"/>
    </row>
    <row r="165" spans="1:17" ht="62.4">
      <c r="A165" s="8" t="s">
        <v>242</v>
      </c>
      <c r="B165" s="8" t="s">
        <v>19</v>
      </c>
      <c r="C165" s="8" t="s">
        <v>19</v>
      </c>
      <c r="D165" s="9" t="s">
        <v>241</v>
      </c>
      <c r="E165" s="10">
        <f t="shared" si="73"/>
        <v>6437684</v>
      </c>
      <c r="F165" s="10">
        <f>SUM(F166:F175)</f>
        <v>6437684</v>
      </c>
      <c r="G165" s="10">
        <f t="shared" ref="G165:K165" si="76">SUM(G166:G175)</f>
        <v>6211800</v>
      </c>
      <c r="H165" s="10">
        <f t="shared" si="76"/>
        <v>0</v>
      </c>
      <c r="I165" s="10">
        <f t="shared" si="76"/>
        <v>0</v>
      </c>
      <c r="J165" s="10">
        <f t="shared" si="35"/>
        <v>166970563.63</v>
      </c>
      <c r="K165" s="10">
        <f t="shared" si="76"/>
        <v>166970563.63</v>
      </c>
      <c r="L165" s="10">
        <f t="shared" ref="L165" si="77">SUM(L166:L175)</f>
        <v>0</v>
      </c>
      <c r="M165" s="10">
        <f t="shared" ref="M165" si="78">SUM(M166:M175)</f>
        <v>0</v>
      </c>
      <c r="N165" s="10">
        <f t="shared" ref="N165" si="79">SUM(N166:N175)</f>
        <v>0</v>
      </c>
      <c r="O165" s="10">
        <f t="shared" ref="O165" si="80">SUM(O166:O175)</f>
        <v>166970563.63</v>
      </c>
      <c r="P165" s="10">
        <f t="shared" si="54"/>
        <v>173408247.63</v>
      </c>
    </row>
    <row r="166" spans="1:17" ht="93.6">
      <c r="A166" s="7">
        <v>1510150</v>
      </c>
      <c r="B166" s="15" t="s">
        <v>23</v>
      </c>
      <c r="C166" s="15" t="s">
        <v>24</v>
      </c>
      <c r="D166" s="11" t="s">
        <v>25</v>
      </c>
      <c r="E166" s="12">
        <f t="shared" si="73"/>
        <v>0</v>
      </c>
      <c r="F166" s="12"/>
      <c r="G166" s="12"/>
      <c r="H166" s="12"/>
      <c r="I166" s="12"/>
      <c r="J166" s="12">
        <f t="shared" si="35"/>
        <v>590000</v>
      </c>
      <c r="K166" s="12">
        <v>590000</v>
      </c>
      <c r="L166" s="12"/>
      <c r="M166" s="12"/>
      <c r="N166" s="12"/>
      <c r="O166" s="12">
        <v>590000</v>
      </c>
      <c r="P166" s="12">
        <f t="shared" si="54"/>
        <v>590000</v>
      </c>
    </row>
    <row r="167" spans="1:17" ht="46.8">
      <c r="A167" s="7" t="s">
        <v>243</v>
      </c>
      <c r="B167" s="7" t="s">
        <v>76</v>
      </c>
      <c r="C167" s="7" t="s">
        <v>24</v>
      </c>
      <c r="D167" s="11" t="s">
        <v>77</v>
      </c>
      <c r="E167" s="12">
        <f t="shared" si="73"/>
        <v>6367384</v>
      </c>
      <c r="F167" s="12">
        <f>6327300+26000+14084</f>
        <v>6367384</v>
      </c>
      <c r="G167" s="12">
        <f>5091700+1120100</f>
        <v>6211800</v>
      </c>
      <c r="H167" s="12">
        <v>0</v>
      </c>
      <c r="I167" s="12">
        <v>0</v>
      </c>
      <c r="J167" s="12">
        <f t="shared" si="35"/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f t="shared" si="54"/>
        <v>6367384</v>
      </c>
    </row>
    <row r="168" spans="1:17" ht="31.2">
      <c r="A168" s="7">
        <v>1511300</v>
      </c>
      <c r="B168" s="15" t="s">
        <v>372</v>
      </c>
      <c r="C168" s="15" t="s">
        <v>106</v>
      </c>
      <c r="D168" s="11" t="s">
        <v>378</v>
      </c>
      <c r="E168" s="12">
        <f t="shared" si="73"/>
        <v>0</v>
      </c>
      <c r="F168" s="12"/>
      <c r="G168" s="12"/>
      <c r="H168" s="12"/>
      <c r="I168" s="12"/>
      <c r="J168" s="12">
        <f t="shared" si="35"/>
        <v>86954716</v>
      </c>
      <c r="K168" s="12">
        <f>83518800+3500000+100000-250000+100000-14084</f>
        <v>86954716</v>
      </c>
      <c r="L168" s="12"/>
      <c r="M168" s="12"/>
      <c r="N168" s="12"/>
      <c r="O168" s="12">
        <f>83518800+3500000+100000-250000+100000-14084</f>
        <v>86954716</v>
      </c>
      <c r="P168" s="12">
        <f t="shared" si="54"/>
        <v>86954716</v>
      </c>
    </row>
    <row r="169" spans="1:17" ht="78">
      <c r="A169" s="7">
        <v>1512171</v>
      </c>
      <c r="B169" s="15" t="s">
        <v>373</v>
      </c>
      <c r="C169" s="15" t="s">
        <v>48</v>
      </c>
      <c r="D169" s="11" t="s">
        <v>379</v>
      </c>
      <c r="E169" s="12">
        <f t="shared" si="73"/>
        <v>0</v>
      </c>
      <c r="F169" s="12"/>
      <c r="G169" s="12"/>
      <c r="H169" s="12"/>
      <c r="I169" s="12"/>
      <c r="J169" s="12">
        <f t="shared" si="35"/>
        <v>7550000</v>
      </c>
      <c r="K169" s="12">
        <f>550000+2000000+5000000</f>
        <v>7550000</v>
      </c>
      <c r="L169" s="12"/>
      <c r="M169" s="12"/>
      <c r="N169" s="12"/>
      <c r="O169" s="12">
        <f>550000+2000000+5000000</f>
        <v>7550000</v>
      </c>
      <c r="P169" s="12">
        <f t="shared" si="54"/>
        <v>7550000</v>
      </c>
    </row>
    <row r="170" spans="1:17" ht="31.2">
      <c r="A170" s="7">
        <v>1516015</v>
      </c>
      <c r="B170" s="15" t="s">
        <v>223</v>
      </c>
      <c r="C170" s="15" t="s">
        <v>56</v>
      </c>
      <c r="D170" s="11" t="s">
        <v>224</v>
      </c>
      <c r="E170" s="12">
        <f t="shared" si="73"/>
        <v>0</v>
      </c>
      <c r="F170" s="12"/>
      <c r="G170" s="12"/>
      <c r="H170" s="12"/>
      <c r="I170" s="12"/>
      <c r="J170" s="12">
        <f t="shared" si="35"/>
        <v>1122000</v>
      </c>
      <c r="K170" s="12">
        <f>486000+636000</f>
        <v>1122000</v>
      </c>
      <c r="L170" s="12"/>
      <c r="M170" s="12"/>
      <c r="N170" s="12"/>
      <c r="O170" s="12">
        <f>486000+636000</f>
        <v>1122000</v>
      </c>
      <c r="P170" s="12">
        <f t="shared" si="54"/>
        <v>1122000</v>
      </c>
    </row>
    <row r="171" spans="1:17" ht="31.2">
      <c r="A171" s="7">
        <v>1516091</v>
      </c>
      <c r="B171" s="15" t="s">
        <v>374</v>
      </c>
      <c r="C171" s="15" t="s">
        <v>309</v>
      </c>
      <c r="D171" s="11" t="s">
        <v>380</v>
      </c>
      <c r="E171" s="12">
        <f t="shared" si="73"/>
        <v>0</v>
      </c>
      <c r="F171" s="12"/>
      <c r="G171" s="12"/>
      <c r="H171" s="12"/>
      <c r="I171" s="12"/>
      <c r="J171" s="12">
        <f t="shared" si="35"/>
        <v>30226232.009999998</v>
      </c>
      <c r="K171" s="12">
        <f>14033601.01+10981383+4148102+926970+136176</f>
        <v>30226232.009999998</v>
      </c>
      <c r="L171" s="12"/>
      <c r="M171" s="12"/>
      <c r="N171" s="12"/>
      <c r="O171" s="12">
        <f>14033601.01+10981383+4148102+926970+136176</f>
        <v>30226232.009999998</v>
      </c>
      <c r="P171" s="12">
        <f t="shared" si="54"/>
        <v>30226232.009999998</v>
      </c>
    </row>
    <row r="172" spans="1:17" ht="31.2">
      <c r="A172" s="7">
        <v>1517368</v>
      </c>
      <c r="B172" s="15" t="s">
        <v>375</v>
      </c>
      <c r="C172" s="15" t="s">
        <v>60</v>
      </c>
      <c r="D172" s="11" t="s">
        <v>381</v>
      </c>
      <c r="E172" s="12">
        <f t="shared" si="73"/>
        <v>0</v>
      </c>
      <c r="F172" s="12"/>
      <c r="G172" s="12"/>
      <c r="H172" s="12"/>
      <c r="I172" s="12"/>
      <c r="J172" s="12">
        <f t="shared" si="35"/>
        <v>15815727.619999999</v>
      </c>
      <c r="K172" s="12">
        <v>15815727.619999999</v>
      </c>
      <c r="L172" s="12"/>
      <c r="M172" s="12"/>
      <c r="N172" s="12"/>
      <c r="O172" s="12">
        <v>15815727.619999999</v>
      </c>
      <c r="P172" s="12">
        <f t="shared" si="54"/>
        <v>15815727.619999999</v>
      </c>
    </row>
    <row r="173" spans="1:17" ht="46.8">
      <c r="A173" s="7">
        <v>1517370</v>
      </c>
      <c r="B173" s="15" t="s">
        <v>376</v>
      </c>
      <c r="C173" s="15" t="s">
        <v>60</v>
      </c>
      <c r="D173" s="11" t="s">
        <v>382</v>
      </c>
      <c r="E173" s="12">
        <f t="shared" si="73"/>
        <v>0</v>
      </c>
      <c r="F173" s="12"/>
      <c r="G173" s="12"/>
      <c r="H173" s="12"/>
      <c r="I173" s="12"/>
      <c r="J173" s="12">
        <f t="shared" si="35"/>
        <v>19920588</v>
      </c>
      <c r="K173" s="12">
        <v>19920588</v>
      </c>
      <c r="L173" s="12"/>
      <c r="M173" s="12"/>
      <c r="N173" s="12"/>
      <c r="O173" s="12">
        <v>19920588</v>
      </c>
      <c r="P173" s="12">
        <f t="shared" si="54"/>
        <v>19920588</v>
      </c>
    </row>
    <row r="174" spans="1:17" ht="31.2">
      <c r="A174" s="15" t="s">
        <v>296</v>
      </c>
      <c r="B174" s="15" t="s">
        <v>283</v>
      </c>
      <c r="C174" s="15" t="s">
        <v>285</v>
      </c>
      <c r="D174" s="11" t="s">
        <v>284</v>
      </c>
      <c r="E174" s="12">
        <f t="shared" si="73"/>
        <v>70300</v>
      </c>
      <c r="F174" s="12">
        <f>46300+24000</f>
        <v>70300</v>
      </c>
      <c r="G174" s="12"/>
      <c r="H174" s="12"/>
      <c r="I174" s="12"/>
      <c r="J174" s="12">
        <f t="shared" si="35"/>
        <v>0</v>
      </c>
      <c r="K174" s="12"/>
      <c r="L174" s="12"/>
      <c r="M174" s="12"/>
      <c r="N174" s="12"/>
      <c r="O174" s="12"/>
      <c r="P174" s="12">
        <f t="shared" si="54"/>
        <v>70300</v>
      </c>
    </row>
    <row r="175" spans="1:17" ht="46.8">
      <c r="A175" s="15" t="s">
        <v>377</v>
      </c>
      <c r="B175" s="15" t="s">
        <v>237</v>
      </c>
      <c r="C175" s="15" t="s">
        <v>238</v>
      </c>
      <c r="D175" s="11" t="s">
        <v>239</v>
      </c>
      <c r="E175" s="12">
        <f t="shared" si="73"/>
        <v>0</v>
      </c>
      <c r="F175" s="12"/>
      <c r="G175" s="12"/>
      <c r="H175" s="12"/>
      <c r="I175" s="12"/>
      <c r="J175" s="12">
        <f t="shared" si="35"/>
        <v>4791300</v>
      </c>
      <c r="K175" s="12">
        <f>5000000+1791300-2000000</f>
        <v>4791300</v>
      </c>
      <c r="L175" s="12"/>
      <c r="M175" s="12"/>
      <c r="N175" s="12"/>
      <c r="O175" s="12">
        <f>5000000+1791300-2000000</f>
        <v>4791300</v>
      </c>
      <c r="P175" s="12">
        <f t="shared" si="54"/>
        <v>4791300</v>
      </c>
    </row>
    <row r="176" spans="1:17" ht="78" customHeight="1">
      <c r="A176" s="8" t="s">
        <v>244</v>
      </c>
      <c r="B176" s="8" t="s">
        <v>19</v>
      </c>
      <c r="C176" s="8" t="s">
        <v>19</v>
      </c>
      <c r="D176" s="9" t="s">
        <v>245</v>
      </c>
      <c r="E176" s="10">
        <f t="shared" si="73"/>
        <v>28991300</v>
      </c>
      <c r="F176" s="10">
        <f>F177</f>
        <v>7170300</v>
      </c>
      <c r="G176" s="10">
        <f t="shared" ref="G176:I176" si="81">G177</f>
        <v>5521700</v>
      </c>
      <c r="H176" s="10">
        <f t="shared" si="81"/>
        <v>0</v>
      </c>
      <c r="I176" s="10">
        <f t="shared" si="81"/>
        <v>21821000</v>
      </c>
      <c r="J176" s="10">
        <f t="shared" si="35"/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f t="shared" si="54"/>
        <v>28991300</v>
      </c>
      <c r="Q176" s="5"/>
    </row>
    <row r="177" spans="1:17" ht="78" customHeight="1">
      <c r="A177" s="8" t="s">
        <v>246</v>
      </c>
      <c r="B177" s="8" t="s">
        <v>19</v>
      </c>
      <c r="C177" s="8" t="s">
        <v>19</v>
      </c>
      <c r="D177" s="9" t="s">
        <v>245</v>
      </c>
      <c r="E177" s="10">
        <f t="shared" si="73"/>
        <v>28991300</v>
      </c>
      <c r="F177" s="10">
        <f>SUM(F178:F185)</f>
        <v>7170300</v>
      </c>
      <c r="G177" s="10">
        <f t="shared" ref="G177:K177" si="82">SUM(G178:G185)</f>
        <v>5521700</v>
      </c>
      <c r="H177" s="10">
        <f t="shared" si="82"/>
        <v>0</v>
      </c>
      <c r="I177" s="10">
        <f t="shared" si="82"/>
        <v>21821000</v>
      </c>
      <c r="J177" s="10">
        <f t="shared" si="35"/>
        <v>0</v>
      </c>
      <c r="K177" s="10">
        <f t="shared" si="82"/>
        <v>0</v>
      </c>
      <c r="L177" s="10">
        <f t="shared" ref="L177" si="83">SUM(L178:L185)</f>
        <v>0</v>
      </c>
      <c r="M177" s="10">
        <f t="shared" ref="M177" si="84">SUM(M178:M185)</f>
        <v>0</v>
      </c>
      <c r="N177" s="10">
        <f t="shared" ref="N177" si="85">SUM(N178:N185)</f>
        <v>0</v>
      </c>
      <c r="O177" s="10">
        <f t="shared" ref="O177" si="86">SUM(O178:O185)</f>
        <v>0</v>
      </c>
      <c r="P177" s="10">
        <f t="shared" si="54"/>
        <v>28991300</v>
      </c>
    </row>
    <row r="178" spans="1:17" ht="81" customHeight="1">
      <c r="A178" s="7" t="s">
        <v>247</v>
      </c>
      <c r="B178" s="7" t="s">
        <v>76</v>
      </c>
      <c r="C178" s="7" t="s">
        <v>24</v>
      </c>
      <c r="D178" s="11" t="s">
        <v>77</v>
      </c>
      <c r="E178" s="12">
        <f t="shared" si="73"/>
        <v>5601700</v>
      </c>
      <c r="F178" s="12">
        <v>5601700</v>
      </c>
      <c r="G178" s="12">
        <f>4526000+995700</f>
        <v>5521700</v>
      </c>
      <c r="H178" s="12">
        <v>0</v>
      </c>
      <c r="I178" s="12">
        <v>0</v>
      </c>
      <c r="J178" s="12">
        <f t="shared" si="35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54"/>
        <v>5601700</v>
      </c>
    </row>
    <row r="179" spans="1:17" ht="44.25" customHeight="1">
      <c r="A179" s="7" t="s">
        <v>248</v>
      </c>
      <c r="B179" s="7" t="s">
        <v>31</v>
      </c>
      <c r="C179" s="7" t="s">
        <v>32</v>
      </c>
      <c r="D179" s="11" t="s">
        <v>33</v>
      </c>
      <c r="E179" s="12">
        <f t="shared" ref="E179:E185" si="87">F179+I179</f>
        <v>115000</v>
      </c>
      <c r="F179" s="12">
        <f>65000+50000</f>
        <v>115000</v>
      </c>
      <c r="G179" s="12">
        <v>0</v>
      </c>
      <c r="H179" s="12">
        <v>0</v>
      </c>
      <c r="I179" s="12">
        <v>0</v>
      </c>
      <c r="J179" s="12">
        <f t="shared" si="35"/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54"/>
        <v>115000</v>
      </c>
    </row>
    <row r="180" spans="1:17" ht="56.25" customHeight="1">
      <c r="A180" s="7" t="s">
        <v>249</v>
      </c>
      <c r="B180" s="7" t="s">
        <v>226</v>
      </c>
      <c r="C180" s="7" t="s">
        <v>56</v>
      </c>
      <c r="D180" s="11" t="s">
        <v>227</v>
      </c>
      <c r="E180" s="12">
        <f t="shared" si="87"/>
        <v>200000</v>
      </c>
      <c r="F180" s="12">
        <v>200000</v>
      </c>
      <c r="G180" s="12">
        <v>0</v>
      </c>
      <c r="H180" s="12">
        <v>0</v>
      </c>
      <c r="I180" s="12">
        <v>0</v>
      </c>
      <c r="J180" s="12">
        <f t="shared" si="35"/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54"/>
        <v>200000</v>
      </c>
    </row>
    <row r="181" spans="1:17" s="19" customFormat="1" ht="42.75" customHeight="1">
      <c r="A181" s="15" t="s">
        <v>310</v>
      </c>
      <c r="B181" s="7">
        <v>6090</v>
      </c>
      <c r="C181" s="15" t="s">
        <v>309</v>
      </c>
      <c r="D181" s="11" t="s">
        <v>308</v>
      </c>
      <c r="E181" s="12">
        <f t="shared" ref="E181" si="88">F181+I181</f>
        <v>1500000</v>
      </c>
      <c r="F181" s="12"/>
      <c r="G181" s="12">
        <v>0</v>
      </c>
      <c r="H181" s="12">
        <v>0</v>
      </c>
      <c r="I181" s="12">
        <v>1500000</v>
      </c>
      <c r="J181" s="12">
        <f t="shared" ref="J181" si="89">L181+O181</f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54"/>
        <v>1500000</v>
      </c>
    </row>
    <row r="182" spans="1:17">
      <c r="A182" s="7" t="s">
        <v>250</v>
      </c>
      <c r="B182" s="7" t="s">
        <v>251</v>
      </c>
      <c r="C182" s="7" t="s">
        <v>252</v>
      </c>
      <c r="D182" s="11" t="s">
        <v>253</v>
      </c>
      <c r="E182" s="12">
        <f t="shared" si="87"/>
        <v>1160000</v>
      </c>
      <c r="F182" s="12">
        <f>1160000-100000</f>
        <v>1060000</v>
      </c>
      <c r="G182" s="12">
        <v>0</v>
      </c>
      <c r="H182" s="12">
        <v>0</v>
      </c>
      <c r="I182" s="12">
        <v>100000</v>
      </c>
      <c r="J182" s="12">
        <f t="shared" si="35"/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si="54"/>
        <v>1160000</v>
      </c>
    </row>
    <row r="183" spans="1:17" ht="41.25" customHeight="1">
      <c r="A183" s="15" t="s">
        <v>297</v>
      </c>
      <c r="B183" s="15" t="s">
        <v>283</v>
      </c>
      <c r="C183" s="15" t="s">
        <v>285</v>
      </c>
      <c r="D183" s="11" t="s">
        <v>284</v>
      </c>
      <c r="E183" s="12">
        <f t="shared" si="87"/>
        <v>48600</v>
      </c>
      <c r="F183" s="12">
        <f>8600+40000</f>
        <v>48600</v>
      </c>
      <c r="G183" s="12"/>
      <c r="H183" s="12"/>
      <c r="I183" s="12"/>
      <c r="J183" s="12">
        <f t="shared" si="35"/>
        <v>0</v>
      </c>
      <c r="K183" s="12"/>
      <c r="L183" s="12"/>
      <c r="M183" s="12"/>
      <c r="N183" s="12"/>
      <c r="O183" s="12"/>
      <c r="P183" s="12">
        <f t="shared" si="54"/>
        <v>48600</v>
      </c>
    </row>
    <row r="184" spans="1:17" ht="40.5" customHeight="1">
      <c r="A184" s="7" t="s">
        <v>257</v>
      </c>
      <c r="B184" s="7" t="s">
        <v>234</v>
      </c>
      <c r="C184" s="7" t="s">
        <v>60</v>
      </c>
      <c r="D184" s="11" t="s">
        <v>235</v>
      </c>
      <c r="E184" s="12">
        <f t="shared" si="87"/>
        <v>20221000</v>
      </c>
      <c r="F184" s="12">
        <v>0</v>
      </c>
      <c r="G184" s="12">
        <v>0</v>
      </c>
      <c r="H184" s="12">
        <v>0</v>
      </c>
      <c r="I184" s="12">
        <f>20021000+200000</f>
        <v>20221000</v>
      </c>
      <c r="J184" s="12">
        <f t="shared" si="35"/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ref="P184:P205" si="90">E184 + J184</f>
        <v>20221000</v>
      </c>
    </row>
    <row r="185" spans="1:17" ht="40.5" customHeight="1">
      <c r="A185" s="7" t="s">
        <v>258</v>
      </c>
      <c r="B185" s="7" t="s">
        <v>259</v>
      </c>
      <c r="C185" s="7" t="s">
        <v>64</v>
      </c>
      <c r="D185" s="11" t="s">
        <v>260</v>
      </c>
      <c r="E185" s="12">
        <f t="shared" si="87"/>
        <v>145000</v>
      </c>
      <c r="F185" s="12">
        <v>145000</v>
      </c>
      <c r="G185" s="12">
        <v>0</v>
      </c>
      <c r="H185" s="12">
        <v>0</v>
      </c>
      <c r="I185" s="12">
        <v>0</v>
      </c>
      <c r="J185" s="12">
        <f t="shared" si="35"/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f t="shared" si="90"/>
        <v>145000</v>
      </c>
    </row>
    <row r="186" spans="1:17" ht="60.75" customHeight="1">
      <c r="A186" s="8" t="s">
        <v>261</v>
      </c>
      <c r="B186" s="8" t="s">
        <v>19</v>
      </c>
      <c r="C186" s="8" t="s">
        <v>19</v>
      </c>
      <c r="D186" s="9" t="s">
        <v>262</v>
      </c>
      <c r="E186" s="10">
        <f>E187</f>
        <v>156936691</v>
      </c>
      <c r="F186" s="10">
        <f>F187</f>
        <v>151245330</v>
      </c>
      <c r="G186" s="10">
        <f t="shared" ref="G186:I186" si="91">G187</f>
        <v>7756900</v>
      </c>
      <c r="H186" s="10">
        <f t="shared" si="91"/>
        <v>0</v>
      </c>
      <c r="I186" s="10">
        <f t="shared" si="91"/>
        <v>0</v>
      </c>
      <c r="J186" s="10">
        <f t="shared" si="35"/>
        <v>33350382</v>
      </c>
      <c r="K186" s="10">
        <f>K187</f>
        <v>33350382</v>
      </c>
      <c r="L186" s="10">
        <f t="shared" ref="L186:O186" si="92">L187</f>
        <v>0</v>
      </c>
      <c r="M186" s="10">
        <f t="shared" si="92"/>
        <v>0</v>
      </c>
      <c r="N186" s="10">
        <f t="shared" si="92"/>
        <v>0</v>
      </c>
      <c r="O186" s="10">
        <f t="shared" si="92"/>
        <v>33350382</v>
      </c>
      <c r="P186" s="10">
        <f t="shared" si="90"/>
        <v>190287073</v>
      </c>
      <c r="Q186" s="5"/>
    </row>
    <row r="187" spans="1:17" ht="60" customHeight="1">
      <c r="A187" s="8" t="s">
        <v>263</v>
      </c>
      <c r="B187" s="8" t="s">
        <v>19</v>
      </c>
      <c r="C187" s="8" t="s">
        <v>19</v>
      </c>
      <c r="D187" s="9" t="s">
        <v>262</v>
      </c>
      <c r="E187" s="10">
        <f>F187+I187+E190</f>
        <v>156936691</v>
      </c>
      <c r="F187" s="10">
        <f>F188+F189+F190+F191+F192+F199</f>
        <v>151245330</v>
      </c>
      <c r="G187" s="10">
        <f t="shared" ref="G187:I187" si="93">G188+G189+G190+G191+G192+G199</f>
        <v>7756900</v>
      </c>
      <c r="H187" s="10">
        <f t="shared" si="93"/>
        <v>0</v>
      </c>
      <c r="I187" s="10">
        <f t="shared" si="93"/>
        <v>0</v>
      </c>
      <c r="J187" s="10">
        <f t="shared" ref="J187:J198" si="94">L187+O187</f>
        <v>33350382</v>
      </c>
      <c r="K187" s="10">
        <f>K188+K189+K190+K191+K192+K199</f>
        <v>33350382</v>
      </c>
      <c r="L187" s="10">
        <f t="shared" ref="L187" si="95">L188+L189+L190+L191+L192+L199</f>
        <v>0</v>
      </c>
      <c r="M187" s="10">
        <f t="shared" ref="M187" si="96">M188+M189+M190+M191+M192+M199</f>
        <v>0</v>
      </c>
      <c r="N187" s="10">
        <f t="shared" ref="N187" si="97">N188+N189+N190+N191+N192+N199</f>
        <v>0</v>
      </c>
      <c r="O187" s="10">
        <f t="shared" ref="O187" si="98">O188+O189+O190+O191+O192+O199</f>
        <v>33350382</v>
      </c>
      <c r="P187" s="10">
        <f t="shared" si="90"/>
        <v>190287073</v>
      </c>
    </row>
    <row r="188" spans="1:17" ht="70.5" customHeight="1">
      <c r="A188" s="7" t="s">
        <v>264</v>
      </c>
      <c r="B188" s="7" t="s">
        <v>76</v>
      </c>
      <c r="C188" s="7" t="s">
        <v>24</v>
      </c>
      <c r="D188" s="11" t="s">
        <v>77</v>
      </c>
      <c r="E188" s="12">
        <f>F188+I188</f>
        <v>8035900</v>
      </c>
      <c r="F188" s="12">
        <v>8035900</v>
      </c>
      <c r="G188" s="12">
        <f>6358000+1398900</f>
        <v>7756900</v>
      </c>
      <c r="H188" s="12">
        <v>0</v>
      </c>
      <c r="I188" s="12">
        <v>0</v>
      </c>
      <c r="J188" s="12">
        <f t="shared" si="94"/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f t="shared" si="90"/>
        <v>8035900</v>
      </c>
    </row>
    <row r="189" spans="1:17" ht="31.2">
      <c r="A189" s="15" t="s">
        <v>298</v>
      </c>
      <c r="B189" s="15" t="s">
        <v>283</v>
      </c>
      <c r="C189" s="15" t="s">
        <v>285</v>
      </c>
      <c r="D189" s="11" t="s">
        <v>284</v>
      </c>
      <c r="E189" s="12">
        <f t="shared" ref="E189" si="99">F189+I189</f>
        <v>92500</v>
      </c>
      <c r="F189" s="12">
        <v>92500</v>
      </c>
      <c r="G189" s="12"/>
      <c r="H189" s="12"/>
      <c r="I189" s="12"/>
      <c r="J189" s="12">
        <f t="shared" si="94"/>
        <v>0</v>
      </c>
      <c r="K189" s="12"/>
      <c r="L189" s="12"/>
      <c r="M189" s="12"/>
      <c r="N189" s="12"/>
      <c r="O189" s="12"/>
      <c r="P189" s="12">
        <f t="shared" si="90"/>
        <v>92500</v>
      </c>
    </row>
    <row r="190" spans="1:17" ht="23.4" customHeight="1">
      <c r="A190" s="7" t="s">
        <v>265</v>
      </c>
      <c r="B190" s="7" t="s">
        <v>266</v>
      </c>
      <c r="C190" s="7" t="s">
        <v>32</v>
      </c>
      <c r="D190" s="11" t="s">
        <v>267</v>
      </c>
      <c r="E190" s="12">
        <f>10000000-523659-500000-1700000-936480-107500-541000</f>
        <v>5691361</v>
      </c>
      <c r="F190" s="12">
        <v>0</v>
      </c>
      <c r="G190" s="12">
        <v>0</v>
      </c>
      <c r="H190" s="12">
        <v>0</v>
      </c>
      <c r="I190" s="12">
        <v>0</v>
      </c>
      <c r="J190" s="12">
        <f t="shared" si="94"/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f t="shared" si="90"/>
        <v>5691361</v>
      </c>
    </row>
    <row r="191" spans="1:17" ht="23.4" customHeight="1">
      <c r="A191" s="7">
        <v>3719110</v>
      </c>
      <c r="B191" s="7">
        <v>9110</v>
      </c>
      <c r="C191" s="15" t="s">
        <v>31</v>
      </c>
      <c r="D191" s="11" t="s">
        <v>299</v>
      </c>
      <c r="E191" s="12">
        <f>F191+I191</f>
        <v>63874800</v>
      </c>
      <c r="F191" s="12">
        <v>63874800</v>
      </c>
      <c r="G191" s="12"/>
      <c r="H191" s="12"/>
      <c r="I191" s="12"/>
      <c r="J191" s="12">
        <f t="shared" si="94"/>
        <v>0</v>
      </c>
      <c r="K191" s="12"/>
      <c r="L191" s="12"/>
      <c r="M191" s="12"/>
      <c r="N191" s="12"/>
      <c r="O191" s="12"/>
      <c r="P191" s="12">
        <f t="shared" si="90"/>
        <v>63874800</v>
      </c>
    </row>
    <row r="192" spans="1:17" ht="23.4" customHeight="1">
      <c r="A192" s="7" t="s">
        <v>268</v>
      </c>
      <c r="B192" s="7" t="s">
        <v>269</v>
      </c>
      <c r="C192" s="7" t="s">
        <v>31</v>
      </c>
      <c r="D192" s="11" t="s">
        <v>270</v>
      </c>
      <c r="E192" s="12">
        <f>F192+I192</f>
        <v>14931612</v>
      </c>
      <c r="F192" s="12">
        <f>SUM(F193:F198)</f>
        <v>14931612</v>
      </c>
      <c r="G192" s="12">
        <f t="shared" ref="G192:K192" si="100">SUM(G193:G198)</f>
        <v>0</v>
      </c>
      <c r="H192" s="12">
        <f t="shared" si="100"/>
        <v>0</v>
      </c>
      <c r="I192" s="12">
        <f t="shared" si="100"/>
        <v>0</v>
      </c>
      <c r="J192" s="12">
        <f t="shared" si="94"/>
        <v>1041300</v>
      </c>
      <c r="K192" s="12">
        <f t="shared" si="100"/>
        <v>1041300</v>
      </c>
      <c r="L192" s="12">
        <f t="shared" ref="L192" si="101">SUM(L193:L198)</f>
        <v>0</v>
      </c>
      <c r="M192" s="12">
        <f t="shared" ref="M192" si="102">SUM(M193:M198)</f>
        <v>0</v>
      </c>
      <c r="N192" s="12">
        <f t="shared" ref="N192" si="103">SUM(N193:N198)</f>
        <v>0</v>
      </c>
      <c r="O192" s="12">
        <f t="shared" ref="O192" si="104">SUM(O193:O198)</f>
        <v>1041300</v>
      </c>
      <c r="P192" s="12">
        <f t="shared" si="90"/>
        <v>15972912</v>
      </c>
    </row>
    <row r="193" spans="1:16" s="6" customFormat="1" ht="142.5" customHeight="1">
      <c r="A193" s="13"/>
      <c r="B193" s="13"/>
      <c r="C193" s="13"/>
      <c r="D193" s="17" t="s">
        <v>301</v>
      </c>
      <c r="E193" s="14">
        <f>F193+I193</f>
        <v>1958700</v>
      </c>
      <c r="F193" s="14">
        <f>1760700+198000</f>
        <v>1958700</v>
      </c>
      <c r="G193" s="14"/>
      <c r="H193" s="14"/>
      <c r="I193" s="14"/>
      <c r="J193" s="14">
        <f t="shared" si="94"/>
        <v>0</v>
      </c>
      <c r="K193" s="14"/>
      <c r="L193" s="14"/>
      <c r="M193" s="14"/>
      <c r="N193" s="14"/>
      <c r="O193" s="14"/>
      <c r="P193" s="14">
        <f t="shared" si="90"/>
        <v>1958700</v>
      </c>
    </row>
    <row r="194" spans="1:16" s="6" customFormat="1" ht="62.4">
      <c r="A194" s="13"/>
      <c r="B194" s="13"/>
      <c r="C194" s="13"/>
      <c r="D194" s="1" t="s">
        <v>302</v>
      </c>
      <c r="E194" s="14">
        <f t="shared" ref="E194:E198" si="105">F194+I194</f>
        <v>500000</v>
      </c>
      <c r="F194" s="14">
        <v>500000</v>
      </c>
      <c r="G194" s="14"/>
      <c r="H194" s="14"/>
      <c r="I194" s="14"/>
      <c r="J194" s="14">
        <f t="shared" si="94"/>
        <v>0</v>
      </c>
      <c r="K194" s="14"/>
      <c r="L194" s="14"/>
      <c r="M194" s="14"/>
      <c r="N194" s="14"/>
      <c r="O194" s="14"/>
      <c r="P194" s="14">
        <f t="shared" si="90"/>
        <v>500000</v>
      </c>
    </row>
    <row r="195" spans="1:16" s="6" customFormat="1" ht="78">
      <c r="A195" s="13"/>
      <c r="B195" s="13"/>
      <c r="C195" s="13"/>
      <c r="D195" s="17" t="s">
        <v>300</v>
      </c>
      <c r="E195" s="14">
        <f t="shared" si="105"/>
        <v>2241100</v>
      </c>
      <c r="F195" s="14">
        <f>2237000+14200-10100</f>
        <v>2241100</v>
      </c>
      <c r="G195" s="14"/>
      <c r="H195" s="14"/>
      <c r="I195" s="14"/>
      <c r="J195" s="14">
        <f t="shared" si="94"/>
        <v>0</v>
      </c>
      <c r="K195" s="14"/>
      <c r="L195" s="14"/>
      <c r="M195" s="14"/>
      <c r="N195" s="14"/>
      <c r="O195" s="14"/>
      <c r="P195" s="14">
        <f t="shared" si="90"/>
        <v>2241100</v>
      </c>
    </row>
    <row r="196" spans="1:16" s="6" customFormat="1" ht="93.6">
      <c r="A196" s="13"/>
      <c r="B196" s="13"/>
      <c r="C196" s="13"/>
      <c r="D196" s="17" t="s">
        <v>384</v>
      </c>
      <c r="E196" s="14">
        <f t="shared" si="105"/>
        <v>10000000</v>
      </c>
      <c r="F196" s="14">
        <v>10000000</v>
      </c>
      <c r="G196" s="14"/>
      <c r="H196" s="14"/>
      <c r="I196" s="14"/>
      <c r="J196" s="14">
        <f t="shared" si="94"/>
        <v>0</v>
      </c>
      <c r="K196" s="14"/>
      <c r="L196" s="14"/>
      <c r="M196" s="14"/>
      <c r="N196" s="14"/>
      <c r="O196" s="14"/>
      <c r="P196" s="14">
        <f t="shared" si="90"/>
        <v>10000000</v>
      </c>
    </row>
    <row r="197" spans="1:16" s="6" customFormat="1" ht="46.8">
      <c r="A197" s="13"/>
      <c r="B197" s="13"/>
      <c r="C197" s="13"/>
      <c r="D197" s="17" t="s">
        <v>404</v>
      </c>
      <c r="E197" s="14">
        <f t="shared" si="105"/>
        <v>0</v>
      </c>
      <c r="F197" s="14"/>
      <c r="G197" s="14"/>
      <c r="H197" s="14"/>
      <c r="I197" s="14"/>
      <c r="J197" s="14">
        <f t="shared" si="94"/>
        <v>1041300</v>
      </c>
      <c r="K197" s="14">
        <v>1041300</v>
      </c>
      <c r="L197" s="14"/>
      <c r="M197" s="14"/>
      <c r="N197" s="14"/>
      <c r="O197" s="14">
        <v>1041300</v>
      </c>
      <c r="P197" s="14">
        <f t="shared" si="90"/>
        <v>1041300</v>
      </c>
    </row>
    <row r="198" spans="1:16" s="31" customFormat="1" ht="207.75" customHeight="1">
      <c r="A198" s="13"/>
      <c r="B198" s="13"/>
      <c r="C198" s="13"/>
      <c r="D198" s="17" t="s">
        <v>428</v>
      </c>
      <c r="E198" s="14">
        <f t="shared" si="105"/>
        <v>231812</v>
      </c>
      <c r="F198" s="14">
        <v>231812</v>
      </c>
      <c r="G198" s="14"/>
      <c r="H198" s="14"/>
      <c r="I198" s="14"/>
      <c r="J198" s="14">
        <f t="shared" si="94"/>
        <v>0</v>
      </c>
      <c r="K198" s="14"/>
      <c r="L198" s="14"/>
      <c r="M198" s="14"/>
      <c r="N198" s="14"/>
      <c r="O198" s="14"/>
      <c r="P198" s="14">
        <f t="shared" si="90"/>
        <v>231812</v>
      </c>
    </row>
    <row r="199" spans="1:16" ht="62.4">
      <c r="A199" s="7">
        <v>3719800</v>
      </c>
      <c r="B199" s="7">
        <v>9800</v>
      </c>
      <c r="C199" s="15" t="s">
        <v>31</v>
      </c>
      <c r="D199" s="32" t="s">
        <v>383</v>
      </c>
      <c r="E199" s="12">
        <f t="shared" ref="E199:E204" si="106">F199+I199</f>
        <v>64310518</v>
      </c>
      <c r="F199" s="12">
        <f>SUM(F200:F204)</f>
        <v>64310518</v>
      </c>
      <c r="G199" s="12">
        <f t="shared" ref="G199:I199" si="107">G200+G201</f>
        <v>0</v>
      </c>
      <c r="H199" s="12">
        <f t="shared" si="107"/>
        <v>0</v>
      </c>
      <c r="I199" s="12">
        <f t="shared" si="107"/>
        <v>0</v>
      </c>
      <c r="J199" s="12">
        <f>L199+O199</f>
        <v>32309082</v>
      </c>
      <c r="K199" s="12">
        <f>SUM(K200:K204)</f>
        <v>32309082</v>
      </c>
      <c r="L199" s="12">
        <f t="shared" ref="L199" si="108">L200+L201</f>
        <v>0</v>
      </c>
      <c r="M199" s="12">
        <f t="shared" ref="M199" si="109">M200+M201</f>
        <v>0</v>
      </c>
      <c r="N199" s="12">
        <f t="shared" ref="N199" si="110">N200+N201</f>
        <v>0</v>
      </c>
      <c r="O199" s="12">
        <f>SUM(O200:O204)</f>
        <v>32309082</v>
      </c>
      <c r="P199" s="12">
        <f t="shared" si="90"/>
        <v>96619600</v>
      </c>
    </row>
    <row r="200" spans="1:16" s="6" customFormat="1" ht="93.6">
      <c r="A200" s="13"/>
      <c r="B200" s="13"/>
      <c r="C200" s="13"/>
      <c r="D200" s="17" t="s">
        <v>384</v>
      </c>
      <c r="E200" s="14">
        <f t="shared" si="106"/>
        <v>60015918</v>
      </c>
      <c r="F200" s="14">
        <f>1690000+14000000+77500000-15874082-7500000+1500000-2000000-4300000+2000000-5500000-1500000</f>
        <v>60015918</v>
      </c>
      <c r="G200" s="14"/>
      <c r="H200" s="14"/>
      <c r="I200" s="14"/>
      <c r="J200" s="14">
        <f t="shared" ref="J200:J204" si="111">L200+O200</f>
        <v>29984082</v>
      </c>
      <c r="K200" s="14">
        <f>2310000+4500000+5874082+6000000+2000000+4300000-2000000+5500000+1500000</f>
        <v>29984082</v>
      </c>
      <c r="L200" s="14"/>
      <c r="M200" s="14"/>
      <c r="N200" s="14"/>
      <c r="O200" s="14">
        <f>2310000+4500000+5874082+6000000+2000000+4300000-2000000+5500000+1500000</f>
        <v>29984082</v>
      </c>
      <c r="P200" s="14">
        <f>E200 + J200</f>
        <v>90000000</v>
      </c>
    </row>
    <row r="201" spans="1:16" s="6" customFormat="1" ht="62.4">
      <c r="A201" s="13"/>
      <c r="B201" s="13"/>
      <c r="C201" s="13"/>
      <c r="D201" s="17" t="s">
        <v>385</v>
      </c>
      <c r="E201" s="14">
        <f t="shared" si="106"/>
        <v>1970000</v>
      </c>
      <c r="F201" s="14">
        <f>2000000-130000+100000</f>
        <v>1970000</v>
      </c>
      <c r="G201" s="14"/>
      <c r="H201" s="14"/>
      <c r="I201" s="14"/>
      <c r="J201" s="14">
        <f t="shared" si="111"/>
        <v>1030000</v>
      </c>
      <c r="K201" s="14">
        <f>1000000+130000-100000</f>
        <v>1030000</v>
      </c>
      <c r="L201" s="14"/>
      <c r="M201" s="14"/>
      <c r="N201" s="14"/>
      <c r="O201" s="14">
        <f>1000000+130000-100000</f>
        <v>1030000</v>
      </c>
      <c r="P201" s="14">
        <f t="shared" si="90"/>
        <v>3000000</v>
      </c>
    </row>
    <row r="202" spans="1:16" s="6" customFormat="1" ht="78">
      <c r="A202" s="13"/>
      <c r="B202" s="13"/>
      <c r="C202" s="13"/>
      <c r="D202" s="17" t="s">
        <v>390</v>
      </c>
      <c r="E202" s="14">
        <f t="shared" si="106"/>
        <v>2000000</v>
      </c>
      <c r="F202" s="14">
        <v>2000000</v>
      </c>
      <c r="G202" s="14"/>
      <c r="H202" s="14"/>
      <c r="I202" s="14"/>
      <c r="J202" s="14">
        <f t="shared" si="111"/>
        <v>0</v>
      </c>
      <c r="K202" s="14"/>
      <c r="L202" s="14"/>
      <c r="M202" s="14"/>
      <c r="N202" s="14"/>
      <c r="O202" s="14"/>
      <c r="P202" s="14">
        <f t="shared" si="90"/>
        <v>2000000</v>
      </c>
    </row>
    <row r="203" spans="1:16" s="6" customFormat="1" ht="46.8">
      <c r="A203" s="13"/>
      <c r="B203" s="13"/>
      <c r="C203" s="13"/>
      <c r="D203" s="17" t="s">
        <v>391</v>
      </c>
      <c r="E203" s="14">
        <f t="shared" si="106"/>
        <v>200000</v>
      </c>
      <c r="F203" s="14">
        <v>200000</v>
      </c>
      <c r="G203" s="14"/>
      <c r="H203" s="14"/>
      <c r="I203" s="14"/>
      <c r="J203" s="14">
        <f t="shared" si="111"/>
        <v>0</v>
      </c>
      <c r="K203" s="14"/>
      <c r="L203" s="14"/>
      <c r="M203" s="14"/>
      <c r="N203" s="14"/>
      <c r="O203" s="14"/>
      <c r="P203" s="14">
        <f t="shared" si="90"/>
        <v>200000</v>
      </c>
    </row>
    <row r="204" spans="1:16" s="6" customFormat="1" ht="72" customHeight="1">
      <c r="A204" s="13"/>
      <c r="B204" s="13"/>
      <c r="C204" s="13"/>
      <c r="D204" s="17" t="s">
        <v>392</v>
      </c>
      <c r="E204" s="14">
        <f t="shared" si="106"/>
        <v>124600</v>
      </c>
      <c r="F204" s="14">
        <v>124600</v>
      </c>
      <c r="G204" s="14"/>
      <c r="H204" s="14"/>
      <c r="I204" s="14"/>
      <c r="J204" s="14">
        <f t="shared" si="111"/>
        <v>1295000</v>
      </c>
      <c r="K204" s="14">
        <v>1295000</v>
      </c>
      <c r="L204" s="14"/>
      <c r="M204" s="14"/>
      <c r="N204" s="14"/>
      <c r="O204" s="14">
        <v>1295000</v>
      </c>
      <c r="P204" s="14">
        <f t="shared" si="90"/>
        <v>1419600</v>
      </c>
    </row>
    <row r="205" spans="1:16" ht="19.95" customHeight="1">
      <c r="A205" s="8" t="s">
        <v>272</v>
      </c>
      <c r="B205" s="8" t="s">
        <v>272</v>
      </c>
      <c r="C205" s="8" t="s">
        <v>272</v>
      </c>
      <c r="D205" s="16" t="s">
        <v>271</v>
      </c>
      <c r="E205" s="10">
        <f>E18+E61+E92+E116+E121+E132+E142+E164+E176+E186</f>
        <v>1200210025.8699999</v>
      </c>
      <c r="F205" s="10">
        <f>F18+F61+F92+F116+F121+F132+F142+F164+F176+F186</f>
        <v>1050951191.87</v>
      </c>
      <c r="G205" s="10">
        <f>G18+G61+G92+G116+G121+G132+G142+G164+G176+G186</f>
        <v>542730107.87</v>
      </c>
      <c r="H205" s="10">
        <f>H18+H61+H92+H116+H121+H132+H142+H164+H176+H186</f>
        <v>46485300</v>
      </c>
      <c r="I205" s="10">
        <f>I18+I61+I92+I116+I121+I132+I142+I164+I176+I186</f>
        <v>143567473</v>
      </c>
      <c r="J205" s="10">
        <f>L205+O205</f>
        <v>301959947.81</v>
      </c>
      <c r="K205" s="10">
        <f>K18+K61+K92+K116+K121+K132+K142+K164+K176+K186</f>
        <v>279706428.63</v>
      </c>
      <c r="L205" s="10">
        <f>L18+L61+L92+L116+L121+L132+L142+L164+L176+L186</f>
        <v>19216100</v>
      </c>
      <c r="M205" s="10">
        <f>M18+M61+M92+M116+M121+M132+M142+M164+M176+M186</f>
        <v>507100</v>
      </c>
      <c r="N205" s="10">
        <f>N18+N61+N92+N116+N121+N132+N142+N164+N176+N186</f>
        <v>0</v>
      </c>
      <c r="O205" s="10">
        <f>O18+O61+O92+O116+O121+O132+O142+O164+O176+O186</f>
        <v>282743847.81</v>
      </c>
      <c r="P205" s="10">
        <f t="shared" si="90"/>
        <v>1502169973.6799998</v>
      </c>
    </row>
    <row r="206" spans="1:16" ht="19.95" customHeight="1">
      <c r="A206" s="20"/>
      <c r="B206" s="20"/>
      <c r="C206" s="20"/>
      <c r="D206" s="21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s="27" customFormat="1" ht="18">
      <c r="A207" s="23"/>
      <c r="B207" s="23"/>
      <c r="C207" s="24" t="s">
        <v>313</v>
      </c>
      <c r="D207" s="25" t="s">
        <v>314</v>
      </c>
      <c r="E207" s="26">
        <f>E20+E25+E26+E63+E94+E95+E118+E123+E134+E144+E145+E166+E167+E178+E179+E188</f>
        <v>168962584</v>
      </c>
      <c r="F207" s="26">
        <f t="shared" ref="F207:O207" si="112">F20+F25+F26+F63+F94+F95+F118+F123+F134+F144+F145+F166+F167+F178+F179+F188</f>
        <v>168962584</v>
      </c>
      <c r="G207" s="26">
        <f t="shared" si="112"/>
        <v>152190900</v>
      </c>
      <c r="H207" s="26">
        <f t="shared" si="112"/>
        <v>6445600</v>
      </c>
      <c r="I207" s="26">
        <f t="shared" si="112"/>
        <v>0</v>
      </c>
      <c r="J207" s="26">
        <f t="shared" si="112"/>
        <v>789600</v>
      </c>
      <c r="K207" s="26">
        <f t="shared" si="112"/>
        <v>672000</v>
      </c>
      <c r="L207" s="26">
        <f t="shared" si="112"/>
        <v>117600</v>
      </c>
      <c r="M207" s="26">
        <f t="shared" si="112"/>
        <v>0</v>
      </c>
      <c r="N207" s="26">
        <f t="shared" si="112"/>
        <v>0</v>
      </c>
      <c r="O207" s="26">
        <f t="shared" si="112"/>
        <v>672000</v>
      </c>
      <c r="P207" s="26">
        <f>E207+J207</f>
        <v>169752184</v>
      </c>
    </row>
    <row r="208" spans="1:16" s="27" customFormat="1" ht="18">
      <c r="A208" s="23"/>
      <c r="B208" s="23"/>
      <c r="C208" s="24" t="s">
        <v>315</v>
      </c>
      <c r="D208" s="25" t="s">
        <v>316</v>
      </c>
      <c r="E208" s="26">
        <f>E64+E65+E66+E67+E71+E72+E73+E74+E75+E76+E77+E78+E79+E80+E81+E82+E83+E84+E85+E86+E124+E168</f>
        <v>402513737</v>
      </c>
      <c r="F208" s="26">
        <f t="shared" ref="F208:O208" si="113">F64+F65+F66+F67+F71+F72+F73+F74+F75+F76+F77+F78+F79+F80+F81+F82+F83+F84+F85+F86+F124+F168</f>
        <v>402513737</v>
      </c>
      <c r="G208" s="26">
        <f t="shared" si="113"/>
        <v>305591715</v>
      </c>
      <c r="H208" s="26">
        <f t="shared" si="113"/>
        <v>35467400</v>
      </c>
      <c r="I208" s="26">
        <f t="shared" si="113"/>
        <v>0</v>
      </c>
      <c r="J208" s="26">
        <f t="shared" si="113"/>
        <v>119792507</v>
      </c>
      <c r="K208" s="26">
        <f t="shared" si="113"/>
        <v>101701007</v>
      </c>
      <c r="L208" s="26">
        <f t="shared" si="113"/>
        <v>17891500</v>
      </c>
      <c r="M208" s="26">
        <f t="shared" si="113"/>
        <v>495100</v>
      </c>
      <c r="N208" s="26">
        <f t="shared" si="113"/>
        <v>0</v>
      </c>
      <c r="O208" s="26">
        <f t="shared" si="113"/>
        <v>101901007</v>
      </c>
      <c r="P208" s="26">
        <f t="shared" ref="P208:P215" si="114">E208+J208</f>
        <v>522306244</v>
      </c>
    </row>
    <row r="209" spans="1:16" s="27" customFormat="1" ht="18">
      <c r="A209" s="23"/>
      <c r="B209" s="23"/>
      <c r="C209" s="24" t="s">
        <v>317</v>
      </c>
      <c r="D209" s="25" t="s">
        <v>318</v>
      </c>
      <c r="E209" s="26">
        <f>E27+E28+E29+E30+E34+E169</f>
        <v>64521440</v>
      </c>
      <c r="F209" s="26">
        <f t="shared" ref="F209:O209" si="115">F27+F28+F29+F30+F34+F169</f>
        <v>64521440</v>
      </c>
      <c r="G209" s="26">
        <f t="shared" si="115"/>
        <v>0</v>
      </c>
      <c r="H209" s="26">
        <f t="shared" si="115"/>
        <v>0</v>
      </c>
      <c r="I209" s="26">
        <f t="shared" si="115"/>
        <v>0</v>
      </c>
      <c r="J209" s="26">
        <f t="shared" si="115"/>
        <v>20125640</v>
      </c>
      <c r="K209" s="26">
        <f t="shared" si="115"/>
        <v>20125640</v>
      </c>
      <c r="L209" s="26">
        <f t="shared" si="115"/>
        <v>0</v>
      </c>
      <c r="M209" s="26">
        <f t="shared" si="115"/>
        <v>0</v>
      </c>
      <c r="N209" s="26">
        <f t="shared" si="115"/>
        <v>0</v>
      </c>
      <c r="O209" s="26">
        <f t="shared" si="115"/>
        <v>20125640</v>
      </c>
      <c r="P209" s="26">
        <f t="shared" si="114"/>
        <v>84647080</v>
      </c>
    </row>
    <row r="210" spans="1:16" s="27" customFormat="1" ht="31.8">
      <c r="A210" s="23"/>
      <c r="B210" s="23"/>
      <c r="C210" s="24" t="s">
        <v>319</v>
      </c>
      <c r="D210" s="25" t="s">
        <v>320</v>
      </c>
      <c r="E210" s="26">
        <f>E35+E87+E88+E96+E97+E98+E99+E100+E101+E102+E103+E104+E105+E106+E107+E108+E109+E110+E111+E119+E125+E135+E146</f>
        <v>110612747.87</v>
      </c>
      <c r="F210" s="26">
        <f t="shared" ref="F210:O210" si="116">F35+F87+F88+F96+F97+F98+F99+F100+F101+F102+F103+F104+F105+F106+F107+F108+F109+F110+F111+F119+F125+F135+F146</f>
        <v>110612747.87</v>
      </c>
      <c r="G210" s="26">
        <f t="shared" si="116"/>
        <v>26513842.870000001</v>
      </c>
      <c r="H210" s="26">
        <f t="shared" si="116"/>
        <v>728000</v>
      </c>
      <c r="I210" s="26">
        <f t="shared" si="116"/>
        <v>0</v>
      </c>
      <c r="J210" s="26">
        <f t="shared" si="116"/>
        <v>7822299</v>
      </c>
      <c r="K210" s="26">
        <f t="shared" si="116"/>
        <v>7640299</v>
      </c>
      <c r="L210" s="26">
        <f t="shared" si="116"/>
        <v>57000</v>
      </c>
      <c r="M210" s="26">
        <f t="shared" si="116"/>
        <v>0</v>
      </c>
      <c r="N210" s="26">
        <f t="shared" si="116"/>
        <v>0</v>
      </c>
      <c r="O210" s="26">
        <f t="shared" si="116"/>
        <v>7765299</v>
      </c>
      <c r="P210" s="26">
        <f t="shared" si="114"/>
        <v>118435046.87</v>
      </c>
    </row>
    <row r="211" spans="1:16" s="27" customFormat="1" ht="18">
      <c r="A211" s="23"/>
      <c r="B211" s="23"/>
      <c r="C211" s="24" t="s">
        <v>321</v>
      </c>
      <c r="D211" s="25" t="s">
        <v>322</v>
      </c>
      <c r="E211" s="26">
        <f>E126+E127+E128+E129+E130</f>
        <v>30551600</v>
      </c>
      <c r="F211" s="26">
        <f t="shared" ref="F211:O211" si="117">F126+F127+F128+F129+F130</f>
        <v>30551600</v>
      </c>
      <c r="G211" s="26">
        <f t="shared" si="117"/>
        <v>23189700</v>
      </c>
      <c r="H211" s="26">
        <f t="shared" si="117"/>
        <v>2960700</v>
      </c>
      <c r="I211" s="26">
        <f t="shared" si="117"/>
        <v>0</v>
      </c>
      <c r="J211" s="26">
        <f t="shared" si="117"/>
        <v>700100</v>
      </c>
      <c r="K211" s="26">
        <f t="shared" si="117"/>
        <v>420100</v>
      </c>
      <c r="L211" s="26">
        <f t="shared" si="117"/>
        <v>250000</v>
      </c>
      <c r="M211" s="26">
        <f t="shared" si="117"/>
        <v>12000</v>
      </c>
      <c r="N211" s="26">
        <f t="shared" si="117"/>
        <v>0</v>
      </c>
      <c r="O211" s="26">
        <f t="shared" si="117"/>
        <v>450100</v>
      </c>
      <c r="P211" s="26">
        <f t="shared" si="114"/>
        <v>31251700</v>
      </c>
    </row>
    <row r="212" spans="1:16" s="27" customFormat="1" ht="18">
      <c r="A212" s="23"/>
      <c r="B212" s="23"/>
      <c r="C212" s="24" t="s">
        <v>323</v>
      </c>
      <c r="D212" s="25" t="s">
        <v>324</v>
      </c>
      <c r="E212" s="26">
        <f>E89+E136+E137+E138+E139+E140</f>
        <v>19145556</v>
      </c>
      <c r="F212" s="26">
        <f t="shared" ref="F212:O212" si="118">F89+F136+F137+F138+F139+F140</f>
        <v>19145556</v>
      </c>
      <c r="G212" s="26">
        <f t="shared" si="118"/>
        <v>10625700</v>
      </c>
      <c r="H212" s="26">
        <f t="shared" si="118"/>
        <v>821100</v>
      </c>
      <c r="I212" s="26">
        <f t="shared" si="118"/>
        <v>0</v>
      </c>
      <c r="J212" s="26">
        <f t="shared" si="118"/>
        <v>310000</v>
      </c>
      <c r="K212" s="26">
        <f t="shared" si="118"/>
        <v>310000</v>
      </c>
      <c r="L212" s="26">
        <f t="shared" si="118"/>
        <v>0</v>
      </c>
      <c r="M212" s="26">
        <f t="shared" si="118"/>
        <v>0</v>
      </c>
      <c r="N212" s="26">
        <f t="shared" si="118"/>
        <v>0</v>
      </c>
      <c r="O212" s="26">
        <f t="shared" si="118"/>
        <v>310000</v>
      </c>
      <c r="P212" s="26">
        <f t="shared" si="114"/>
        <v>19455556</v>
      </c>
    </row>
    <row r="213" spans="1:16" s="27" customFormat="1" ht="18">
      <c r="A213" s="23"/>
      <c r="B213" s="23"/>
      <c r="C213" s="24" t="s">
        <v>325</v>
      </c>
      <c r="D213" s="25" t="s">
        <v>326</v>
      </c>
      <c r="E213" s="26">
        <f>E36+E147+E148+E149+E150+E151+E152+E170+E171+E180+E181</f>
        <v>104134073</v>
      </c>
      <c r="F213" s="26">
        <f t="shared" ref="F213:O213" si="119">F36+F147+F148+F149+F150+F151+F152+F170+F171+F180+F181</f>
        <v>38333900</v>
      </c>
      <c r="G213" s="26">
        <f t="shared" si="119"/>
        <v>0</v>
      </c>
      <c r="H213" s="26">
        <f t="shared" si="119"/>
        <v>0</v>
      </c>
      <c r="I213" s="26">
        <f t="shared" si="119"/>
        <v>65800173</v>
      </c>
      <c r="J213" s="26">
        <f t="shared" si="119"/>
        <v>52662710.009999998</v>
      </c>
      <c r="K213" s="26">
        <f t="shared" si="119"/>
        <v>52662710.009999998</v>
      </c>
      <c r="L213" s="26">
        <f t="shared" si="119"/>
        <v>0</v>
      </c>
      <c r="M213" s="26">
        <f t="shared" si="119"/>
        <v>0</v>
      </c>
      <c r="N213" s="26">
        <f t="shared" si="119"/>
        <v>0</v>
      </c>
      <c r="O213" s="26">
        <f t="shared" si="119"/>
        <v>52662710.009999998</v>
      </c>
      <c r="P213" s="26">
        <f t="shared" si="114"/>
        <v>156796783.00999999</v>
      </c>
    </row>
    <row r="214" spans="1:16" s="27" customFormat="1" ht="18">
      <c r="A214" s="23"/>
      <c r="B214" s="23"/>
      <c r="C214" s="24" t="s">
        <v>327</v>
      </c>
      <c r="D214" s="25" t="s">
        <v>328</v>
      </c>
      <c r="E214" s="26">
        <f>E40+E41+E42+E43+E51+E52+E53+E54+E90+E112+E120+E131+E141+E153+E154+E155+E156+E157+E158+E159+E172+E173+E174+E182+E183+E184+E189</f>
        <v>112818528</v>
      </c>
      <c r="F214" s="26">
        <f t="shared" ref="F214:O214" si="120">F40+F41+F42+F43+F51+F52+F53+F54+F90+F112+F120+F131+F141+F153+F154+F155+F156+F157+F158+F159+F172+F173+F174+F182+F183+F184+F189</f>
        <v>35451228</v>
      </c>
      <c r="G214" s="26">
        <f t="shared" si="120"/>
        <v>0</v>
      </c>
      <c r="H214" s="26">
        <f t="shared" si="120"/>
        <v>0</v>
      </c>
      <c r="I214" s="26">
        <f t="shared" si="120"/>
        <v>77367300</v>
      </c>
      <c r="J214" s="26">
        <f t="shared" si="120"/>
        <v>51373244.799999997</v>
      </c>
      <c r="K214" s="26">
        <f t="shared" si="120"/>
        <v>48690825.619999997</v>
      </c>
      <c r="L214" s="26">
        <f t="shared" si="120"/>
        <v>0</v>
      </c>
      <c r="M214" s="26">
        <f t="shared" si="120"/>
        <v>0</v>
      </c>
      <c r="N214" s="26">
        <f t="shared" si="120"/>
        <v>0</v>
      </c>
      <c r="O214" s="26">
        <f t="shared" si="120"/>
        <v>51373244.799999997</v>
      </c>
      <c r="P214" s="26">
        <f>E214+J214</f>
        <v>164191772.80000001</v>
      </c>
    </row>
    <row r="215" spans="1:16" s="28" customFormat="1" ht="18">
      <c r="A215" s="23"/>
      <c r="B215" s="23"/>
      <c r="C215" s="24" t="s">
        <v>329</v>
      </c>
      <c r="D215" s="25" t="s">
        <v>330</v>
      </c>
      <c r="E215" s="26">
        <f>E55+E56+E57+E58+E59+E60+E91+E160+E161+E162+E163+E175+E185+E190</f>
        <v>43832830</v>
      </c>
      <c r="F215" s="26">
        <f t="shared" ref="F215:O215" si="121">F55+F56+F57+F58+F59+F60+F91+F160+F161+F162+F163+F175+F185+F190</f>
        <v>37741469</v>
      </c>
      <c r="G215" s="26">
        <f t="shared" si="121"/>
        <v>24618250</v>
      </c>
      <c r="H215" s="26">
        <f t="shared" si="121"/>
        <v>62500</v>
      </c>
      <c r="I215" s="26">
        <f t="shared" si="121"/>
        <v>400000</v>
      </c>
      <c r="J215" s="26">
        <f t="shared" si="121"/>
        <v>15033465</v>
      </c>
      <c r="K215" s="26">
        <f t="shared" si="121"/>
        <v>14133465</v>
      </c>
      <c r="L215" s="26">
        <f t="shared" si="121"/>
        <v>900000</v>
      </c>
      <c r="M215" s="26">
        <f t="shared" si="121"/>
        <v>0</v>
      </c>
      <c r="N215" s="26">
        <f t="shared" si="121"/>
        <v>0</v>
      </c>
      <c r="O215" s="26">
        <f t="shared" si="121"/>
        <v>14133465</v>
      </c>
      <c r="P215" s="26">
        <f t="shared" si="114"/>
        <v>58866295</v>
      </c>
    </row>
    <row r="216" spans="1:16" s="19" customFormat="1" ht="18">
      <c r="A216" s="23"/>
      <c r="B216" s="23"/>
      <c r="C216" s="24" t="s">
        <v>331</v>
      </c>
      <c r="D216" s="25" t="s">
        <v>332</v>
      </c>
      <c r="E216" s="26">
        <f>E191+E192+E199</f>
        <v>143116930</v>
      </c>
      <c r="F216" s="26">
        <f t="shared" ref="F216:O216" si="122">F191+F192+F199</f>
        <v>143116930</v>
      </c>
      <c r="G216" s="26">
        <f t="shared" si="122"/>
        <v>0</v>
      </c>
      <c r="H216" s="26">
        <f t="shared" si="122"/>
        <v>0</v>
      </c>
      <c r="I216" s="26">
        <f t="shared" si="122"/>
        <v>0</v>
      </c>
      <c r="J216" s="26">
        <f t="shared" si="122"/>
        <v>33350382</v>
      </c>
      <c r="K216" s="26">
        <f t="shared" si="122"/>
        <v>33350382</v>
      </c>
      <c r="L216" s="26">
        <f t="shared" si="122"/>
        <v>0</v>
      </c>
      <c r="M216" s="26">
        <f t="shared" si="122"/>
        <v>0</v>
      </c>
      <c r="N216" s="26">
        <f t="shared" si="122"/>
        <v>0</v>
      </c>
      <c r="O216" s="26">
        <f t="shared" si="122"/>
        <v>33350382</v>
      </c>
      <c r="P216" s="26">
        <f>E216+J216</f>
        <v>176467312</v>
      </c>
    </row>
    <row r="217" spans="1:16" s="19" customFormat="1">
      <c r="A217" s="29"/>
      <c r="B217" s="29"/>
      <c r="C217" s="29"/>
      <c r="D217" s="29" t="s">
        <v>17</v>
      </c>
      <c r="E217" s="30">
        <f>SUM(E207:E216)</f>
        <v>1200210025.8699999</v>
      </c>
      <c r="F217" s="30">
        <f>SUM(F207:F216)</f>
        <v>1050951191.87</v>
      </c>
      <c r="G217" s="30">
        <f>SUM(G207:G216)</f>
        <v>542730107.87</v>
      </c>
      <c r="H217" s="30">
        <f t="shared" ref="H217:O217" si="123">SUM(H207:H216)</f>
        <v>46485300</v>
      </c>
      <c r="I217" s="30">
        <f t="shared" si="123"/>
        <v>143567473</v>
      </c>
      <c r="J217" s="30">
        <f t="shared" si="123"/>
        <v>301959947.81</v>
      </c>
      <c r="K217" s="30">
        <f>SUM(K207:K216)</f>
        <v>279706428.63</v>
      </c>
      <c r="L217" s="30">
        <f t="shared" si="123"/>
        <v>19216100</v>
      </c>
      <c r="M217" s="30">
        <f t="shared" si="123"/>
        <v>507100</v>
      </c>
      <c r="N217" s="30">
        <f t="shared" si="123"/>
        <v>0</v>
      </c>
      <c r="O217" s="30">
        <f t="shared" si="123"/>
        <v>282743847.81</v>
      </c>
      <c r="P217" s="30">
        <f>E217+J217</f>
        <v>1502169973.6799998</v>
      </c>
    </row>
    <row r="218" spans="1:16" s="34" customFormat="1" ht="15.6" customHeight="1">
      <c r="E218" s="35">
        <f>E205-E217</f>
        <v>0</v>
      </c>
      <c r="F218" s="35">
        <f t="shared" ref="F218:P218" si="124">F205-F217</f>
        <v>0</v>
      </c>
      <c r="G218" s="35">
        <f t="shared" si="124"/>
        <v>0</v>
      </c>
      <c r="H218" s="35">
        <f t="shared" si="124"/>
        <v>0</v>
      </c>
      <c r="I218" s="35">
        <f t="shared" si="124"/>
        <v>0</v>
      </c>
      <c r="J218" s="35">
        <f t="shared" si="124"/>
        <v>0</v>
      </c>
      <c r="K218" s="35">
        <f t="shared" si="124"/>
        <v>0</v>
      </c>
      <c r="L218" s="35">
        <f t="shared" si="124"/>
        <v>0</v>
      </c>
      <c r="M218" s="35">
        <f t="shared" si="124"/>
        <v>0</v>
      </c>
      <c r="N218" s="35">
        <f t="shared" si="124"/>
        <v>0</v>
      </c>
      <c r="O218" s="35">
        <f t="shared" si="124"/>
        <v>0</v>
      </c>
      <c r="P218" s="35">
        <f t="shared" si="124"/>
        <v>0</v>
      </c>
    </row>
    <row r="219" spans="1:16">
      <c r="D219" s="2" t="s">
        <v>279</v>
      </c>
      <c r="J219" s="2" t="s">
        <v>280</v>
      </c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2025-06-30T14:49:33Z</cp:lastPrinted>
  <dcterms:created xsi:type="dcterms:W3CDTF">2023-12-16T13:37:11Z</dcterms:created>
  <dcterms:modified xsi:type="dcterms:W3CDTF">2025-07-01T12:31:50Z</dcterms:modified>
</cp:coreProperties>
</file>