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2025" sheetId="11" r:id="rId1"/>
  </sheets>
  <definedNames>
    <definedName name="_xlnm._FilterDatabase" localSheetId="0" hidden="1">'2025'!$A$6:$K$183</definedName>
    <definedName name="_xlnm.Print_Titles" localSheetId="0">'2025'!$12:$14</definedName>
    <definedName name="_xlnm.Print_Area" localSheetId="0">'2025'!$A$1:$Q$185</definedName>
  </definedNames>
  <calcPr calcId="152511"/>
</workbook>
</file>

<file path=xl/calcChain.xml><?xml version="1.0" encoding="utf-8"?>
<calcChain xmlns="http://schemas.openxmlformats.org/spreadsheetml/2006/main">
  <c r="M41" i="11" l="1"/>
  <c r="M154" i="11" l="1"/>
  <c r="N154" i="11"/>
  <c r="O154" i="11"/>
  <c r="O182" i="11" l="1"/>
  <c r="N182" i="11"/>
  <c r="M182" i="11"/>
  <c r="O181" i="11"/>
  <c r="N181" i="11"/>
  <c r="M181" i="11"/>
  <c r="O180" i="11"/>
  <c r="N180" i="11"/>
  <c r="M180" i="11"/>
  <c r="O179" i="11"/>
  <c r="N179" i="11"/>
  <c r="M179" i="11"/>
  <c r="O178" i="11"/>
  <c r="N178" i="11"/>
  <c r="M178" i="11"/>
  <c r="O177" i="11"/>
  <c r="N177" i="11"/>
  <c r="M177" i="11"/>
  <c r="O176" i="11"/>
  <c r="N176" i="11"/>
  <c r="M176" i="11"/>
  <c r="O175" i="11"/>
  <c r="N175" i="11"/>
  <c r="M175" i="11"/>
  <c r="O174" i="11"/>
  <c r="N174" i="11"/>
  <c r="O173" i="11"/>
  <c r="O172" i="11"/>
  <c r="N172" i="11"/>
  <c r="M172" i="11"/>
  <c r="M171" i="11"/>
  <c r="O170" i="11"/>
  <c r="N170" i="11"/>
  <c r="O169" i="11"/>
  <c r="N169" i="11"/>
  <c r="M169" i="11"/>
  <c r="O168" i="11"/>
  <c r="N168" i="11"/>
  <c r="L168" i="11" s="1"/>
  <c r="M167" i="11"/>
  <c r="N166" i="11"/>
  <c r="M166" i="11"/>
  <c r="O165" i="11"/>
  <c r="N165" i="11"/>
  <c r="M165" i="11"/>
  <c r="O164" i="11"/>
  <c r="N164" i="11"/>
  <c r="M164" i="11"/>
  <c r="O163" i="11"/>
  <c r="N163" i="11"/>
  <c r="M163" i="11"/>
  <c r="O162" i="11"/>
  <c r="N162" i="11"/>
  <c r="M162" i="11"/>
  <c r="O161" i="11"/>
  <c r="N161" i="11"/>
  <c r="M161" i="11"/>
  <c r="O160" i="11"/>
  <c r="N160" i="11"/>
  <c r="M160" i="11"/>
  <c r="O159" i="11"/>
  <c r="N159" i="11"/>
  <c r="M159" i="11"/>
  <c r="M158" i="11"/>
  <c r="O157" i="11"/>
  <c r="N157" i="11"/>
  <c r="M157" i="11"/>
  <c r="O156" i="11"/>
  <c r="N156" i="11"/>
  <c r="M156" i="11"/>
  <c r="O155" i="11"/>
  <c r="N155" i="11"/>
  <c r="O153" i="11"/>
  <c r="N153" i="11"/>
  <c r="M153" i="11"/>
  <c r="O152" i="11"/>
  <c r="N152" i="11"/>
  <c r="M152" i="11"/>
  <c r="O151" i="11"/>
  <c r="N151" i="11"/>
  <c r="M151" i="11"/>
  <c r="O150" i="11"/>
  <c r="N150" i="11"/>
  <c r="M150" i="11"/>
  <c r="M149" i="11"/>
  <c r="O130" i="11"/>
  <c r="O129" i="11" s="1"/>
  <c r="N130" i="11"/>
  <c r="N129" i="11" s="1"/>
  <c r="M130" i="11"/>
  <c r="M129" i="11" s="1"/>
  <c r="O120" i="11"/>
  <c r="O119" i="11" s="1"/>
  <c r="N120" i="11"/>
  <c r="N119" i="11" s="1"/>
  <c r="M120" i="11"/>
  <c r="M119" i="11" s="1"/>
  <c r="O38" i="11"/>
  <c r="O37" i="11" s="1"/>
  <c r="N38" i="11"/>
  <c r="N37" i="11" s="1"/>
  <c r="M38" i="11"/>
  <c r="M37" i="11" s="1"/>
  <c r="O183" i="11" l="1"/>
  <c r="O137" i="11"/>
  <c r="N137" i="11"/>
  <c r="M137" i="11"/>
  <c r="O136" i="11"/>
  <c r="N136" i="11"/>
  <c r="M136" i="11"/>
  <c r="O98" i="11" l="1"/>
  <c r="O97" i="11" s="1"/>
  <c r="M117" i="11"/>
  <c r="M116" i="11"/>
  <c r="M173" i="11" s="1"/>
  <c r="N114" i="11"/>
  <c r="N173" i="11" s="1"/>
  <c r="N183" i="11" s="1"/>
  <c r="M106" i="11"/>
  <c r="M98" i="11" s="1"/>
  <c r="M97" i="11" s="1"/>
  <c r="N98" i="11" l="1"/>
  <c r="N97" i="11" s="1"/>
  <c r="M96" i="11"/>
  <c r="M90" i="11" l="1"/>
  <c r="M89" i="11" s="1"/>
  <c r="O81" i="11"/>
  <c r="N81" i="11"/>
  <c r="M81" i="11"/>
  <c r="O80" i="11"/>
  <c r="N80" i="11"/>
  <c r="M80" i="11"/>
  <c r="O76" i="11"/>
  <c r="O75" i="11" s="1"/>
  <c r="N76" i="11"/>
  <c r="N75" i="11" s="1"/>
  <c r="M76" i="11"/>
  <c r="M75" i="11" s="1"/>
  <c r="M74" i="11" l="1"/>
  <c r="O59" i="11"/>
  <c r="O58" i="11" s="1"/>
  <c r="N59" i="11"/>
  <c r="N58" i="11" s="1"/>
  <c r="M31" i="11"/>
  <c r="M25" i="11"/>
  <c r="M174" i="11" s="1"/>
  <c r="I20" i="11"/>
  <c r="O16" i="11"/>
  <c r="O15" i="11" s="1"/>
  <c r="O148" i="11" s="1"/>
  <c r="N16" i="11"/>
  <c r="N15" i="11" s="1"/>
  <c r="N148" i="11" l="1"/>
  <c r="M16" i="11"/>
  <c r="M15" i="11" s="1"/>
  <c r="M155" i="11"/>
  <c r="M59" i="11"/>
  <c r="M58" i="11" s="1"/>
  <c r="M170" i="11"/>
  <c r="L170" i="11" s="1"/>
  <c r="K81" i="11"/>
  <c r="J81" i="11"/>
  <c r="H50" i="11"/>
  <c r="Q50" i="11" s="1"/>
  <c r="L50" i="11"/>
  <c r="H26" i="11"/>
  <c r="L26" i="11"/>
  <c r="P26" i="11" s="1"/>
  <c r="H22" i="11"/>
  <c r="L22" i="11"/>
  <c r="P22" i="11" l="1"/>
  <c r="M183" i="11"/>
  <c r="L183" i="11" s="1"/>
  <c r="M148" i="11"/>
  <c r="P50" i="11"/>
  <c r="Q26" i="11"/>
  <c r="Q22" i="11"/>
  <c r="L32" i="11" l="1"/>
  <c r="L33" i="11"/>
  <c r="L34" i="11"/>
  <c r="L35" i="11"/>
  <c r="L36" i="11"/>
  <c r="L39" i="11"/>
  <c r="L40" i="11"/>
  <c r="L41" i="11"/>
  <c r="L42" i="11"/>
  <c r="L43" i="11"/>
  <c r="L44" i="11"/>
  <c r="L45" i="11"/>
  <c r="L46" i="11"/>
  <c r="L47" i="11"/>
  <c r="L48" i="11"/>
  <c r="L49" i="11"/>
  <c r="L51" i="11"/>
  <c r="L52" i="11"/>
  <c r="L53" i="11"/>
  <c r="L54" i="11"/>
  <c r="L55" i="11"/>
  <c r="L56" i="11"/>
  <c r="L57" i="11"/>
  <c r="L60" i="11"/>
  <c r="L61" i="11"/>
  <c r="L62" i="11"/>
  <c r="L63" i="11"/>
  <c r="L64" i="11"/>
  <c r="L65" i="11"/>
  <c r="L66" i="11"/>
  <c r="L67" i="11"/>
  <c r="L68" i="11"/>
  <c r="L69" i="11"/>
  <c r="L70" i="11"/>
  <c r="L71" i="11"/>
  <c r="L72" i="11"/>
  <c r="L73" i="11"/>
  <c r="L74" i="11"/>
  <c r="L77" i="11"/>
  <c r="L78" i="11"/>
  <c r="L79" i="11"/>
  <c r="L82" i="11"/>
  <c r="L83" i="11"/>
  <c r="L84" i="11"/>
  <c r="L85" i="11"/>
  <c r="L86" i="11"/>
  <c r="L87" i="11"/>
  <c r="L88" i="11"/>
  <c r="L91" i="11"/>
  <c r="L92" i="11"/>
  <c r="L93" i="11"/>
  <c r="L94" i="11"/>
  <c r="L95" i="11"/>
  <c r="L96" i="11"/>
  <c r="L99" i="11"/>
  <c r="L100" i="11"/>
  <c r="L101" i="11"/>
  <c r="L102" i="11"/>
  <c r="L103" i="11"/>
  <c r="L104" i="11"/>
  <c r="L105" i="11"/>
  <c r="L106" i="11"/>
  <c r="L107" i="11"/>
  <c r="L108" i="11"/>
  <c r="L109" i="11"/>
  <c r="L110" i="11"/>
  <c r="L111" i="11"/>
  <c r="L112" i="11"/>
  <c r="L113" i="11"/>
  <c r="L114" i="11"/>
  <c r="L115" i="11"/>
  <c r="L116" i="11"/>
  <c r="L117" i="11"/>
  <c r="L118" i="11"/>
  <c r="L121" i="11"/>
  <c r="L122" i="11"/>
  <c r="L123" i="11"/>
  <c r="L124" i="11"/>
  <c r="L125" i="11"/>
  <c r="L126" i="11"/>
  <c r="L127" i="11"/>
  <c r="L128" i="11"/>
  <c r="L131" i="11"/>
  <c r="L132" i="11"/>
  <c r="L133" i="11"/>
  <c r="L134" i="11"/>
  <c r="L135" i="11"/>
  <c r="L138" i="11"/>
  <c r="L139" i="11"/>
  <c r="L140" i="11"/>
  <c r="L141" i="11"/>
  <c r="L142" i="11"/>
  <c r="L143" i="11"/>
  <c r="L144" i="11"/>
  <c r="L145" i="11"/>
  <c r="L146" i="11"/>
  <c r="L147" i="11"/>
  <c r="L17" i="11"/>
  <c r="L153" i="11" s="1"/>
  <c r="L18" i="11"/>
  <c r="L19" i="11"/>
  <c r="L20" i="11"/>
  <c r="L21" i="11"/>
  <c r="L23" i="11"/>
  <c r="L24" i="11"/>
  <c r="L25" i="11"/>
  <c r="L27" i="11"/>
  <c r="L28" i="11"/>
  <c r="L29" i="11"/>
  <c r="L30" i="11"/>
  <c r="L31" i="11"/>
  <c r="L169" i="11" l="1"/>
  <c r="L178" i="11"/>
  <c r="L150" i="11"/>
  <c r="L163" i="11"/>
  <c r="L174" i="11"/>
  <c r="L158" i="11"/>
  <c r="L173" i="11"/>
  <c r="L165" i="11"/>
  <c r="L177" i="11"/>
  <c r="L167" i="11"/>
  <c r="L149" i="11"/>
  <c r="L154" i="11"/>
  <c r="L151" i="11"/>
  <c r="L152" i="11"/>
  <c r="L182" i="11"/>
  <c r="L160" i="11"/>
  <c r="L159" i="11"/>
  <c r="L180" i="11"/>
  <c r="L130" i="11"/>
  <c r="L166" i="11"/>
  <c r="L157" i="11"/>
  <c r="L161" i="11"/>
  <c r="L155" i="11"/>
  <c r="L179" i="11"/>
  <c r="L175" i="11"/>
  <c r="L171" i="11"/>
  <c r="L176" i="11"/>
  <c r="L120" i="11"/>
  <c r="L172" i="11"/>
  <c r="L164" i="11"/>
  <c r="L162" i="11"/>
  <c r="L181" i="11"/>
  <c r="L156" i="11"/>
  <c r="L137" i="11"/>
  <c r="L38" i="11"/>
  <c r="L81" i="11"/>
  <c r="L98" i="11"/>
  <c r="L76" i="11"/>
  <c r="L90" i="11"/>
  <c r="L59" i="11"/>
  <c r="L16" i="11"/>
  <c r="L15" i="11" s="1"/>
  <c r="L136" i="11" l="1"/>
  <c r="L129" i="11"/>
  <c r="L75" i="11"/>
  <c r="L97" i="11"/>
  <c r="L119" i="11"/>
  <c r="L80" i="11"/>
  <c r="L58" i="11"/>
  <c r="L37" i="11"/>
  <c r="L89" i="11"/>
  <c r="I99" i="11"/>
  <c r="L148" i="11" l="1"/>
  <c r="K100" i="11"/>
  <c r="J100" i="11"/>
  <c r="I87" i="11" l="1"/>
  <c r="J151" i="11" l="1"/>
  <c r="K151" i="11"/>
  <c r="I23" i="11"/>
  <c r="H24" i="11"/>
  <c r="Q24" i="11" l="1"/>
  <c r="P24" i="11"/>
  <c r="K128" i="11"/>
  <c r="J128" i="11"/>
  <c r="K122" i="11"/>
  <c r="J122" i="11"/>
  <c r="I86" i="11" l="1"/>
  <c r="I41" i="11" l="1"/>
  <c r="K41" i="11"/>
  <c r="J41" i="11"/>
  <c r="K40" i="11" l="1"/>
  <c r="K154" i="11" s="1"/>
  <c r="J40" i="11"/>
  <c r="J154" i="11" s="1"/>
  <c r="K145" i="11" l="1"/>
  <c r="J145" i="11"/>
  <c r="I145" i="11"/>
  <c r="I134" i="11"/>
  <c r="K114" i="11"/>
  <c r="J114" i="11"/>
  <c r="I116" i="11"/>
  <c r="J115" i="11"/>
  <c r="I165" i="11"/>
  <c r="J165" i="11"/>
  <c r="K165" i="11"/>
  <c r="H113" i="11"/>
  <c r="P113" i="11" s="1"/>
  <c r="H108" i="11"/>
  <c r="P108" i="11" s="1"/>
  <c r="I94" i="11"/>
  <c r="I88" i="11"/>
  <c r="I74" i="11"/>
  <c r="I66" i="11"/>
  <c r="K57" i="11"/>
  <c r="J57" i="11"/>
  <c r="I52" i="11"/>
  <c r="H51" i="11"/>
  <c r="I31" i="11"/>
  <c r="I29" i="11"/>
  <c r="K27" i="11"/>
  <c r="J27" i="11"/>
  <c r="K19" i="11"/>
  <c r="J19" i="11"/>
  <c r="I19" i="11"/>
  <c r="I17" i="11"/>
  <c r="I153" i="11" s="1"/>
  <c r="I73" i="11"/>
  <c r="I72" i="11"/>
  <c r="I151" i="11" s="1"/>
  <c r="P51" i="11" l="1"/>
  <c r="Q51" i="11"/>
  <c r="Q113" i="11"/>
  <c r="Q108" i="11"/>
  <c r="I64" i="11"/>
  <c r="I65" i="11"/>
  <c r="J155" i="11" l="1"/>
  <c r="H142" i="11" l="1"/>
  <c r="P142" i="11" s="1"/>
  <c r="I127" i="11"/>
  <c r="K155" i="11"/>
  <c r="I117" i="11"/>
  <c r="I155" i="11" s="1"/>
  <c r="I95" i="11"/>
  <c r="J162" i="11"/>
  <c r="K162" i="11"/>
  <c r="H94" i="11"/>
  <c r="P94" i="11" s="1"/>
  <c r="Q94" i="11" l="1"/>
  <c r="Q142" i="11"/>
  <c r="H49" i="11"/>
  <c r="H25" i="11"/>
  <c r="P25" i="11" s="1"/>
  <c r="I182" i="11"/>
  <c r="J182" i="11"/>
  <c r="K182" i="11"/>
  <c r="H110" i="11"/>
  <c r="P110" i="11" s="1"/>
  <c r="H132" i="11"/>
  <c r="P132" i="11" s="1"/>
  <c r="I179" i="11"/>
  <c r="J179" i="11"/>
  <c r="K179" i="11"/>
  <c r="H27" i="11"/>
  <c r="P27" i="11" s="1"/>
  <c r="H28" i="11"/>
  <c r="P28" i="11" s="1"/>
  <c r="Q49" i="11" l="1"/>
  <c r="P49" i="11"/>
  <c r="Q132" i="11"/>
  <c r="Q110" i="11"/>
  <c r="Q27" i="11"/>
  <c r="Q28" i="11"/>
  <c r="Q25" i="11"/>
  <c r="H182" i="11"/>
  <c r="P182" i="11" s="1"/>
  <c r="H179" i="11"/>
  <c r="P179" i="11" s="1"/>
  <c r="Q182" i="11" l="1"/>
  <c r="Q179" i="11"/>
  <c r="H63" i="11"/>
  <c r="Q63" i="11" l="1"/>
  <c r="P63" i="11"/>
  <c r="I93" i="11"/>
  <c r="I92" i="11"/>
  <c r="I162" i="11" l="1"/>
  <c r="J59" i="11"/>
  <c r="K59" i="11"/>
  <c r="I181" i="11"/>
  <c r="J181" i="11"/>
  <c r="K181" i="11"/>
  <c r="I180" i="11"/>
  <c r="J180" i="11"/>
  <c r="K180" i="11"/>
  <c r="J137" i="11"/>
  <c r="K137" i="11"/>
  <c r="H146" i="11"/>
  <c r="P146" i="11" s="1"/>
  <c r="H147" i="11"/>
  <c r="P147" i="11" s="1"/>
  <c r="H143" i="11"/>
  <c r="P143" i="11" s="1"/>
  <c r="I140" i="11"/>
  <c r="I133" i="11"/>
  <c r="I157" i="11"/>
  <c r="J157" i="11"/>
  <c r="K157" i="11"/>
  <c r="H123" i="11"/>
  <c r="P123" i="11" s="1"/>
  <c r="K118" i="11"/>
  <c r="J118" i="11"/>
  <c r="H107" i="11"/>
  <c r="P107" i="11" s="1"/>
  <c r="I91" i="11"/>
  <c r="I85" i="11"/>
  <c r="I84" i="11"/>
  <c r="H55" i="11"/>
  <c r="P55" i="11" s="1"/>
  <c r="H46" i="11"/>
  <c r="P46" i="11" s="1"/>
  <c r="H47" i="11"/>
  <c r="P47" i="11" s="1"/>
  <c r="H45" i="11"/>
  <c r="I44" i="11"/>
  <c r="I40" i="11"/>
  <c r="I154" i="11" s="1"/>
  <c r="K35" i="11"/>
  <c r="J35" i="11"/>
  <c r="I172" i="11"/>
  <c r="Q45" i="11" l="1"/>
  <c r="P45" i="11"/>
  <c r="H180" i="11"/>
  <c r="P180" i="11" s="1"/>
  <c r="Q146" i="11"/>
  <c r="H181" i="11"/>
  <c r="P181" i="11" s="1"/>
  <c r="Q147" i="11"/>
  <c r="Q123" i="11"/>
  <c r="Q107" i="11"/>
  <c r="Q55" i="11"/>
  <c r="Q143" i="11"/>
  <c r="Q47" i="11"/>
  <c r="Q46" i="11"/>
  <c r="K172" i="11"/>
  <c r="K98" i="11"/>
  <c r="J172" i="11"/>
  <c r="I98" i="11"/>
  <c r="I38" i="11"/>
  <c r="I174" i="11"/>
  <c r="Q181" i="11" l="1"/>
  <c r="Q180" i="11"/>
  <c r="I59" i="11"/>
  <c r="J98" i="11"/>
  <c r="H103" i="11"/>
  <c r="P103" i="11" s="1"/>
  <c r="Q103" i="11" l="1"/>
  <c r="H118" i="11"/>
  <c r="Q118" i="11" l="1"/>
  <c r="P118" i="11"/>
  <c r="J170" i="11"/>
  <c r="K170" i="11"/>
  <c r="I139" i="11"/>
  <c r="I137" i="11" s="1"/>
  <c r="I120" i="11"/>
  <c r="I119" i="11" s="1"/>
  <c r="H128" i="11"/>
  <c r="P128" i="11" s="1"/>
  <c r="H126" i="11"/>
  <c r="P126" i="11" s="1"/>
  <c r="H125" i="11"/>
  <c r="P125" i="11" s="1"/>
  <c r="K124" i="11"/>
  <c r="K174" i="11" s="1"/>
  <c r="J124" i="11"/>
  <c r="H122" i="11"/>
  <c r="P122" i="11" s="1"/>
  <c r="Q125" i="11" l="1"/>
  <c r="Q122" i="11"/>
  <c r="H157" i="11"/>
  <c r="P157" i="11" s="1"/>
  <c r="Q126" i="11"/>
  <c r="Q128" i="11"/>
  <c r="K120" i="11"/>
  <c r="K119" i="11" s="1"/>
  <c r="H124" i="11"/>
  <c r="P124" i="11" s="1"/>
  <c r="J174" i="11"/>
  <c r="J120" i="11"/>
  <c r="J119" i="11" s="1"/>
  <c r="H121" i="11"/>
  <c r="P121" i="11" s="1"/>
  <c r="I169" i="11"/>
  <c r="J169" i="11"/>
  <c r="K169" i="11"/>
  <c r="I173" i="11"/>
  <c r="J173" i="11"/>
  <c r="K173" i="11"/>
  <c r="H115" i="11"/>
  <c r="P115" i="11" s="1"/>
  <c r="H114" i="11"/>
  <c r="P114" i="11" s="1"/>
  <c r="H109" i="11"/>
  <c r="P109" i="11" s="1"/>
  <c r="H104" i="11"/>
  <c r="H100" i="11"/>
  <c r="H101" i="11"/>
  <c r="P101" i="11" s="1"/>
  <c r="H48" i="11"/>
  <c r="H40" i="11"/>
  <c r="H35" i="11"/>
  <c r="P35" i="11" s="1"/>
  <c r="K30" i="11"/>
  <c r="K153" i="11" s="1"/>
  <c r="J30" i="11"/>
  <c r="J153" i="11" s="1"/>
  <c r="I178" i="11"/>
  <c r="J178" i="11"/>
  <c r="K178" i="11"/>
  <c r="H144" i="11"/>
  <c r="P144" i="11" s="1"/>
  <c r="H145" i="11"/>
  <c r="P145" i="11" s="1"/>
  <c r="P40" i="11" l="1"/>
  <c r="H169" i="11"/>
  <c r="P104" i="11"/>
  <c r="Q104" i="11"/>
  <c r="Q48" i="11"/>
  <c r="P48" i="11"/>
  <c r="Q100" i="11"/>
  <c r="P100" i="11"/>
  <c r="H178" i="11"/>
  <c r="P178" i="11" s="1"/>
  <c r="Q145" i="11"/>
  <c r="Q114" i="11"/>
  <c r="Q157" i="11"/>
  <c r="Q109" i="11"/>
  <c r="Q124" i="11"/>
  <c r="Q115" i="11"/>
  <c r="Q144" i="11"/>
  <c r="Q121" i="11"/>
  <c r="Q101" i="11"/>
  <c r="Q40" i="11"/>
  <c r="Q35" i="11"/>
  <c r="H165" i="11"/>
  <c r="P165" i="11" s="1"/>
  <c r="K16" i="11"/>
  <c r="J16" i="11"/>
  <c r="Q169" i="11" l="1"/>
  <c r="P169" i="11"/>
  <c r="Q178" i="11"/>
  <c r="Q165" i="11"/>
  <c r="H30" i="11"/>
  <c r="P30" i="11" s="1"/>
  <c r="Q30" i="11" l="1"/>
  <c r="I167" i="11"/>
  <c r="I149" i="11"/>
  <c r="I159" i="11"/>
  <c r="H67" i="11"/>
  <c r="P67" i="11" s="1"/>
  <c r="J160" i="11"/>
  <c r="I166" i="11"/>
  <c r="I177" i="11"/>
  <c r="I171" i="11"/>
  <c r="I170" i="11"/>
  <c r="H170" i="11" s="1"/>
  <c r="P170" i="11" s="1"/>
  <c r="Q67" i="11" l="1"/>
  <c r="Q170" i="11"/>
  <c r="H34" i="11"/>
  <c r="P34" i="11" s="1"/>
  <c r="Q34" i="11" l="1"/>
  <c r="H57" i="11"/>
  <c r="P57" i="11" s="1"/>
  <c r="K160" i="11"/>
  <c r="Q57" i="11" l="1"/>
  <c r="J175" i="11"/>
  <c r="K175" i="11"/>
  <c r="I21" i="11"/>
  <c r="I175" i="11" l="1"/>
  <c r="I16" i="11"/>
  <c r="H21" i="11"/>
  <c r="P21" i="11" s="1"/>
  <c r="H31" i="11"/>
  <c r="P31" i="11" s="1"/>
  <c r="Q31" i="11" l="1"/>
  <c r="H175" i="11"/>
  <c r="P175" i="11" s="1"/>
  <c r="Q21" i="11"/>
  <c r="I160" i="11"/>
  <c r="H74" i="11"/>
  <c r="P74" i="11" s="1"/>
  <c r="H56" i="11"/>
  <c r="P56" i="11" s="1"/>
  <c r="H29" i="11"/>
  <c r="P29" i="11" s="1"/>
  <c r="J168" i="11"/>
  <c r="H168" i="11" s="1"/>
  <c r="K161" i="11"/>
  <c r="J161" i="11"/>
  <c r="I161" i="11"/>
  <c r="I77" i="11"/>
  <c r="I76" i="11" s="1"/>
  <c r="H79" i="11"/>
  <c r="P79" i="11" s="1"/>
  <c r="H78" i="11"/>
  <c r="P78" i="11" s="1"/>
  <c r="I81" i="11"/>
  <c r="H88" i="11"/>
  <c r="P88" i="11" s="1"/>
  <c r="H87" i="11"/>
  <c r="P87" i="11" s="1"/>
  <c r="P168" i="11" l="1"/>
  <c r="Q168" i="11"/>
  <c r="Q87" i="11"/>
  <c r="Q74" i="11"/>
  <c r="H171" i="11"/>
  <c r="P171" i="11" s="1"/>
  <c r="Q78" i="11"/>
  <c r="Q79" i="11"/>
  <c r="Q88" i="11"/>
  <c r="Q56" i="11"/>
  <c r="Q29" i="11"/>
  <c r="Q175" i="11"/>
  <c r="I90" i="11"/>
  <c r="H96" i="11"/>
  <c r="P96" i="11" s="1"/>
  <c r="K168" i="11"/>
  <c r="H138" i="11"/>
  <c r="P138" i="11" s="1"/>
  <c r="H127" i="11"/>
  <c r="P127" i="11" s="1"/>
  <c r="I130" i="11"/>
  <c r="H133" i="11"/>
  <c r="P133" i="11" s="1"/>
  <c r="H131" i="11"/>
  <c r="P131" i="11" s="1"/>
  <c r="Q133" i="11" l="1"/>
  <c r="H120" i="11"/>
  <c r="P120" i="11" s="1"/>
  <c r="Q127" i="11"/>
  <c r="Q96" i="11"/>
  <c r="Q138" i="11"/>
  <c r="Q171" i="11"/>
  <c r="Q131" i="11"/>
  <c r="H166" i="11"/>
  <c r="P166" i="11" s="1"/>
  <c r="H119" i="11"/>
  <c r="P119" i="11" s="1"/>
  <c r="Q120" i="11" l="1"/>
  <c r="Q166" i="11"/>
  <c r="Q119" i="11"/>
  <c r="H112" i="11"/>
  <c r="P112" i="11" s="1"/>
  <c r="H99" i="11"/>
  <c r="P99" i="11" s="1"/>
  <c r="Q99" i="11" l="1"/>
  <c r="Q112" i="11"/>
  <c r="H167" i="11"/>
  <c r="P167" i="11" s="1"/>
  <c r="H72" i="11"/>
  <c r="P72" i="11" l="1"/>
  <c r="Q72" i="11"/>
  <c r="Q167" i="11"/>
  <c r="I152" i="11"/>
  <c r="J152" i="11"/>
  <c r="K152" i="11"/>
  <c r="H82" i="11" l="1"/>
  <c r="Q82" i="11" l="1"/>
  <c r="P82" i="11"/>
  <c r="H84" i="11"/>
  <c r="P84" i="11" s="1"/>
  <c r="H85" i="11"/>
  <c r="P85" i="11" s="1"/>
  <c r="H86" i="11"/>
  <c r="P86" i="11" s="1"/>
  <c r="Q85" i="11" l="1"/>
  <c r="Q84" i="11"/>
  <c r="Q86" i="11"/>
  <c r="H160" i="11"/>
  <c r="P160" i="11" s="1"/>
  <c r="J177" i="11"/>
  <c r="K177" i="11"/>
  <c r="J159" i="11"/>
  <c r="K159" i="11"/>
  <c r="I156" i="11"/>
  <c r="J156" i="11"/>
  <c r="K156" i="11"/>
  <c r="I150" i="11"/>
  <c r="J150" i="11"/>
  <c r="K150" i="11"/>
  <c r="J76" i="11"/>
  <c r="K76" i="11"/>
  <c r="Q160" i="11" l="1"/>
  <c r="J38" i="11"/>
  <c r="K38" i="11"/>
  <c r="H44" i="11"/>
  <c r="Q44" i="11" l="1"/>
  <c r="P44" i="11"/>
  <c r="H139" i="11"/>
  <c r="P139" i="11" s="1"/>
  <c r="Q139" i="11" l="1"/>
  <c r="I75" i="11"/>
  <c r="J75" i="11"/>
  <c r="K75" i="11"/>
  <c r="H77" i="11"/>
  <c r="H76" i="11" l="1"/>
  <c r="P76" i="11" s="1"/>
  <c r="Q77" i="11"/>
  <c r="P77" i="11"/>
  <c r="Q76" i="11"/>
  <c r="H75" i="11"/>
  <c r="P75" i="11" s="1"/>
  <c r="Q75" i="11" l="1"/>
  <c r="J166" i="11"/>
  <c r="K176" i="11"/>
  <c r="J176" i="11"/>
  <c r="I176" i="11"/>
  <c r="K164" i="11"/>
  <c r="J164" i="11"/>
  <c r="K163" i="11"/>
  <c r="K183" i="11" s="1"/>
  <c r="J163" i="11"/>
  <c r="I163" i="11"/>
  <c r="I158" i="11"/>
  <c r="H141" i="11"/>
  <c r="P141" i="11" s="1"/>
  <c r="H140" i="11"/>
  <c r="H135" i="11"/>
  <c r="K130" i="11"/>
  <c r="K129" i="11" s="1"/>
  <c r="H116" i="11"/>
  <c r="P116" i="11" s="1"/>
  <c r="H111" i="11"/>
  <c r="P111" i="11" s="1"/>
  <c r="H105" i="11"/>
  <c r="P105" i="11" s="1"/>
  <c r="H95" i="11"/>
  <c r="P95" i="11" s="1"/>
  <c r="H93" i="11"/>
  <c r="P93" i="11" s="1"/>
  <c r="H92" i="11"/>
  <c r="P92" i="11" s="1"/>
  <c r="H91" i="11"/>
  <c r="P91" i="11" s="1"/>
  <c r="H83" i="11"/>
  <c r="K80" i="11"/>
  <c r="H73" i="11"/>
  <c r="P73" i="11" s="1"/>
  <c r="H71" i="11"/>
  <c r="P71" i="11" s="1"/>
  <c r="H70" i="11"/>
  <c r="P70" i="11" s="1"/>
  <c r="H69" i="11"/>
  <c r="P69" i="11" s="1"/>
  <c r="H66" i="11"/>
  <c r="H64" i="11"/>
  <c r="H65" i="11"/>
  <c r="P65" i="11" s="1"/>
  <c r="H62" i="11"/>
  <c r="P62" i="11" s="1"/>
  <c r="H60" i="11"/>
  <c r="H61" i="11"/>
  <c r="K58" i="11"/>
  <c r="H53" i="11"/>
  <c r="P53" i="11" s="1"/>
  <c r="H52" i="11"/>
  <c r="P52" i="11" s="1"/>
  <c r="H43" i="11"/>
  <c r="P43" i="11" s="1"/>
  <c r="H42" i="11"/>
  <c r="P42" i="11" s="1"/>
  <c r="H39" i="11"/>
  <c r="P39" i="11" s="1"/>
  <c r="K37" i="11"/>
  <c r="H36" i="11"/>
  <c r="I164" i="11"/>
  <c r="H23" i="11"/>
  <c r="P23" i="11" s="1"/>
  <c r="H20" i="11"/>
  <c r="P20" i="11" s="1"/>
  <c r="H19" i="11"/>
  <c r="P19" i="11" s="1"/>
  <c r="Q61" i="11" l="1"/>
  <c r="P61" i="11"/>
  <c r="H81" i="11"/>
  <c r="P81" i="11" s="1"/>
  <c r="Q83" i="11"/>
  <c r="P83" i="11"/>
  <c r="H151" i="11"/>
  <c r="P60" i="11"/>
  <c r="Q60" i="11"/>
  <c r="P36" i="11"/>
  <c r="Q36" i="11"/>
  <c r="H172" i="11"/>
  <c r="P172" i="11" s="1"/>
  <c r="P135" i="11"/>
  <c r="Q135" i="11"/>
  <c r="Q64" i="11"/>
  <c r="P64" i="11"/>
  <c r="Q66" i="11"/>
  <c r="P66" i="11"/>
  <c r="Q140" i="11"/>
  <c r="P140" i="11"/>
  <c r="Q93" i="11"/>
  <c r="Q91" i="11"/>
  <c r="Q92" i="11"/>
  <c r="Q65" i="11"/>
  <c r="Q111" i="11"/>
  <c r="Q70" i="11"/>
  <c r="Q62" i="11"/>
  <c r="Q105" i="11"/>
  <c r="Q69" i="11"/>
  <c r="Q73" i="11"/>
  <c r="Q95" i="11"/>
  <c r="Q116" i="11"/>
  <c r="Q71" i="11"/>
  <c r="H149" i="11"/>
  <c r="P149" i="11" s="1"/>
  <c r="Q53" i="11"/>
  <c r="H177" i="11"/>
  <c r="P177" i="11" s="1"/>
  <c r="Q141" i="11"/>
  <c r="Q52" i="11"/>
  <c r="Q39" i="11"/>
  <c r="H158" i="11"/>
  <c r="P158" i="11" s="1"/>
  <c r="Q42" i="11"/>
  <c r="H163" i="11"/>
  <c r="P163" i="11" s="1"/>
  <c r="Q43" i="11"/>
  <c r="Q23" i="11"/>
  <c r="Q20" i="11"/>
  <c r="Q19" i="11"/>
  <c r="J183" i="11"/>
  <c r="I183" i="11"/>
  <c r="H162" i="11"/>
  <c r="P162" i="11" s="1"/>
  <c r="H137" i="11"/>
  <c r="P137" i="11" s="1"/>
  <c r="H90" i="11"/>
  <c r="P90" i="11" s="1"/>
  <c r="H161" i="11"/>
  <c r="P161" i="11" s="1"/>
  <c r="H159" i="11"/>
  <c r="P159" i="11" s="1"/>
  <c r="H176" i="11"/>
  <c r="P176" i="11" s="1"/>
  <c r="K15" i="11"/>
  <c r="H102" i="11"/>
  <c r="P102" i="11" s="1"/>
  <c r="K97" i="11"/>
  <c r="H32" i="11"/>
  <c r="P32" i="11" s="1"/>
  <c r="I15" i="11"/>
  <c r="J136" i="11"/>
  <c r="H68" i="11"/>
  <c r="P68" i="11" s="1"/>
  <c r="K136" i="11"/>
  <c r="H134" i="11"/>
  <c r="J58" i="11"/>
  <c r="H80" i="11"/>
  <c r="P80" i="11" s="1"/>
  <c r="I97" i="11"/>
  <c r="H41" i="11"/>
  <c r="H54" i="11"/>
  <c r="P54" i="11" s="1"/>
  <c r="J80" i="11"/>
  <c r="J37" i="11"/>
  <c r="H33" i="11"/>
  <c r="P33" i="11" s="1"/>
  <c r="H117" i="11"/>
  <c r="J130" i="11"/>
  <c r="J129" i="11" s="1"/>
  <c r="I58" i="11"/>
  <c r="I37" i="11"/>
  <c r="I129" i="11"/>
  <c r="I80" i="11"/>
  <c r="H17" i="11"/>
  <c r="I89" i="11"/>
  <c r="Q151" i="11" l="1"/>
  <c r="P151" i="11"/>
  <c r="Q41" i="11"/>
  <c r="P41" i="11"/>
  <c r="H154" i="11"/>
  <c r="P154" i="11" s="1"/>
  <c r="P134" i="11"/>
  <c r="Q134" i="11"/>
  <c r="Q172" i="11"/>
  <c r="H155" i="11"/>
  <c r="P155" i="11" s="1"/>
  <c r="P117" i="11"/>
  <c r="Q117" i="11"/>
  <c r="Q81" i="11"/>
  <c r="H89" i="11"/>
  <c r="P89" i="11" s="1"/>
  <c r="Q90" i="11"/>
  <c r="Q162" i="11"/>
  <c r="Q177" i="11"/>
  <c r="Q161" i="11"/>
  <c r="Q54" i="11"/>
  <c r="Q149" i="11"/>
  <c r="H59" i="11"/>
  <c r="P59" i="11" s="1"/>
  <c r="Q68" i="11"/>
  <c r="Q176" i="11"/>
  <c r="Q137" i="11"/>
  <c r="Q102" i="11"/>
  <c r="Q80" i="11"/>
  <c r="Q163" i="11"/>
  <c r="Q158" i="11"/>
  <c r="Q159" i="11"/>
  <c r="Q154" i="11"/>
  <c r="H164" i="11"/>
  <c r="P164" i="11" s="1"/>
  <c r="Q33" i="11"/>
  <c r="H156" i="11"/>
  <c r="P156" i="11" s="1"/>
  <c r="Q32" i="11"/>
  <c r="Q17" i="11"/>
  <c r="P17" i="11"/>
  <c r="H183" i="11"/>
  <c r="H173" i="11"/>
  <c r="P173" i="11" s="1"/>
  <c r="H130" i="11"/>
  <c r="P130" i="11" s="1"/>
  <c r="K148" i="11"/>
  <c r="K186" i="11" s="1"/>
  <c r="H152" i="11"/>
  <c r="P152" i="11" s="1"/>
  <c r="H38" i="11"/>
  <c r="P38" i="11" s="1"/>
  <c r="H150" i="11"/>
  <c r="P150" i="11" s="1"/>
  <c r="J15" i="11"/>
  <c r="H18" i="11"/>
  <c r="P18" i="11" s="1"/>
  <c r="H106" i="11"/>
  <c r="P106" i="11" s="1"/>
  <c r="J97" i="11"/>
  <c r="Q155" i="11" l="1"/>
  <c r="H153" i="11"/>
  <c r="P153" i="11" s="1"/>
  <c r="H58" i="11"/>
  <c r="P58" i="11" s="1"/>
  <c r="Q59" i="11"/>
  <c r="Q173" i="11"/>
  <c r="H129" i="11"/>
  <c r="P129" i="11" s="1"/>
  <c r="Q130" i="11"/>
  <c r="Q89" i="11"/>
  <c r="Q106" i="11"/>
  <c r="Q150" i="11"/>
  <c r="Q58" i="11"/>
  <c r="H37" i="11"/>
  <c r="P37" i="11" s="1"/>
  <c r="Q38" i="11"/>
  <c r="Q164" i="11"/>
  <c r="Q152" i="11"/>
  <c r="H16" i="11"/>
  <c r="H15" i="11" s="1"/>
  <c r="Q18" i="11"/>
  <c r="Q156" i="11"/>
  <c r="P183" i="11"/>
  <c r="Q183" i="11"/>
  <c r="H174" i="11"/>
  <c r="P174" i="11" s="1"/>
  <c r="H98" i="11"/>
  <c r="P98" i="11" s="1"/>
  <c r="J148" i="11"/>
  <c r="J186" i="11" s="1"/>
  <c r="Q129" i="11" l="1"/>
  <c r="H97" i="11"/>
  <c r="P97" i="11" s="1"/>
  <c r="Q98" i="11"/>
  <c r="Q16" i="11"/>
  <c r="Q37" i="11"/>
  <c r="P16" i="11"/>
  <c r="Q174" i="11"/>
  <c r="Q153" i="11"/>
  <c r="Q15" i="11"/>
  <c r="P15" i="11"/>
  <c r="I136" i="11"/>
  <c r="I148" i="11" s="1"/>
  <c r="H136" i="11"/>
  <c r="P136" i="11" s="1"/>
  <c r="H148" i="11" l="1"/>
  <c r="P148" i="11" s="1"/>
  <c r="Q136" i="11"/>
  <c r="Q97" i="11"/>
  <c r="Q148" i="11" l="1"/>
</calcChain>
</file>

<file path=xl/sharedStrings.xml><?xml version="1.0" encoding="utf-8"?>
<sst xmlns="http://schemas.openxmlformats.org/spreadsheetml/2006/main" count="769" uniqueCount="370">
  <si>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</si>
  <si>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</si>
  <si>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</si>
  <si>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</si>
  <si>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</si>
  <si>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</si>
  <si>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</si>
  <si>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</si>
  <si>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</si>
  <si>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</si>
  <si>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</si>
  <si>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</si>
  <si>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</si>
  <si>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</si>
  <si>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</si>
  <si>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</si>
  <si>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</si>
  <si>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</si>
  <si>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</si>
  <si>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</si>
  <si>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</si>
  <si>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</si>
  <si>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</si>
  <si>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</si>
  <si>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</si>
  <si>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</si>
  <si>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</si>
  <si>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</si>
  <si>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</si>
  <si>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</si>
  <si>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</si>
  <si>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</si>
  <si>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</si>
  <si>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</si>
  <si>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</si>
  <si>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</si>
  <si>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</si>
  <si>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</si>
  <si>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</si>
  <si>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</si>
  <si>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</si>
  <si>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</si>
  <si>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</si>
  <si>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</si>
  <si>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</si>
  <si>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</si>
  <si>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</si>
  <si>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</si>
  <si>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</si>
  <si>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</si>
  <si>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</si>
  <si>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</si>
  <si>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</si>
  <si>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</si>
  <si>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</si>
  <si>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</si>
  <si>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</si>
  <si>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</si>
  <si>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</si>
  <si>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</si>
  <si>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</si>
  <si>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</si>
  <si>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</si>
  <si>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</si>
  <si>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</si>
  <si>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</si>
  <si>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</si>
  <si>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</si>
  <si>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</si>
  <si>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</si>
  <si>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</si>
  <si>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</si>
  <si>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</si>
  <si>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</si>
  <si>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</si>
  <si>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</si>
  <si>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</si>
  <si>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</si>
  <si>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</si>
  <si>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</si>
  <si>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</si>
  <si>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</si>
  <si>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</si>
  <si>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</si>
  <si>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</si>
  <si>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0218340</t>
  </si>
  <si>
    <t>8340</t>
  </si>
  <si>
    <t>0540</t>
  </si>
  <si>
    <t>Природоохоронні заходи за рахунок цільових фондів</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</si>
  <si>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</si>
  <si>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</si>
  <si>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</si>
  <si>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</si>
  <si>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</si>
  <si>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</si>
  <si>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</si>
  <si>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</si>
  <si>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</si>
  <si>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</si>
  <si>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</si>
  <si>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</si>
  <si>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</si>
  <si>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</si>
  <si>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</si>
  <si>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</si>
  <si>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</si>
  <si>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</si>
  <si>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</si>
  <si>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</si>
  <si>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</si>
  <si>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</si>
  <si>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</si>
  <si>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</si>
  <si>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</si>
  <si>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</si>
  <si>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</si>
  <si>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</si>
  <si>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</si>
  <si>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</si>
  <si>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</si>
  <si>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</si>
  <si>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</si>
  <si>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</si>
  <si>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</si>
  <si>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</si>
  <si>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</si>
  <si>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</si>
  <si>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</si>
  <si>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</si>
  <si>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0180</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</si>
  <si>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</si>
  <si>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</si>
  <si>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</si>
  <si>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</si>
  <si>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</si>
  <si>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</si>
  <si>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</si>
  <si>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</si>
  <si>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</si>
  <si>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</si>
  <si>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</si>
  <si>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</si>
  <si>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</si>
  <si>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</si>
  <si>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</si>
  <si>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</si>
  <si>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</si>
  <si>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</si>
  <si>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</si>
  <si>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</si>
  <si>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</si>
  <si>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</si>
  <si>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</si>
  <si>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</si>
  <si>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</si>
  <si>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</si>
  <si>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</si>
  <si>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</si>
  <si>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</si>
  <si>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</si>
  <si>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</si>
  <si>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</si>
  <si>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</si>
  <si>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</si>
  <si>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</si>
  <si>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</si>
  <si>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</si>
  <si>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</si>
  <si>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</si>
  <si>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</si>
  <si>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</si>
  <si>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</si>
  <si>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</si>
  <si>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</si>
  <si>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</si>
  <si>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</si>
  <si>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</si>
  <si>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</si>
  <si>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</si>
  <si>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</si>
  <si>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</si>
  <si>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0613140</t>
  </si>
  <si>
    <t>Міська комплексна програма відпочинку та оздоровлення дітей на 2022-2025 роки</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</si>
  <si>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</si>
  <si>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</si>
  <si>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</si>
  <si>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</si>
  <si>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</si>
  <si>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</si>
  <si>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</si>
  <si>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</si>
  <si>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</si>
  <si>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Інші субвенції з місцевого бюджету</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</si>
  <si>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</si>
  <si>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</si>
  <si>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</si>
  <si>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</si>
  <si>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</si>
  <si>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</si>
  <si>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</si>
  <si>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</si>
  <si>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</si>
  <si>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</si>
  <si>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</si>
  <si>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</si>
  <si>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від 19.05.2023р.
№ 368-VIII</t>
  </si>
  <si>
    <t>04.02.2022р. 
№ 175-VIII 
(зі змінами)</t>
  </si>
  <si>
    <t>0900000</t>
  </si>
  <si>
    <t/>
  </si>
  <si>
    <t>Служба у справах дітей Чорноморської мiської ради Одеського району Одеської областi</t>
  </si>
  <si>
    <t>0910000</t>
  </si>
  <si>
    <t>0913112</t>
  </si>
  <si>
    <t>Начальник фінансового управління</t>
  </si>
  <si>
    <t>Ольга ЯКОВЕНКО</t>
  </si>
  <si>
    <t>Міська програма 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Одеського району Одеської  області на 2024-2026 роки</t>
  </si>
  <si>
    <t>1011080</t>
  </si>
  <si>
    <t>1080</t>
  </si>
  <si>
    <t>0960</t>
  </si>
  <si>
    <t>Надання спеціалізованої освіти мистецькими школами</t>
  </si>
  <si>
    <t>Міська програма "Здоров’я населення Чорноморської  міської територіальної громади на 2021 - 2025 роки"</t>
  </si>
  <si>
    <t>УСЬОГО за розпорядниками</t>
  </si>
  <si>
    <t>УСЬОГО ЗА ПРОГРАМАМИ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</si>
  <si>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2025 рік</t>
  </si>
  <si>
    <t>Міська цільова програма фінансової підтримки діяльності  Одеської районної ради Одеської області на 2025 рік</t>
  </si>
  <si>
    <t>3210</t>
  </si>
  <si>
    <t>1050</t>
  </si>
  <si>
    <t>Організація та проведення громадських робіт</t>
  </si>
  <si>
    <t xml:space="preserve">Міська цільова програма зайнятості населення Чорноморської міської територіальної громади на 2024 - 2025 роки </t>
  </si>
  <si>
    <t>22.12.2023р. 
№ 517-VIII</t>
  </si>
  <si>
    <t>7520</t>
  </si>
  <si>
    <t>0460</t>
  </si>
  <si>
    <t>08.08.2024р.
 №649-VIII</t>
  </si>
  <si>
    <t>1213210</t>
  </si>
  <si>
    <t>1217520</t>
  </si>
  <si>
    <t>Міська цільова програма фінансової підтримки комунальних підприємств Чорноморської міської ради Одеського району Одеської області на 2025 рік.</t>
  </si>
  <si>
    <t>3116090</t>
  </si>
  <si>
    <t>0640</t>
  </si>
  <si>
    <t>Інша діяльність у сфері житлово-комунального господарства</t>
  </si>
  <si>
    <t>1500000</t>
  </si>
  <si>
    <t>Управлiння капiтального будiвництва Чорноморської мiської ради Одеського району Одеської областi</t>
  </si>
  <si>
    <t>1510000</t>
  </si>
  <si>
    <t>Міська цільова програма фінансової підтримки діяльності Одеської районної ради Одеської області на 2025 рік</t>
  </si>
  <si>
    <t>1117520</t>
  </si>
  <si>
    <t>1017520</t>
  </si>
  <si>
    <t>0917520</t>
  </si>
  <si>
    <t>0217520</t>
  </si>
  <si>
    <t>0617520</t>
  </si>
  <si>
    <t>0817520</t>
  </si>
  <si>
    <t>0218110</t>
  </si>
  <si>
    <t>8110</t>
  </si>
  <si>
    <t>0216030</t>
  </si>
  <si>
    <t>0618110</t>
  </si>
  <si>
    <t>Міська цільова програма надання поворотної фінансової допомоги (резервних коштів) патронатному вихователю на території Чорноморської міської територіальної громади на 2025-2027 роки</t>
  </si>
  <si>
    <t>0813140</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</si>
  <si>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</si>
  <si>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Про затвердження Міської цільової програми забезпечення жителів Чорноморської міської територіальної громади засобами для ендопротезування суглобів на 2025 рік </t>
  </si>
  <si>
    <t xml:space="preserve">Міська цільова програма забезпечення жителів Чорноморської міської територіальної громади засобами для ендопротезування суглобів на 2025 рік </t>
  </si>
  <si>
    <t>Міська цільова програма розвитку житлово-комунального господарства Чорноморської міської територіальної громади на 2025-2027 роки</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</si>
  <si>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</si>
  <si>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Міська цільова програма інформатизації Чорноморської міської ради Одеської області на 2024-2026 роки </t>
  </si>
  <si>
    <t>Реалізація Національної програми інформатизації</t>
  </si>
  <si>
    <t>19.05.2023р.
№ 368-VIII</t>
  </si>
  <si>
    <t>0217640</t>
  </si>
  <si>
    <t>7640</t>
  </si>
  <si>
    <t>0470</t>
  </si>
  <si>
    <t>Заходи з енергозбереження</t>
  </si>
  <si>
    <t xml:space="preserve">23.12.2024р.  
№ 735-VIII </t>
  </si>
  <si>
    <t>23.12.2024р.
№ 746-VIII</t>
  </si>
  <si>
    <t>23.12.2024р.
№ 749-VIII</t>
  </si>
  <si>
    <t>23.12.2024р.
№ 750-VIII</t>
  </si>
  <si>
    <t>Міська цільова програма протидії злочинності на території Чорноморської міської територіальної громади на 2025 рік</t>
  </si>
  <si>
    <t>Міська цільова програма підтримки Сил оборони і безпеки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</si>
  <si>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Субвенція з місцевого бюджету державному бюджету на виконання програм соціально-економічного розвитку регіонів</t>
  </si>
  <si>
    <t>0218240</t>
  </si>
  <si>
    <t>0611183</t>
  </si>
  <si>
    <t>1183</t>
  </si>
  <si>
    <t>0990</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</si>
  <si>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</si>
  <si>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1216011</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</si>
  <si>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</si>
  <si>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</si>
  <si>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у багатоквартирних будинках на території Чорноморської міської територіальної громади на 2023 - 2025 роки</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</si>
  <si>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2024 - 2025 роки</t>
  </si>
  <si>
    <t>08.08.2024р. 
№ 647-VIII</t>
  </si>
  <si>
    <t>6093</t>
  </si>
  <si>
    <t>Реалізація проектів (заходів) з відновлення об'єктів житлово-комунального господарства, пошкоджених/знищених внаслідок збройної агресії, за рахунок коштів місцевих бюджетів</t>
  </si>
  <si>
    <t>7670</t>
  </si>
  <si>
    <t>Внески до статутного капіталу суб'єктів господарювання</t>
  </si>
  <si>
    <t>1216093</t>
  </si>
  <si>
    <t>1217461</t>
  </si>
  <si>
    <t>1217670</t>
  </si>
  <si>
    <t>7691</t>
  </si>
  <si>
    <t>1217691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</si>
  <si>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</si>
  <si>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1300</t>
  </si>
  <si>
    <t>Будівництво освітніх установ та закладів</t>
  </si>
  <si>
    <t>2171</t>
  </si>
  <si>
    <t>Реалізація проектів (заходів) з відновлення закладів охорони здоров'я, пошкоджених/знищених внаслідок збройної агресії, за рахунок коштів місцевих бюджетів</t>
  </si>
  <si>
    <t>6091</t>
  </si>
  <si>
    <t>Будівництво об'єктів житлово-комунального господарства</t>
  </si>
  <si>
    <t>7368</t>
  </si>
  <si>
    <t>Виконання інвестиційних проектів за рахунок субвенцій з інших бюджетів</t>
  </si>
  <si>
    <t>7370</t>
  </si>
  <si>
    <t>Реалізація інших заходів щодо соціально-економічного розвитку територій</t>
  </si>
  <si>
    <t>Міська програма співфінансування заходів, направлених на доведення багаквартирних житлових будинків 13-го мікрорайону м.Чорноморська до стану, придатного для проживання, на 2021-2025 роки</t>
  </si>
  <si>
    <t>12.04.2021р. 
№ 55-VIII 
(зі змінами)</t>
  </si>
  <si>
    <t>1518110</t>
  </si>
  <si>
    <t>1218240</t>
  </si>
  <si>
    <t>23.12.2024р.
№ 741-VIII
(зі змінами)</t>
  </si>
  <si>
    <t>08.08.2024р.
 №649-VIII
(зі змінами)</t>
  </si>
  <si>
    <t>23.12.2024р.
№ 737-VIII
(зі змінами)</t>
  </si>
  <si>
    <t>12.04.2024р.
 №562-VIII
(зі змінами)</t>
  </si>
  <si>
    <t>31.01.2023р. 
№ 295-VIII
(зі змінами)</t>
  </si>
  <si>
    <t>23.12.2024р.
№ 740-VIII
(зі змінами)</t>
  </si>
  <si>
    <t>28.01.2025р.
№ 772-VIII</t>
  </si>
  <si>
    <t>0611070</t>
  </si>
  <si>
    <t>Надання позашкільної освіти закладами позашкільної освіти, заходи із позашкільної роботи з дітьми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</si>
  <si>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</si>
  <si>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</si>
  <si>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</si>
  <si>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</si>
  <si>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</si>
  <si>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</si>
  <si>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0615031</t>
  </si>
  <si>
    <t>5031</t>
  </si>
  <si>
    <t>Розвиток здібностей у дітей та молоді з фізичної культури та спорту комунальними дитячо-юнацькими спортивними школами</t>
  </si>
  <si>
    <t>Міська цільова програма підтримки Територіального управління Державного бюро розслідувань, розташованого у місті Миколаєві, на 2025 рік</t>
  </si>
  <si>
    <t>Міська цільова програма "Поліцейський офіцер громади" Чорноморської міської територіальної громади на 2025 рік</t>
  </si>
  <si>
    <t>Міська цільова програма розроблення містобудівної документації населених пунктів Чорноморської міської  територіальної громади на 2025-2027 роки</t>
  </si>
  <si>
    <t>28.02.2025р.
№ 792-VIII</t>
  </si>
  <si>
    <t>28.02.2025р.
№ 793-VIII</t>
  </si>
  <si>
    <t>28.02.2025р.
№ 798-VIII</t>
  </si>
  <si>
    <t>0217350</t>
  </si>
  <si>
    <t>7350</t>
  </si>
  <si>
    <t>0443</t>
  </si>
  <si>
    <t>Розроблення схем планування та забудови територій (містобудівної документації)</t>
  </si>
  <si>
    <t>0217351</t>
  </si>
  <si>
    <t>7351</t>
  </si>
  <si>
    <t>Розроблення комплексних планів просторового розвитку територій територіальних громад</t>
  </si>
  <si>
    <t>Міська цільова програма розвитку земельних відносин Чорноморської міської територіальної громади Одеського району Одеської області на 2025-2027 роки</t>
  </si>
  <si>
    <t>3117130</t>
  </si>
  <si>
    <t>7130</t>
  </si>
  <si>
    <t>0421</t>
  </si>
  <si>
    <t>Здійснення заходів із землеустрою</t>
  </si>
  <si>
    <t>0611231</t>
  </si>
  <si>
    <t>1231</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</si>
  <si>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t>
  </si>
  <si>
    <t>Виконання окремих заходів з реалізації соціального проекту "Активні парки - локації здорової України"</t>
  </si>
  <si>
    <t>11.04.2025р.
№ 818-VIII</t>
  </si>
  <si>
    <t>0611310</t>
  </si>
  <si>
    <t>1310</t>
  </si>
  <si>
    <t>Реалізація проектів (заходів) з відновлення освітніх установ та закладів, пошкоджених/знищених внаслідок збройної агресії, за рахунок коштів місцевих бюджетів</t>
  </si>
  <si>
    <t>1217640</t>
  </si>
  <si>
    <t>%  виконання</t>
  </si>
  <si>
    <t>% виконання</t>
  </si>
  <si>
    <t>відхилення, грн</t>
  </si>
  <si>
    <t>до рішення Чорноморської міської ради</t>
  </si>
  <si>
    <t>від                          №          - VIIІ</t>
  </si>
  <si>
    <t>Звіт про виконання Міських програм за  перше  півріччя  2025  року</t>
  </si>
  <si>
    <t>0212170</t>
  </si>
  <si>
    <t>2170</t>
  </si>
  <si>
    <t>Будівництво закладів охорони здоров'я</t>
  </si>
  <si>
    <t>0217330</t>
  </si>
  <si>
    <t>7330</t>
  </si>
  <si>
    <t>Будівництво інших об'єктів комунальної власності</t>
  </si>
  <si>
    <t>0611251</t>
  </si>
  <si>
    <t>1251</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</si>
  <si>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безперешкодний доступ до якісної освіти – шкільні автобуси</t>
  </si>
  <si>
    <t>0212111</t>
  </si>
  <si>
    <t>Додаток 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</si>
</sst>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sz val="12"/>
      <color indexed="8"/>
      <name val="Times New Roman"/>
      <family val="1"/>
      <charset val="204"/>
    </font>
    <font>
      <b/>
      <sz val="14"/>
      <color theme="1"/>
      <name val="Times New Roman"/>
      <family val="1"/>
      <charset val="204"/>
    </font>
    <font>
      <sz val="11"/>
      <name val="Calibri"/>
      <family val="2"/>
      <charset val="204"/>
      <scheme val="minor"/>
    </font>
    <font>
      <sz val="11"/>
      <color theme="1"/>
      <name val="Calibri"/>
      <family val="2"/>
      <charset val="204"/>
      <scheme val="minor"/>
    </font>
    <font>
      <b/>
      <sz val="14"/>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8">
    <xf numFmtId="0" fontId="0" fillId="0" borderId="0"/>
    <xf numFmtId="0" fontId="7" fillId="0" borderId="0"/>
    <xf numFmtId="0" fontId="8" fillId="0" borderId="0"/>
    <xf numFmtId="0" fontId="1" fillId="0" borderId="0"/>
    <xf numFmtId="0" fontId="8" fillId="0" borderId="0"/>
    <xf numFmtId="0" fontId="8" fillId="0" borderId="0"/>
    <xf numFmtId="0" fontId="10" fillId="0" borderId="0"/>
    <xf numFmtId="0" fontId="14" fillId="0" borderId="0"/>
  </cellStyleXfs>
  <cellXfs count="133">
    <xf numFmtId="0" fontId="0" fillId="0" borderId="0" xfId="0"/>
    <xf numFmtId="0" fontId="0" fillId="2" borderId="0" xfId="0" applyFill="1" applyAlignment="1">
      <alignment horizontal="center" vertical="center"/>
    </xf>
    <xf numFmtId="0" fontId="0" fillId="2" borderId="0" xfId="0" applyFill="1"/>
    <xf numFmtId="0" fontId="8" fillId="2" borderId="0" xfId="4" applyFill="1" applyAlignment="1">
      <alignment horizontal="center" vertical="center"/>
    </xf>
    <xf numFmtId="0" fontId="8" fillId="2" borderId="0" xfId="4" applyFill="1" applyAlignment="1">
      <alignment horizontal="left" vertical="center"/>
    </xf>
    <xf numFmtId="3" fontId="8" fillId="2" borderId="0" xfId="4" applyNumberFormat="1" applyFill="1" applyAlignment="1">
      <alignment horizontal="center" vertical="center"/>
    </xf>
    <xf numFmtId="3" fontId="6" fillId="2" borderId="0" xfId="4" applyNumberFormat="1" applyFont="1" applyFill="1" applyAlignment="1">
      <alignment horizontal="center" vertical="center"/>
    </xf>
    <xf numFmtId="0" fontId="8" fillId="2" borderId="0" xfId="4" applyFill="1" applyAlignment="1">
      <alignment horizontal="center"/>
    </xf>
    <xf numFmtId="0" fontId="9" fillId="2" borderId="0" xfId="4" applyFont="1" applyFill="1" applyAlignment="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Alignment="1">
      <alignment vertical="center" wrapText="1"/>
    </xf>
    <xf numFmtId="0" fontId="2" fillId="2" borderId="1" xfId="0" applyFont="1" applyFill="1" applyBorder="1" applyAlignment="1">
      <alignment horizontal="left" vertical="center" wrapText="1"/>
    </xf>
    <xf numFmtId="0" fontId="2" fillId="2" borderId="0" xfId="0" applyFont="1" applyFill="1"/>
    <xf numFmtId="0" fontId="2" fillId="2" borderId="1" xfId="0" quotePrefix="1" applyFont="1" applyFill="1" applyBorder="1" applyAlignment="1">
      <alignmen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49" fontId="5" fillId="2" borderId="1" xfId="0" applyNumberFormat="1" applyFont="1" applyFill="1" applyBorder="1" applyAlignment="1">
      <alignment horizontal="center" vertical="center"/>
    </xf>
    <xf numFmtId="0" fontId="3" fillId="2" borderId="0" xfId="0" applyFont="1" applyFill="1"/>
    <xf numFmtId="0" fontId="2" fillId="2" borderId="0" xfId="0" applyFont="1" applyFill="1" applyAlignment="1">
      <alignment horizontal="center"/>
    </xf>
    <xf numFmtId="49" fontId="3" fillId="2" borderId="1" xfId="5" applyNumberFormat="1"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0" xfId="0" applyFont="1" applyFill="1" applyAlignment="1">
      <alignment vertical="center"/>
    </xf>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0" fillId="2" borderId="0" xfId="0" applyNumberFormat="1" applyFill="1" applyAlignment="1">
      <alignment horizontal="center" vertical="center"/>
    </xf>
    <xf numFmtId="0" fontId="2" fillId="2" borderId="0" xfId="0" quotePrefix="1" applyFont="1" applyFill="1" applyAlignment="1">
      <alignment vertical="center" wrapText="1"/>
    </xf>
    <xf numFmtId="0" fontId="2" fillId="2" borderId="0" xfId="0" applyFont="1" applyFill="1" applyAlignment="1">
      <alignment horizontal="center" vertical="center" wrapText="1"/>
    </xf>
    <xf numFmtId="4" fontId="2" fillId="2" borderId="0" xfId="0" applyNumberFormat="1" applyFont="1" applyFill="1" applyAlignment="1">
      <alignment horizontal="center" vertical="center"/>
    </xf>
    <xf numFmtId="0" fontId="2" fillId="3" borderId="0" xfId="0" applyFont="1" applyFill="1"/>
    <xf numFmtId="0" fontId="3" fillId="3" borderId="0" xfId="0"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 fontId="2" fillId="2" borderId="1" xfId="0" applyNumberFormat="1" applyFont="1" applyFill="1" applyBorder="1" applyAlignment="1">
      <alignment vertical="center"/>
    </xf>
    <xf numFmtId="0" fontId="12" fillId="2" borderId="0" xfId="0" applyFont="1" applyFill="1"/>
    <xf numFmtId="0" fontId="2" fillId="2" borderId="2" xfId="0" applyFont="1" applyFill="1" applyBorder="1" applyAlignment="1">
      <alignment horizontal="center" vertical="center"/>
    </xf>
    <xf numFmtId="4" fontId="2" fillId="2" borderId="2" xfId="0" applyNumberFormat="1" applyFont="1" applyFill="1" applyBorder="1" applyAlignment="1">
      <alignment horizontal="center" vertical="center"/>
    </xf>
    <xf numFmtId="0" fontId="2" fillId="2" borderId="5" xfId="0" applyFont="1" applyFill="1" applyBorder="1" applyAlignment="1">
      <alignment vertical="center" wrapText="1"/>
    </xf>
    <xf numFmtId="0" fontId="2" fillId="2" borderId="2" xfId="0" applyFont="1" applyFill="1" applyBorder="1" applyAlignment="1">
      <alignment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vertical="center" wrapText="1"/>
    </xf>
    <xf numFmtId="4" fontId="2" fillId="2" borderId="3" xfId="0" applyNumberFormat="1" applyFont="1" applyFill="1" applyBorder="1" applyAlignment="1">
      <alignment horizontal="center" vertical="center"/>
    </xf>
    <xf numFmtId="0" fontId="2" fillId="2" borderId="1" xfId="0" quotePrefix="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3" fontId="2" fillId="2" borderId="1" xfId="0" applyNumberFormat="1" applyFont="1" applyFill="1" applyBorder="1" applyAlignment="1">
      <alignment horizontal="center" vertical="center"/>
    </xf>
    <xf numFmtId="4" fontId="13" fillId="2" borderId="0" xfId="0" applyNumberFormat="1" applyFont="1" applyFill="1" applyAlignment="1">
      <alignment horizontal="center" vertical="center"/>
    </xf>
    <xf numFmtId="164" fontId="2" fillId="2" borderId="1" xfId="0" applyNumberFormat="1" applyFont="1" applyFill="1" applyBorder="1"/>
    <xf numFmtId="0" fontId="3" fillId="2" borderId="1" xfId="5"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2" xfId="4" applyFont="1" applyFill="1" applyBorder="1" applyAlignment="1">
      <alignment horizontal="center" vertical="center" wrapText="1"/>
    </xf>
    <xf numFmtId="0" fontId="2" fillId="2" borderId="3" xfId="4" applyFont="1" applyFill="1" applyBorder="1" applyAlignment="1">
      <alignment horizontal="center" vertical="center" wrapText="1"/>
    </xf>
    <xf numFmtId="3" fontId="2" fillId="2" borderId="1" xfId="4" applyNumberFormat="1" applyFont="1" applyFill="1" applyBorder="1" applyAlignment="1">
      <alignment horizontal="center" vertical="center" wrapText="1"/>
    </xf>
    <xf numFmtId="0" fontId="2" fillId="2" borderId="1" xfId="4" applyFont="1" applyFill="1" applyBorder="1" applyAlignment="1">
      <alignment horizontal="center" wrapText="1"/>
    </xf>
    <xf numFmtId="0" fontId="2" fillId="2" borderId="1" xfId="4" applyFont="1" applyFill="1" applyBorder="1" applyAlignment="1">
      <alignment horizontal="center" vertical="center" wrapText="1"/>
    </xf>
    <xf numFmtId="0" fontId="2" fillId="2" borderId="1" xfId="0" applyNumberFormat="1" applyFont="1" applyFill="1" applyBorder="1" applyAlignment="1">
      <alignment horizontal="center"/>
    </xf>
    <xf numFmtId="4" fontId="3" fillId="2" borderId="1" xfId="0" applyNumberFormat="1" applyFont="1" applyFill="1" applyBorder="1" applyAlignment="1">
      <alignment horizontal="center"/>
    </xf>
    <xf numFmtId="0" fontId="0" fillId="2" borderId="0" xfId="0" applyFill="1" applyAlignment="1"/>
    <xf numFmtId="0" fontId="2" fillId="2" borderId="0" xfId="0" applyFont="1" applyFill="1" applyAlignment="1">
      <alignment vertical="center"/>
    </xf>
    <xf numFmtId="0" fontId="13" fillId="2" borderId="0" xfId="0" applyFont="1" applyFill="1"/>
    <xf numFmtId="0" fontId="2" fillId="2" borderId="0" xfId="4" applyFont="1" applyFill="1" applyAlignment="1">
      <alignment vertical="center"/>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0" xfId="0" applyFont="1" applyFill="1"/>
    <xf numFmtId="4" fontId="2" fillId="2" borderId="5" xfId="0" applyNumberFormat="1" applyFont="1" applyFill="1" applyBorder="1" applyAlignment="1">
      <alignment horizontal="center" vertical="center"/>
    </xf>
    <xf numFmtId="0" fontId="2" fillId="2" borderId="1" xfId="0" applyFont="1" applyFill="1" applyBorder="1" applyAlignment="1">
      <alignment vertical="center"/>
    </xf>
    <xf numFmtId="0" fontId="2" fillId="2" borderId="0" xfId="0" applyFont="1" applyFill="1"/>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4" fontId="2" fillId="2" borderId="0" xfId="0" applyNumberFormat="1" applyFont="1" applyFill="1"/>
    <xf numFmtId="164" fontId="2"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xf>
    <xf numFmtId="164" fontId="3"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1" xfId="4" applyFont="1" applyFill="1" applyBorder="1" applyAlignment="1">
      <alignment vertical="center" wrapText="1"/>
    </xf>
    <xf numFmtId="0" fontId="4" fillId="2" borderId="1" xfId="4" applyFont="1" applyFill="1" applyBorder="1" applyAlignment="1">
      <alignment horizontal="center" vertical="center" wrapText="1"/>
    </xf>
    <xf numFmtId="0" fontId="4" fillId="2" borderId="4" xfId="4"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1" xfId="5" applyNumberFormat="1" applyFont="1" applyFill="1" applyBorder="1" applyAlignment="1">
      <alignment horizontal="center" vertical="center" wrapText="1"/>
    </xf>
    <xf numFmtId="0" fontId="4" fillId="2" borderId="1" xfId="1" applyFont="1" applyFill="1" applyBorder="1" applyAlignment="1">
      <alignment vertical="center" wrapText="1"/>
    </xf>
    <xf numFmtId="0" fontId="4" fillId="2" borderId="4"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1" applyFont="1" applyFill="1" applyBorder="1" applyAlignment="1">
      <alignment horizontal="center" vertical="center" wrapText="1"/>
    </xf>
    <xf numFmtId="0" fontId="2" fillId="2" borderId="1" xfId="0" quotePrefix="1" applyFont="1" applyFill="1" applyBorder="1" applyAlignment="1">
      <alignment horizontal="left" vertical="center" wrapText="1"/>
    </xf>
    <xf numFmtId="0" fontId="2" fillId="2" borderId="3" xfId="0" quotePrefix="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1" xfId="0" applyFont="1" applyFill="1" applyBorder="1" applyAlignment="1">
      <alignment vertical="top" wrapText="1"/>
    </xf>
    <xf numFmtId="0" fontId="11" fillId="2" borderId="1" xfId="0" applyFont="1" applyFill="1" applyBorder="1" applyAlignment="1">
      <alignment vertical="center" wrapText="1"/>
    </xf>
    <xf numFmtId="0" fontId="4" fillId="2" borderId="1" xfId="1" applyFont="1" applyFill="1" applyBorder="1" applyAlignment="1">
      <alignment horizontal="left" vertical="center" wrapText="1"/>
    </xf>
    <xf numFmtId="0" fontId="4" fillId="2" borderId="1" xfId="0" quotePrefix="1" applyFont="1" applyFill="1" applyBorder="1" applyAlignment="1">
      <alignment vertical="center" wrapText="1"/>
    </xf>
    <xf numFmtId="0" fontId="4" fillId="2" borderId="1" xfId="0" quotePrefix="1" applyFont="1" applyFill="1" applyBorder="1" applyAlignment="1">
      <alignment horizontal="center" vertical="center" wrapText="1"/>
    </xf>
    <xf numFmtId="0" fontId="4" fillId="2" borderId="1" xfId="0" applyFont="1" applyFill="1" applyBorder="1" applyAlignment="1">
      <alignment horizontal="left" vertical="center" wrapText="1"/>
    </xf>
    <xf numFmtId="0" fontId="2" fillId="2" borderId="5" xfId="0" quotePrefix="1" applyFont="1" applyFill="1" applyBorder="1" applyAlignment="1">
      <alignment horizontal="center" vertical="center" wrapText="1"/>
    </xf>
    <xf numFmtId="0" fontId="2" fillId="2" borderId="5"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4" xfId="1" applyFont="1" applyFill="1" applyBorder="1" applyAlignment="1">
      <alignment horizontal="left" vertical="center" wrapText="1"/>
    </xf>
    <xf numFmtId="0" fontId="4" fillId="2" borderId="7" xfId="1" applyFont="1" applyFill="1" applyBorder="1" applyAlignment="1">
      <alignment horizontal="center" vertical="center" wrapText="1"/>
    </xf>
    <xf numFmtId="0" fontId="2" fillId="2" borderId="2"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2" fillId="2" borderId="4" xfId="0" quotePrefix="1" applyFont="1" applyFill="1" applyBorder="1" applyAlignment="1">
      <alignment horizontal="center" vertical="center" wrapText="1"/>
    </xf>
    <xf numFmtId="0" fontId="2" fillId="2" borderId="4" xfId="0" quotePrefix="1" applyFont="1" applyFill="1" applyBorder="1" applyAlignment="1">
      <alignment vertical="center" wrapText="1"/>
    </xf>
    <xf numFmtId="3" fontId="2" fillId="2" borderId="1" xfId="4" applyNumberFormat="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3" fillId="2" borderId="1" xfId="5"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4" xfId="0" quotePrefix="1" applyFont="1" applyFill="1" applyBorder="1" applyAlignment="1">
      <alignment horizontal="left" vertical="center" wrapText="1"/>
    </xf>
    <xf numFmtId="0" fontId="3" fillId="2" borderId="6" xfId="0" quotePrefix="1" applyFont="1" applyFill="1" applyBorder="1" applyAlignment="1">
      <alignment horizontal="left" vertical="center" wrapText="1"/>
    </xf>
    <xf numFmtId="0" fontId="3" fillId="2" borderId="5" xfId="0" quotePrefix="1" applyFont="1" applyFill="1" applyBorder="1" applyAlignment="1">
      <alignment horizontal="left"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2" fillId="2" borderId="0" xfId="0" applyFont="1" applyFill="1" applyAlignment="1">
      <alignment horizontal="left" vertical="center"/>
    </xf>
    <xf numFmtId="0" fontId="2" fillId="2" borderId="0" xfId="4" applyFont="1" applyFill="1" applyAlignment="1">
      <alignment horizontal="left" vertical="center"/>
    </xf>
    <xf numFmtId="0" fontId="2" fillId="2" borderId="1" xfId="4" applyFont="1" applyFill="1" applyBorder="1" applyAlignment="1">
      <alignment horizontal="center" vertical="center" wrapText="1"/>
    </xf>
    <xf numFmtId="0" fontId="3" fillId="2" borderId="0" xfId="4" applyFont="1" applyFill="1" applyAlignment="1">
      <alignment horizontal="center" vertical="center" wrapText="1"/>
    </xf>
    <xf numFmtId="0" fontId="2" fillId="2" borderId="2" xfId="4" applyFont="1" applyFill="1" applyBorder="1" applyAlignment="1">
      <alignment horizontal="center" vertical="center" wrapText="1"/>
    </xf>
    <xf numFmtId="0" fontId="2" fillId="2" borderId="3" xfId="4" applyFont="1" applyFill="1" applyBorder="1" applyAlignment="1">
      <alignment horizontal="center" vertical="center" wrapText="1"/>
    </xf>
    <xf numFmtId="0" fontId="2" fillId="2" borderId="1" xfId="4" applyFont="1" applyFill="1" applyBorder="1" applyAlignment="1">
      <alignment horizontal="center" wrapText="1"/>
    </xf>
    <xf numFmtId="0" fontId="15" fillId="2" borderId="0" xfId="4" applyNumberFormat="1" applyFont="1" applyFill="1" applyBorder="1" applyAlignment="1" applyProtection="1">
      <alignment horizontal="center" vertical="center" wrapText="1"/>
    </xf>
  </cellXfs>
  <cellStyles count="8">
    <cellStyle name="Звичайний" xfId="0" builtinId="0"/>
    <cellStyle name="Звичайний 2" xfId="7"/>
    <cellStyle name="Обычный 11 2" xfId="5"/>
    <cellStyle name="Обычный 17 5 6" xfId="3"/>
    <cellStyle name="Обычный 2" xfId="6"/>
    <cellStyle name="Обычный 3" xfId="2"/>
    <cellStyle name="Обычный 3 2" xfId="4"/>
    <cellStyle name="Обычный_дод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4"/>
  <sheetViews>
    <sheetView showZeros="0" tabSelected="1" view="pageBreakPreview" topLeftCell="H1" zoomScale="84" zoomScaleNormal="60" zoomScaleSheetLayoutView="84" workbookViewId="0">
      <pane ySplit="13" topLeftCell="A38" activePane="bottomLeft" state="frozen"/>
      <selection pane="bottomLeft" activeCell="O1" sqref="O1:P1"/>
    </sheetView>
  </sheetViews>
  <sheetFormatPr defaultColWidth="9.140625" defaultRowHeight="15" x14ac:dyDescent="0.25"/>
  <cols>
    <col min="1" max="1" width="13.28515625" style="9" customWidth="1"/>
    <col min="2" max="2" width="12.28515625" style="1" customWidth="1"/>
    <col min="3" max="3" width="14.28515625" style="9" customWidth="1"/>
    <col min="4" max="4" width="56" style="2" customWidth="1"/>
    <col min="5" max="5" width="6.42578125" style="1" hidden="1" customWidth="1"/>
    <col min="6" max="6" width="58.85546875" style="10" customWidth="1"/>
    <col min="7" max="7" width="25" style="1" customWidth="1"/>
    <col min="8" max="8" width="21.7109375" style="1" customWidth="1"/>
    <col min="9" max="9" width="19.28515625" style="1" customWidth="1"/>
    <col min="10" max="10" width="21.42578125" style="1" customWidth="1"/>
    <col min="11" max="11" width="22.7109375" style="1" customWidth="1"/>
    <col min="12" max="12" width="17.5703125" style="2" customWidth="1"/>
    <col min="13" max="13" width="17.140625" style="2" customWidth="1"/>
    <col min="14" max="14" width="16.85546875" style="2" customWidth="1"/>
    <col min="15" max="15" width="16.7109375" style="2" customWidth="1"/>
    <col min="16" max="16" width="13.5703125" style="2" customWidth="1"/>
    <col min="17" max="17" width="19.140625" style="2" customWidth="1"/>
    <col min="18" max="18" width="16.28515625" style="2" bestFit="1" customWidth="1"/>
    <col min="19" max="16384" width="9.140625" style="2"/>
  </cols>
  <sheetData>
    <row r="1" spans="1:17" ht="15.75" x14ac:dyDescent="0.25">
      <c r="I1" s="125"/>
      <c r="J1" s="125"/>
      <c r="K1" s="125"/>
      <c r="N1" s="64"/>
      <c r="O1" s="125" t="s">
        <v>369</v>
      </c>
      <c r="P1" s="125"/>
      <c r="Q1" s="63"/>
    </row>
    <row r="2" spans="1:17" ht="15.75" x14ac:dyDescent="0.25">
      <c r="I2" s="125"/>
      <c r="J2" s="125"/>
      <c r="K2" s="125"/>
      <c r="N2" s="64"/>
      <c r="O2" s="63" t="s">
        <v>356</v>
      </c>
      <c r="P2" s="63"/>
      <c r="Q2" s="63"/>
    </row>
    <row r="3" spans="1:17" ht="15.75" x14ac:dyDescent="0.25">
      <c r="I3" s="125"/>
      <c r="J3" s="125"/>
      <c r="K3" s="125"/>
      <c r="N3" s="64"/>
      <c r="O3" s="65" t="s">
        <v>357</v>
      </c>
      <c r="P3" s="65"/>
      <c r="Q3" s="65"/>
    </row>
    <row r="4" spans="1:17" ht="15.75" x14ac:dyDescent="0.25">
      <c r="I4" s="126"/>
      <c r="J4" s="126"/>
      <c r="K4" s="126"/>
    </row>
    <row r="6" spans="1:17" ht="15.75" customHeight="1" x14ac:dyDescent="0.25">
      <c r="A6" s="132" t="s">
        <v>358</v>
      </c>
      <c r="B6" s="132"/>
      <c r="C6" s="132"/>
      <c r="D6" s="132"/>
      <c r="E6" s="132"/>
      <c r="F6" s="132"/>
      <c r="G6" s="132"/>
      <c r="H6" s="132"/>
      <c r="I6" s="132"/>
      <c r="J6" s="132"/>
      <c r="K6" s="132"/>
      <c r="L6" s="132"/>
      <c r="M6" s="132"/>
      <c r="N6" s="132"/>
      <c r="O6" s="132"/>
      <c r="P6" s="132"/>
      <c r="Q6" s="62"/>
    </row>
    <row r="7" spans="1:17" ht="15.75" x14ac:dyDescent="0.25">
      <c r="I7" s="125"/>
      <c r="J7" s="125"/>
      <c r="K7" s="125"/>
    </row>
    <row r="8" spans="1:17" ht="15.75" x14ac:dyDescent="0.25">
      <c r="I8" s="125"/>
      <c r="J8" s="125"/>
      <c r="K8" s="125"/>
    </row>
    <row r="9" spans="1:17" ht="15.75" x14ac:dyDescent="0.25">
      <c r="I9" s="126"/>
      <c r="J9" s="126"/>
      <c r="K9" s="126"/>
    </row>
    <row r="10" spans="1:17" ht="15.75" x14ac:dyDescent="0.25">
      <c r="A10" s="128"/>
      <c r="B10" s="128"/>
      <c r="C10" s="128"/>
      <c r="D10" s="128"/>
      <c r="E10" s="128"/>
      <c r="F10" s="128"/>
      <c r="G10" s="128"/>
      <c r="H10" s="128"/>
      <c r="I10" s="128"/>
      <c r="J10" s="128"/>
      <c r="K10" s="128"/>
    </row>
    <row r="11" spans="1:17" x14ac:dyDescent="0.25">
      <c r="A11" s="8"/>
      <c r="B11" s="3"/>
      <c r="C11" s="7"/>
      <c r="D11" s="3"/>
      <c r="E11" s="3"/>
      <c r="F11" s="4"/>
      <c r="G11" s="3"/>
      <c r="H11" s="5"/>
      <c r="I11" s="5"/>
      <c r="J11" s="5"/>
      <c r="K11" s="6" t="s">
        <v>45</v>
      </c>
    </row>
    <row r="12" spans="1:17" ht="15.75" x14ac:dyDescent="0.25">
      <c r="A12" s="131" t="s">
        <v>46</v>
      </c>
      <c r="B12" s="127" t="s">
        <v>47</v>
      </c>
      <c r="C12" s="131" t="s">
        <v>9</v>
      </c>
      <c r="D12" s="127" t="s">
        <v>49</v>
      </c>
      <c r="E12" s="55"/>
      <c r="F12" s="129" t="s">
        <v>48</v>
      </c>
      <c r="G12" s="127" t="s">
        <v>50</v>
      </c>
      <c r="H12" s="113" t="s">
        <v>0</v>
      </c>
      <c r="I12" s="113" t="s">
        <v>1</v>
      </c>
      <c r="J12" s="113" t="s">
        <v>2</v>
      </c>
      <c r="K12" s="113"/>
      <c r="L12" s="113" t="s">
        <v>0</v>
      </c>
      <c r="M12" s="113" t="s">
        <v>1</v>
      </c>
      <c r="N12" s="113" t="s">
        <v>2</v>
      </c>
      <c r="O12" s="113"/>
      <c r="P12" s="113" t="s">
        <v>353</v>
      </c>
      <c r="Q12" s="113"/>
    </row>
    <row r="13" spans="1:17" ht="85.7" customHeight="1" x14ac:dyDescent="0.25">
      <c r="A13" s="131"/>
      <c r="B13" s="127"/>
      <c r="C13" s="131"/>
      <c r="D13" s="127"/>
      <c r="E13" s="56"/>
      <c r="F13" s="130"/>
      <c r="G13" s="127"/>
      <c r="H13" s="113"/>
      <c r="I13" s="113"/>
      <c r="J13" s="57" t="s">
        <v>3</v>
      </c>
      <c r="K13" s="57" t="s">
        <v>4</v>
      </c>
      <c r="L13" s="113"/>
      <c r="M13" s="113"/>
      <c r="N13" s="57" t="s">
        <v>3</v>
      </c>
      <c r="O13" s="57" t="s">
        <v>4</v>
      </c>
      <c r="P13" s="57" t="s">
        <v>354</v>
      </c>
      <c r="Q13" s="57" t="s">
        <v>355</v>
      </c>
    </row>
    <row r="14" spans="1:17" s="1" customFormat="1" ht="15.75" x14ac:dyDescent="0.25">
      <c r="A14" s="58">
        <v>1</v>
      </c>
      <c r="B14" s="59">
        <v>2</v>
      </c>
      <c r="C14" s="58">
        <v>3</v>
      </c>
      <c r="D14" s="59">
        <v>4</v>
      </c>
      <c r="E14" s="59"/>
      <c r="F14" s="59">
        <v>5</v>
      </c>
      <c r="G14" s="59">
        <v>6</v>
      </c>
      <c r="H14" s="57">
        <v>7</v>
      </c>
      <c r="I14" s="57">
        <v>8</v>
      </c>
      <c r="J14" s="57">
        <v>9</v>
      </c>
      <c r="K14" s="57">
        <v>10</v>
      </c>
      <c r="L14" s="35">
        <v>11</v>
      </c>
      <c r="M14" s="35">
        <v>12</v>
      </c>
      <c r="N14" s="35">
        <v>13</v>
      </c>
      <c r="O14" s="35">
        <v>14</v>
      </c>
      <c r="P14" s="60">
        <v>15</v>
      </c>
      <c r="Q14" s="35">
        <v>16</v>
      </c>
    </row>
    <row r="15" spans="1:17" s="19" customFormat="1" ht="15.75" x14ac:dyDescent="0.25">
      <c r="A15" s="21" t="s">
        <v>10</v>
      </c>
      <c r="B15" s="53"/>
      <c r="C15" s="53"/>
      <c r="D15" s="117" t="s">
        <v>145</v>
      </c>
      <c r="E15" s="117"/>
      <c r="F15" s="117"/>
      <c r="G15" s="54"/>
      <c r="H15" s="26">
        <f t="shared" ref="H15:O15" si="0">H16</f>
        <v>114634920</v>
      </c>
      <c r="I15" s="26">
        <f t="shared" si="0"/>
        <v>90513580</v>
      </c>
      <c r="J15" s="26">
        <f t="shared" si="0"/>
        <v>24121340</v>
      </c>
      <c r="K15" s="26">
        <f t="shared" si="0"/>
        <v>23221340</v>
      </c>
      <c r="L15" s="26">
        <f t="shared" si="0"/>
        <v>37910606.970000006</v>
      </c>
      <c r="M15" s="26">
        <f t="shared" si="0"/>
        <v>36400657.630000003</v>
      </c>
      <c r="N15" s="26">
        <f t="shared" si="0"/>
        <v>1509949.34</v>
      </c>
      <c r="O15" s="26">
        <f t="shared" si="0"/>
        <v>1509949.34</v>
      </c>
      <c r="P15" s="80">
        <f>L15/H15</f>
        <v>0.33070731824124799</v>
      </c>
      <c r="Q15" s="61">
        <f>L15-H15</f>
        <v>-76724313.030000001</v>
      </c>
    </row>
    <row r="16" spans="1:17" s="19" customFormat="1" ht="15.75" x14ac:dyDescent="0.25">
      <c r="A16" s="21" t="s">
        <v>11</v>
      </c>
      <c r="B16" s="21"/>
      <c r="C16" s="21"/>
      <c r="D16" s="117" t="s">
        <v>145</v>
      </c>
      <c r="E16" s="117"/>
      <c r="F16" s="117"/>
      <c r="G16" s="54"/>
      <c r="H16" s="26">
        <f t="shared" ref="H16:O16" si="1">SUM(H17:H36)</f>
        <v>114634920</v>
      </c>
      <c r="I16" s="26">
        <f t="shared" si="1"/>
        <v>90513580</v>
      </c>
      <c r="J16" s="26">
        <f t="shared" si="1"/>
        <v>24121340</v>
      </c>
      <c r="K16" s="26">
        <f t="shared" si="1"/>
        <v>23221340</v>
      </c>
      <c r="L16" s="26">
        <f t="shared" si="1"/>
        <v>37910606.970000006</v>
      </c>
      <c r="M16" s="26">
        <f t="shared" si="1"/>
        <v>36400657.630000003</v>
      </c>
      <c r="N16" s="26">
        <f t="shared" si="1"/>
        <v>1509949.34</v>
      </c>
      <c r="O16" s="26">
        <f t="shared" si="1"/>
        <v>1509949.34</v>
      </c>
      <c r="P16" s="80">
        <f t="shared" ref="P16:P82" si="2">L16/H16</f>
        <v>0.33070731824124799</v>
      </c>
      <c r="Q16" s="61">
        <f t="shared" ref="Q16:Q82" si="3">L16-H16</f>
        <v>-76724313.030000001</v>
      </c>
    </row>
    <row r="17" spans="1:17" s="14" customFormat="1" ht="47.25" x14ac:dyDescent="0.25">
      <c r="A17" s="82" t="s">
        <v>62</v>
      </c>
      <c r="B17" s="82" t="s">
        <v>63</v>
      </c>
      <c r="C17" s="82" t="s">
        <v>64</v>
      </c>
      <c r="D17" s="83" t="s">
        <v>65</v>
      </c>
      <c r="E17" s="84">
        <v>15</v>
      </c>
      <c r="F17" s="73" t="s">
        <v>219</v>
      </c>
      <c r="G17" s="74" t="s">
        <v>170</v>
      </c>
      <c r="H17" s="75">
        <f>I17+J17</f>
        <v>49373480</v>
      </c>
      <c r="I17" s="75">
        <f>34002900+511600+5000000+65630+200210</f>
        <v>39780340</v>
      </c>
      <c r="J17" s="75">
        <v>9593140</v>
      </c>
      <c r="K17" s="75">
        <v>9593140</v>
      </c>
      <c r="L17" s="75">
        <f t="shared" ref="L17:L82" si="4">M17+N17</f>
        <v>15313174.76</v>
      </c>
      <c r="M17" s="75">
        <v>15313174.76</v>
      </c>
      <c r="N17" s="75"/>
      <c r="O17" s="75"/>
      <c r="P17" s="79">
        <f t="shared" si="2"/>
        <v>0.3101497962063845</v>
      </c>
      <c r="Q17" s="26">
        <f t="shared" si="3"/>
        <v>-34060305.240000002</v>
      </c>
    </row>
    <row r="18" spans="1:17" s="14" customFormat="1" ht="47.25" x14ac:dyDescent="0.25">
      <c r="A18" s="82" t="s">
        <v>66</v>
      </c>
      <c r="B18" s="82" t="s">
        <v>67</v>
      </c>
      <c r="C18" s="82" t="s">
        <v>68</v>
      </c>
      <c r="D18" s="83" t="s">
        <v>69</v>
      </c>
      <c r="E18" s="84">
        <v>15</v>
      </c>
      <c r="F18" s="73" t="s">
        <v>219</v>
      </c>
      <c r="G18" s="74" t="s">
        <v>170</v>
      </c>
      <c r="H18" s="75">
        <f t="shared" ref="H18:H34" si="5">I18+J18</f>
        <v>9663900</v>
      </c>
      <c r="I18" s="75">
        <v>8701800</v>
      </c>
      <c r="J18" s="75">
        <v>962100</v>
      </c>
      <c r="K18" s="75">
        <v>962100</v>
      </c>
      <c r="L18" s="75">
        <f t="shared" si="4"/>
        <v>3843544.29</v>
      </c>
      <c r="M18" s="75">
        <v>3843544.29</v>
      </c>
      <c r="N18" s="75"/>
      <c r="O18" s="75"/>
      <c r="P18" s="79">
        <f t="shared" si="2"/>
        <v>0.39772186073945304</v>
      </c>
      <c r="Q18" s="26">
        <f t="shared" si="3"/>
        <v>-5820355.71</v>
      </c>
    </row>
    <row r="19" spans="1:17" s="14" customFormat="1" ht="47.25" x14ac:dyDescent="0.25">
      <c r="A19" s="82" t="s">
        <v>368</v>
      </c>
      <c r="B19" s="74">
        <v>2111</v>
      </c>
      <c r="C19" s="74" t="s">
        <v>151</v>
      </c>
      <c r="D19" s="15" t="s">
        <v>152</v>
      </c>
      <c r="E19" s="47">
        <v>15</v>
      </c>
      <c r="F19" s="73" t="s">
        <v>219</v>
      </c>
      <c r="G19" s="74" t="s">
        <v>170</v>
      </c>
      <c r="H19" s="75">
        <f t="shared" si="5"/>
        <v>6476500</v>
      </c>
      <c r="I19" s="75">
        <f>4545400+68000+100000</f>
        <v>4713400</v>
      </c>
      <c r="J19" s="75">
        <f>1426100+192000+100000+45000</f>
        <v>1763100</v>
      </c>
      <c r="K19" s="75">
        <f>1426100+192000+100000+45000</f>
        <v>1763100</v>
      </c>
      <c r="L19" s="75">
        <f t="shared" si="4"/>
        <v>1479058.23</v>
      </c>
      <c r="M19" s="75">
        <v>1171228.33</v>
      </c>
      <c r="N19" s="75">
        <v>307829.90000000002</v>
      </c>
      <c r="O19" s="75">
        <v>307829.90000000002</v>
      </c>
      <c r="P19" s="79">
        <f t="shared" si="2"/>
        <v>0.22837307650737282</v>
      </c>
      <c r="Q19" s="26">
        <f t="shared" si="3"/>
        <v>-4997441.7699999996</v>
      </c>
    </row>
    <row r="20" spans="1:17" s="14" customFormat="1" ht="47.25" x14ac:dyDescent="0.25">
      <c r="A20" s="82" t="s">
        <v>70</v>
      </c>
      <c r="B20" s="82" t="s">
        <v>71</v>
      </c>
      <c r="C20" s="82" t="s">
        <v>72</v>
      </c>
      <c r="D20" s="85" t="s">
        <v>73</v>
      </c>
      <c r="E20" s="86">
        <v>15</v>
      </c>
      <c r="F20" s="73" t="s">
        <v>219</v>
      </c>
      <c r="G20" s="74" t="s">
        <v>170</v>
      </c>
      <c r="H20" s="75">
        <f t="shared" si="5"/>
        <v>10885900</v>
      </c>
      <c r="I20" s="75">
        <f>10835900-500000+550000</f>
        <v>10885900</v>
      </c>
      <c r="J20" s="75"/>
      <c r="K20" s="75"/>
      <c r="L20" s="75">
        <f t="shared" si="4"/>
        <v>5479369.0999999996</v>
      </c>
      <c r="M20" s="75">
        <v>5479369.0999999996</v>
      </c>
      <c r="N20" s="75"/>
      <c r="O20" s="75"/>
      <c r="P20" s="79">
        <f t="shared" si="2"/>
        <v>0.50334552953820999</v>
      </c>
      <c r="Q20" s="26">
        <f t="shared" si="3"/>
        <v>-5406530.9000000004</v>
      </c>
    </row>
    <row r="21" spans="1:17" s="14" customFormat="1" ht="63" x14ac:dyDescent="0.25">
      <c r="A21" s="82" t="s">
        <v>70</v>
      </c>
      <c r="B21" s="82" t="s">
        <v>71</v>
      </c>
      <c r="C21" s="82" t="s">
        <v>72</v>
      </c>
      <c r="D21" s="85" t="s">
        <v>73</v>
      </c>
      <c r="E21" s="87">
        <v>69</v>
      </c>
      <c r="F21" s="16" t="s">
        <v>255</v>
      </c>
      <c r="G21" s="74" t="s">
        <v>267</v>
      </c>
      <c r="H21" s="75">
        <f t="shared" si="5"/>
        <v>500000</v>
      </c>
      <c r="I21" s="75">
        <f>500000</f>
        <v>500000</v>
      </c>
      <c r="J21" s="75"/>
      <c r="K21" s="75"/>
      <c r="L21" s="75">
        <f t="shared" si="4"/>
        <v>478000</v>
      </c>
      <c r="M21" s="75">
        <v>478000</v>
      </c>
      <c r="N21" s="75"/>
      <c r="O21" s="75"/>
      <c r="P21" s="79">
        <f t="shared" si="2"/>
        <v>0.95599999999999996</v>
      </c>
      <c r="Q21" s="26">
        <f t="shared" si="3"/>
        <v>-22000</v>
      </c>
    </row>
    <row r="22" spans="1:17" s="14" customFormat="1" ht="47.25" x14ac:dyDescent="0.25">
      <c r="A22" s="82" t="s">
        <v>359</v>
      </c>
      <c r="B22" s="82" t="s">
        <v>360</v>
      </c>
      <c r="C22" s="88" t="s">
        <v>72</v>
      </c>
      <c r="D22" s="15" t="s">
        <v>361</v>
      </c>
      <c r="E22" s="87">
        <v>15</v>
      </c>
      <c r="F22" s="73" t="s">
        <v>219</v>
      </c>
      <c r="G22" s="74" t="s">
        <v>170</v>
      </c>
      <c r="H22" s="75">
        <f t="shared" ref="H22" si="6">I22+J22</f>
        <v>197300</v>
      </c>
      <c r="I22" s="75"/>
      <c r="J22" s="75">
        <v>197300</v>
      </c>
      <c r="K22" s="75">
        <v>197300</v>
      </c>
      <c r="L22" s="75">
        <f t="shared" ref="L22" si="7">M22+N22</f>
        <v>0</v>
      </c>
      <c r="M22" s="75"/>
      <c r="N22" s="75"/>
      <c r="O22" s="75"/>
      <c r="P22" s="79">
        <f t="shared" si="2"/>
        <v>0</v>
      </c>
      <c r="Q22" s="26">
        <f t="shared" ref="Q22" si="8">L22-H22</f>
        <v>-197300</v>
      </c>
    </row>
    <row r="23" spans="1:17" s="14" customFormat="1" ht="47.25" x14ac:dyDescent="0.25">
      <c r="A23" s="89" t="s">
        <v>77</v>
      </c>
      <c r="B23" s="82" t="s">
        <v>78</v>
      </c>
      <c r="C23" s="82" t="s">
        <v>79</v>
      </c>
      <c r="D23" s="90" t="s">
        <v>80</v>
      </c>
      <c r="E23" s="91">
        <v>14</v>
      </c>
      <c r="F23" s="16" t="s">
        <v>76</v>
      </c>
      <c r="G23" s="74" t="s">
        <v>172</v>
      </c>
      <c r="H23" s="70">
        <f t="shared" si="5"/>
        <v>4963600</v>
      </c>
      <c r="I23" s="75">
        <f>5000000-36400</f>
        <v>4963600</v>
      </c>
      <c r="J23" s="75"/>
      <c r="K23" s="75"/>
      <c r="L23" s="75">
        <f t="shared" si="4"/>
        <v>1923500</v>
      </c>
      <c r="M23" s="75">
        <v>1923500</v>
      </c>
      <c r="N23" s="75"/>
      <c r="O23" s="75"/>
      <c r="P23" s="79">
        <f t="shared" si="2"/>
        <v>0.38752115400112819</v>
      </c>
      <c r="Q23" s="26">
        <f t="shared" si="3"/>
        <v>-3040100</v>
      </c>
    </row>
    <row r="24" spans="1:17" s="14" customFormat="1" ht="63" x14ac:dyDescent="0.25">
      <c r="A24" s="89" t="s">
        <v>77</v>
      </c>
      <c r="B24" s="82" t="s">
        <v>78</v>
      </c>
      <c r="C24" s="82" t="s">
        <v>79</v>
      </c>
      <c r="D24" s="90" t="s">
        <v>80</v>
      </c>
      <c r="E24" s="92">
        <v>13</v>
      </c>
      <c r="F24" s="73" t="s">
        <v>93</v>
      </c>
      <c r="G24" s="74" t="s">
        <v>94</v>
      </c>
      <c r="H24" s="70">
        <f t="shared" ref="H24" si="9">I24+J24</f>
        <v>36400</v>
      </c>
      <c r="I24" s="75">
        <v>36400</v>
      </c>
      <c r="J24" s="75"/>
      <c r="K24" s="75"/>
      <c r="L24" s="75">
        <f t="shared" si="4"/>
        <v>36400</v>
      </c>
      <c r="M24" s="75">
        <v>36400</v>
      </c>
      <c r="N24" s="75"/>
      <c r="O24" s="75"/>
      <c r="P24" s="79">
        <f t="shared" si="2"/>
        <v>1</v>
      </c>
      <c r="Q24" s="26">
        <f t="shared" si="3"/>
        <v>0</v>
      </c>
    </row>
    <row r="25" spans="1:17" s="14" customFormat="1" ht="47.25" x14ac:dyDescent="0.25">
      <c r="A25" s="82" t="s">
        <v>250</v>
      </c>
      <c r="B25" s="82" t="s">
        <v>53</v>
      </c>
      <c r="C25" s="82" t="s">
        <v>20</v>
      </c>
      <c r="D25" s="90" t="s">
        <v>30</v>
      </c>
      <c r="E25" s="93">
        <v>68</v>
      </c>
      <c r="F25" s="23" t="s">
        <v>257</v>
      </c>
      <c r="G25" s="74" t="s">
        <v>308</v>
      </c>
      <c r="H25" s="70">
        <f>I25+J25</f>
        <v>13023900</v>
      </c>
      <c r="I25" s="75">
        <v>13023900</v>
      </c>
      <c r="J25" s="75"/>
      <c r="K25" s="75"/>
      <c r="L25" s="75">
        <f t="shared" si="4"/>
        <v>5156792.75</v>
      </c>
      <c r="M25" s="75">
        <f>2506095.4+1652311.15+998386.2</f>
        <v>5156792.75</v>
      </c>
      <c r="N25" s="75"/>
      <c r="O25" s="75"/>
      <c r="P25" s="79">
        <f t="shared" si="2"/>
        <v>0.39594842942590164</v>
      </c>
      <c r="Q25" s="26">
        <f t="shared" si="3"/>
        <v>-7867107.25</v>
      </c>
    </row>
    <row r="26" spans="1:17" s="69" customFormat="1" ht="47.25" x14ac:dyDescent="0.25">
      <c r="A26" s="88" t="s">
        <v>362</v>
      </c>
      <c r="B26" s="88" t="s">
        <v>363</v>
      </c>
      <c r="C26" s="88" t="s">
        <v>334</v>
      </c>
      <c r="D26" s="15" t="s">
        <v>364</v>
      </c>
      <c r="E26" s="93">
        <v>15</v>
      </c>
      <c r="F26" s="73" t="s">
        <v>219</v>
      </c>
      <c r="G26" s="74" t="s">
        <v>170</v>
      </c>
      <c r="H26" s="70">
        <f>I26+J26</f>
        <v>90000</v>
      </c>
      <c r="I26" s="75"/>
      <c r="J26" s="75">
        <v>90000</v>
      </c>
      <c r="K26" s="75">
        <v>90000</v>
      </c>
      <c r="L26" s="75">
        <f t="shared" ref="L26" si="10">M26+N26</f>
        <v>0</v>
      </c>
      <c r="M26" s="75"/>
      <c r="N26" s="75"/>
      <c r="O26" s="75"/>
      <c r="P26" s="79">
        <f t="shared" si="2"/>
        <v>0</v>
      </c>
      <c r="Q26" s="26">
        <f t="shared" ref="Q26" si="11">L26-H26</f>
        <v>-90000</v>
      </c>
    </row>
    <row r="27" spans="1:17" s="14" customFormat="1" ht="47.25" x14ac:dyDescent="0.25">
      <c r="A27" s="88" t="s">
        <v>332</v>
      </c>
      <c r="B27" s="88" t="s">
        <v>333</v>
      </c>
      <c r="C27" s="88" t="s">
        <v>334</v>
      </c>
      <c r="D27" s="15" t="s">
        <v>335</v>
      </c>
      <c r="E27" s="47">
        <v>73</v>
      </c>
      <c r="F27" s="73" t="s">
        <v>328</v>
      </c>
      <c r="G27" s="74" t="s">
        <v>331</v>
      </c>
      <c r="H27" s="70">
        <f t="shared" ref="H27:H28" si="12">I27+J27</f>
        <v>283400</v>
      </c>
      <c r="I27" s="75"/>
      <c r="J27" s="75">
        <f>340000-56600</f>
        <v>283400</v>
      </c>
      <c r="K27" s="75">
        <f>340000-56600</f>
        <v>283400</v>
      </c>
      <c r="L27" s="75">
        <f t="shared" si="4"/>
        <v>0</v>
      </c>
      <c r="M27" s="75"/>
      <c r="N27" s="75"/>
      <c r="O27" s="75"/>
      <c r="P27" s="79">
        <f t="shared" si="2"/>
        <v>0</v>
      </c>
      <c r="Q27" s="26">
        <f t="shared" si="3"/>
        <v>-283400</v>
      </c>
    </row>
    <row r="28" spans="1:17" s="14" customFormat="1" ht="47.25" x14ac:dyDescent="0.25">
      <c r="A28" s="88" t="s">
        <v>336</v>
      </c>
      <c r="B28" s="88" t="s">
        <v>337</v>
      </c>
      <c r="C28" s="88" t="s">
        <v>334</v>
      </c>
      <c r="D28" s="15" t="s">
        <v>338</v>
      </c>
      <c r="E28" s="47">
        <v>73</v>
      </c>
      <c r="F28" s="73" t="s">
        <v>328</v>
      </c>
      <c r="G28" s="74" t="s">
        <v>331</v>
      </c>
      <c r="H28" s="70">
        <f t="shared" si="12"/>
        <v>7000000</v>
      </c>
      <c r="I28" s="75"/>
      <c r="J28" s="75">
        <v>7000000</v>
      </c>
      <c r="K28" s="75">
        <v>7000000</v>
      </c>
      <c r="L28" s="75">
        <f t="shared" si="4"/>
        <v>0</v>
      </c>
      <c r="M28" s="75"/>
      <c r="N28" s="75"/>
      <c r="O28" s="75"/>
      <c r="P28" s="79">
        <f t="shared" si="2"/>
        <v>0</v>
      </c>
      <c r="Q28" s="26">
        <f t="shared" si="3"/>
        <v>-7000000</v>
      </c>
    </row>
    <row r="29" spans="1:17" s="14" customFormat="1" ht="47.25" x14ac:dyDescent="0.25">
      <c r="A29" s="89" t="s">
        <v>245</v>
      </c>
      <c r="B29" s="82" t="s">
        <v>229</v>
      </c>
      <c r="C29" s="82" t="s">
        <v>230</v>
      </c>
      <c r="D29" s="83" t="s">
        <v>260</v>
      </c>
      <c r="E29" s="84">
        <v>61</v>
      </c>
      <c r="F29" s="23" t="s">
        <v>259</v>
      </c>
      <c r="G29" s="74" t="s">
        <v>309</v>
      </c>
      <c r="H29" s="70">
        <f t="shared" si="5"/>
        <v>2612440</v>
      </c>
      <c r="I29" s="75">
        <f>1529300+39240+89300</f>
        <v>1657840</v>
      </c>
      <c r="J29" s="75">
        <v>954600</v>
      </c>
      <c r="K29" s="75">
        <v>954600</v>
      </c>
      <c r="L29" s="75">
        <f t="shared" si="4"/>
        <v>997771.91999999993</v>
      </c>
      <c r="M29" s="75">
        <v>463771.92</v>
      </c>
      <c r="N29" s="75">
        <v>534000</v>
      </c>
      <c r="O29" s="75">
        <v>534000</v>
      </c>
      <c r="P29" s="79">
        <f t="shared" si="2"/>
        <v>0.38193103765062542</v>
      </c>
      <c r="Q29" s="26">
        <f t="shared" si="3"/>
        <v>-1614668.08</v>
      </c>
    </row>
    <row r="30" spans="1:17" s="14" customFormat="1" ht="47.25" x14ac:dyDescent="0.25">
      <c r="A30" s="88" t="s">
        <v>262</v>
      </c>
      <c r="B30" s="88" t="s">
        <v>263</v>
      </c>
      <c r="C30" s="88" t="s">
        <v>264</v>
      </c>
      <c r="D30" s="15" t="s">
        <v>265</v>
      </c>
      <c r="E30" s="47">
        <v>15</v>
      </c>
      <c r="F30" s="73" t="s">
        <v>219</v>
      </c>
      <c r="G30" s="74" t="s">
        <v>170</v>
      </c>
      <c r="H30" s="70">
        <f t="shared" si="5"/>
        <v>1500000</v>
      </c>
      <c r="I30" s="75"/>
      <c r="J30" s="75">
        <f>1000000+500000</f>
        <v>1500000</v>
      </c>
      <c r="K30" s="75">
        <f>1000000+500000</f>
        <v>1500000</v>
      </c>
      <c r="L30" s="75">
        <f t="shared" si="4"/>
        <v>116613.84</v>
      </c>
      <c r="M30" s="75"/>
      <c r="N30" s="75">
        <v>116613.84</v>
      </c>
      <c r="O30" s="75">
        <v>116613.84</v>
      </c>
      <c r="P30" s="79">
        <f t="shared" si="2"/>
        <v>7.7742560000000002E-2</v>
      </c>
      <c r="Q30" s="26">
        <f t="shared" si="3"/>
        <v>-1383386.16</v>
      </c>
    </row>
    <row r="31" spans="1:17" s="14" customFormat="1" ht="47.25" x14ac:dyDescent="0.25">
      <c r="A31" s="89" t="s">
        <v>248</v>
      </c>
      <c r="B31" s="82" t="s">
        <v>249</v>
      </c>
      <c r="C31" s="82" t="s">
        <v>162</v>
      </c>
      <c r="D31" s="94" t="s">
        <v>163</v>
      </c>
      <c r="E31" s="47">
        <v>17</v>
      </c>
      <c r="F31" s="73" t="s">
        <v>153</v>
      </c>
      <c r="G31" s="74" t="s">
        <v>173</v>
      </c>
      <c r="H31" s="70">
        <f t="shared" si="5"/>
        <v>85000</v>
      </c>
      <c r="I31" s="75">
        <f>42000+13000+30000</f>
        <v>85000</v>
      </c>
      <c r="J31" s="75"/>
      <c r="K31" s="75"/>
      <c r="L31" s="75">
        <f t="shared" si="4"/>
        <v>34462.479999999996</v>
      </c>
      <c r="M31" s="75">
        <f>21886.43+12576.05</f>
        <v>34462.479999999996</v>
      </c>
      <c r="N31" s="75"/>
      <c r="O31" s="75"/>
      <c r="P31" s="79">
        <f t="shared" si="2"/>
        <v>0.40544094117647056</v>
      </c>
      <c r="Q31" s="26">
        <f t="shared" si="3"/>
        <v>-50537.520000000004</v>
      </c>
    </row>
    <row r="32" spans="1:17" s="14" customFormat="1" ht="126" x14ac:dyDescent="0.25">
      <c r="A32" s="88" t="s">
        <v>193</v>
      </c>
      <c r="B32" s="74">
        <v>8220</v>
      </c>
      <c r="C32" s="88" t="s">
        <v>83</v>
      </c>
      <c r="D32" s="15" t="s">
        <v>194</v>
      </c>
      <c r="E32" s="95">
        <v>18</v>
      </c>
      <c r="F32" s="17" t="s">
        <v>195</v>
      </c>
      <c r="G32" s="74" t="s">
        <v>196</v>
      </c>
      <c r="H32" s="75">
        <f t="shared" si="5"/>
        <v>2083400</v>
      </c>
      <c r="I32" s="75">
        <v>2083400</v>
      </c>
      <c r="J32" s="75"/>
      <c r="K32" s="75"/>
      <c r="L32" s="75">
        <f t="shared" si="4"/>
        <v>129600</v>
      </c>
      <c r="M32" s="75">
        <v>129600</v>
      </c>
      <c r="N32" s="75"/>
      <c r="O32" s="75"/>
      <c r="P32" s="79">
        <f t="shared" si="2"/>
        <v>6.2206009407698951E-2</v>
      </c>
      <c r="Q32" s="26">
        <f t="shared" si="3"/>
        <v>-1953800</v>
      </c>
    </row>
    <row r="33" spans="1:17" s="14" customFormat="1" ht="63" x14ac:dyDescent="0.25">
      <c r="A33" s="82" t="s">
        <v>81</v>
      </c>
      <c r="B33" s="82" t="s">
        <v>82</v>
      </c>
      <c r="C33" s="82" t="s">
        <v>83</v>
      </c>
      <c r="D33" s="90" t="s">
        <v>84</v>
      </c>
      <c r="E33" s="96">
        <v>36</v>
      </c>
      <c r="F33" s="17" t="s">
        <v>187</v>
      </c>
      <c r="G33" s="74" t="s">
        <v>199</v>
      </c>
      <c r="H33" s="75">
        <f>I33+J33</f>
        <v>3091000</v>
      </c>
      <c r="I33" s="75">
        <v>2270000</v>
      </c>
      <c r="J33" s="75">
        <v>821000</v>
      </c>
      <c r="K33" s="75">
        <v>821000</v>
      </c>
      <c r="L33" s="75">
        <f t="shared" si="4"/>
        <v>1565627</v>
      </c>
      <c r="M33" s="75">
        <v>1070777</v>
      </c>
      <c r="N33" s="75">
        <v>494850</v>
      </c>
      <c r="O33" s="75">
        <v>494850</v>
      </c>
      <c r="P33" s="79">
        <f t="shared" si="2"/>
        <v>0.50651148495632481</v>
      </c>
      <c r="Q33" s="26">
        <f t="shared" si="3"/>
        <v>-1525373</v>
      </c>
    </row>
    <row r="34" spans="1:17" s="14" customFormat="1" ht="78.75" x14ac:dyDescent="0.25">
      <c r="A34" s="82" t="s">
        <v>81</v>
      </c>
      <c r="B34" s="82" t="s">
        <v>82</v>
      </c>
      <c r="C34" s="82" t="s">
        <v>83</v>
      </c>
      <c r="D34" s="90" t="s">
        <v>84</v>
      </c>
      <c r="E34" s="96">
        <v>66</v>
      </c>
      <c r="F34" s="17" t="s">
        <v>258</v>
      </c>
      <c r="G34" s="74" t="s">
        <v>310</v>
      </c>
      <c r="H34" s="75">
        <f t="shared" si="5"/>
        <v>1181700</v>
      </c>
      <c r="I34" s="75">
        <v>1181700</v>
      </c>
      <c r="J34" s="75"/>
      <c r="K34" s="75"/>
      <c r="L34" s="75">
        <f t="shared" si="4"/>
        <v>1172270.6000000001</v>
      </c>
      <c r="M34" s="75">
        <v>1172270.6000000001</v>
      </c>
      <c r="N34" s="75"/>
      <c r="O34" s="75"/>
      <c r="P34" s="79">
        <f t="shared" si="2"/>
        <v>0.99202047897097412</v>
      </c>
      <c r="Q34" s="26">
        <f t="shared" si="3"/>
        <v>-9429.3999999999069</v>
      </c>
    </row>
    <row r="35" spans="1:17" s="14" customFormat="1" ht="78.75" x14ac:dyDescent="0.25">
      <c r="A35" s="82" t="s">
        <v>273</v>
      </c>
      <c r="B35" s="82" t="s">
        <v>155</v>
      </c>
      <c r="C35" s="88" t="s">
        <v>83</v>
      </c>
      <c r="D35" s="15" t="s">
        <v>156</v>
      </c>
      <c r="E35" s="95">
        <v>66</v>
      </c>
      <c r="F35" s="17" t="s">
        <v>258</v>
      </c>
      <c r="G35" s="74" t="s">
        <v>310</v>
      </c>
      <c r="H35" s="75">
        <f>I35+J35</f>
        <v>687000</v>
      </c>
      <c r="I35" s="75">
        <v>630300</v>
      </c>
      <c r="J35" s="75">
        <f>200500-22800-121000</f>
        <v>56700</v>
      </c>
      <c r="K35" s="75">
        <f>200500-22800-121000</f>
        <v>56700</v>
      </c>
      <c r="L35" s="75">
        <f t="shared" si="4"/>
        <v>184422</v>
      </c>
      <c r="M35" s="75">
        <v>127766.39999999999</v>
      </c>
      <c r="N35" s="75">
        <v>56655.6</v>
      </c>
      <c r="O35" s="75">
        <v>56655.6</v>
      </c>
      <c r="P35" s="79">
        <f t="shared" si="2"/>
        <v>0.26844541484716156</v>
      </c>
      <c r="Q35" s="26">
        <f t="shared" si="3"/>
        <v>-502578</v>
      </c>
    </row>
    <row r="36" spans="1:17" s="14" customFormat="1" ht="78.75" x14ac:dyDescent="0.25">
      <c r="A36" s="82" t="s">
        <v>85</v>
      </c>
      <c r="B36" s="82" t="s">
        <v>86</v>
      </c>
      <c r="C36" s="82" t="s">
        <v>87</v>
      </c>
      <c r="D36" s="90" t="s">
        <v>88</v>
      </c>
      <c r="E36" s="96">
        <v>56</v>
      </c>
      <c r="F36" s="17" t="s">
        <v>214</v>
      </c>
      <c r="G36" s="74" t="s">
        <v>311</v>
      </c>
      <c r="H36" s="75">
        <f>I36+J36</f>
        <v>900000</v>
      </c>
      <c r="I36" s="75"/>
      <c r="J36" s="75">
        <v>900000</v>
      </c>
      <c r="K36" s="75"/>
      <c r="L36" s="75">
        <f t="shared" si="4"/>
        <v>0</v>
      </c>
      <c r="M36" s="75"/>
      <c r="N36" s="75"/>
      <c r="O36" s="75"/>
      <c r="P36" s="79">
        <f t="shared" si="2"/>
        <v>0</v>
      </c>
      <c r="Q36" s="26">
        <f t="shared" si="3"/>
        <v>-900000</v>
      </c>
    </row>
    <row r="37" spans="1:17" s="19" customFormat="1" ht="15.75" x14ac:dyDescent="0.25">
      <c r="A37" s="18" t="s">
        <v>5</v>
      </c>
      <c r="B37" s="18"/>
      <c r="C37" s="18"/>
      <c r="D37" s="114" t="s">
        <v>200</v>
      </c>
      <c r="E37" s="115"/>
      <c r="F37" s="116"/>
      <c r="G37" s="77"/>
      <c r="H37" s="26">
        <f t="shared" ref="H37:O37" si="13">H38</f>
        <v>62060588</v>
      </c>
      <c r="I37" s="26">
        <f t="shared" si="13"/>
        <v>44445112</v>
      </c>
      <c r="J37" s="26">
        <f t="shared" si="13"/>
        <v>17615476</v>
      </c>
      <c r="K37" s="26">
        <f t="shared" si="13"/>
        <v>17615476</v>
      </c>
      <c r="L37" s="26">
        <f t="shared" si="13"/>
        <v>17830160.419999998</v>
      </c>
      <c r="M37" s="26">
        <f t="shared" si="13"/>
        <v>13705495.27</v>
      </c>
      <c r="N37" s="26">
        <f t="shared" si="13"/>
        <v>4124665.15</v>
      </c>
      <c r="O37" s="26">
        <f t="shared" si="13"/>
        <v>4124665.15</v>
      </c>
      <c r="P37" s="81">
        <f t="shared" si="2"/>
        <v>0.2873024731895869</v>
      </c>
      <c r="Q37" s="26">
        <f t="shared" si="3"/>
        <v>-44230427.579999998</v>
      </c>
    </row>
    <row r="38" spans="1:17" s="19" customFormat="1" ht="15.75" x14ac:dyDescent="0.25">
      <c r="A38" s="18" t="s">
        <v>6</v>
      </c>
      <c r="B38" s="18"/>
      <c r="C38" s="18"/>
      <c r="D38" s="114" t="s">
        <v>200</v>
      </c>
      <c r="E38" s="115"/>
      <c r="F38" s="116"/>
      <c r="G38" s="77"/>
      <c r="H38" s="26">
        <f>SUM(H39:H57)</f>
        <v>62060588</v>
      </c>
      <c r="I38" s="26">
        <f>SUM(I39:I57)</f>
        <v>44445112</v>
      </c>
      <c r="J38" s="26">
        <f>SUM(J39:J57)</f>
        <v>17615476</v>
      </c>
      <c r="K38" s="26">
        <f t="shared" ref="K38" si="14">SUM(K39:K57)</f>
        <v>17615476</v>
      </c>
      <c r="L38" s="26">
        <f>SUM(L39:L57)</f>
        <v>17830160.419999998</v>
      </c>
      <c r="M38" s="26">
        <f>SUM(M39:M57)</f>
        <v>13705495.27</v>
      </c>
      <c r="N38" s="26">
        <f>SUM(N39:N57)</f>
        <v>4124665.15</v>
      </c>
      <c r="O38" s="26">
        <f t="shared" ref="O38" si="15">SUM(O39:O57)</f>
        <v>4124665.15</v>
      </c>
      <c r="P38" s="81">
        <f t="shared" si="2"/>
        <v>0.2873024731895869</v>
      </c>
      <c r="Q38" s="26">
        <f t="shared" si="3"/>
        <v>-44230427.579999998</v>
      </c>
    </row>
    <row r="39" spans="1:17" s="14" customFormat="1" ht="63" x14ac:dyDescent="0.25">
      <c r="A39" s="82" t="s">
        <v>7</v>
      </c>
      <c r="B39" s="82" t="s">
        <v>29</v>
      </c>
      <c r="C39" s="82" t="s">
        <v>15</v>
      </c>
      <c r="D39" s="83" t="s">
        <v>8</v>
      </c>
      <c r="E39" s="84">
        <v>13</v>
      </c>
      <c r="F39" s="73" t="s">
        <v>93</v>
      </c>
      <c r="G39" s="66" t="s">
        <v>180</v>
      </c>
      <c r="H39" s="75">
        <f t="shared" ref="H39:H52" si="16">I39+J39</f>
        <v>455000</v>
      </c>
      <c r="I39" s="75">
        <v>455000</v>
      </c>
      <c r="J39" s="75"/>
      <c r="K39" s="75"/>
      <c r="L39" s="75">
        <f t="shared" si="4"/>
        <v>352632</v>
      </c>
      <c r="M39" s="75">
        <v>352632</v>
      </c>
      <c r="N39" s="75"/>
      <c r="O39" s="75"/>
      <c r="P39" s="79">
        <f t="shared" si="2"/>
        <v>0.77501538461538466</v>
      </c>
      <c r="Q39" s="26">
        <f t="shared" si="3"/>
        <v>-102368</v>
      </c>
    </row>
    <row r="40" spans="1:17" s="14" customFormat="1" ht="47.25" x14ac:dyDescent="0.25">
      <c r="A40" s="82" t="s">
        <v>7</v>
      </c>
      <c r="B40" s="82" t="s">
        <v>29</v>
      </c>
      <c r="C40" s="82" t="s">
        <v>15</v>
      </c>
      <c r="D40" s="83" t="s">
        <v>8</v>
      </c>
      <c r="E40" s="84">
        <v>16</v>
      </c>
      <c r="F40" s="73" t="s">
        <v>121</v>
      </c>
      <c r="G40" s="74" t="s">
        <v>174</v>
      </c>
      <c r="H40" s="75">
        <f t="shared" si="16"/>
        <v>5590537</v>
      </c>
      <c r="I40" s="75">
        <f>3240500</f>
        <v>3240500</v>
      </c>
      <c r="J40" s="75">
        <f>1073037+700000+500000+77000</f>
        <v>2350037</v>
      </c>
      <c r="K40" s="75">
        <f>1073037+700000+500000+77000</f>
        <v>2350037</v>
      </c>
      <c r="L40" s="75">
        <f t="shared" si="4"/>
        <v>1485800</v>
      </c>
      <c r="M40" s="75">
        <v>1485800</v>
      </c>
      <c r="N40" s="75"/>
      <c r="O40" s="75"/>
      <c r="P40" s="79">
        <f t="shared" si="2"/>
        <v>0.26577053331370493</v>
      </c>
      <c r="Q40" s="26">
        <f t="shared" si="3"/>
        <v>-4104737</v>
      </c>
    </row>
    <row r="41" spans="1:17" s="14" customFormat="1" ht="47.25" x14ac:dyDescent="0.25">
      <c r="A41" s="82" t="s">
        <v>58</v>
      </c>
      <c r="B41" s="82" t="s">
        <v>59</v>
      </c>
      <c r="C41" s="82" t="s">
        <v>44</v>
      </c>
      <c r="D41" s="90" t="s">
        <v>57</v>
      </c>
      <c r="E41" s="93">
        <v>16</v>
      </c>
      <c r="F41" s="73" t="s">
        <v>121</v>
      </c>
      <c r="G41" s="74" t="s">
        <v>174</v>
      </c>
      <c r="H41" s="75">
        <f>I41+J41</f>
        <v>28754962</v>
      </c>
      <c r="I41" s="75">
        <f>133000+100000+126700+500000+170000+20800000+652500+6788200+800000-4277688+100000</f>
        <v>25892712</v>
      </c>
      <c r="J41" s="75">
        <f>1800000+800000-200000-546750+600000+400000+9000</f>
        <v>2862250</v>
      </c>
      <c r="K41" s="75">
        <f>1800000+800000-200000-546750+600000+400000+9000</f>
        <v>2862250</v>
      </c>
      <c r="L41" s="75">
        <f t="shared" si="4"/>
        <v>6290375.5199999996</v>
      </c>
      <c r="M41" s="75">
        <f>6092368.52+179240+18767</f>
        <v>6290375.5199999996</v>
      </c>
      <c r="N41" s="75"/>
      <c r="O41" s="75"/>
      <c r="P41" s="79">
        <f t="shared" si="2"/>
        <v>0.21875791454706145</v>
      </c>
      <c r="Q41" s="26">
        <f t="shared" si="3"/>
        <v>-22464586.48</v>
      </c>
    </row>
    <row r="42" spans="1:17" s="14" customFormat="1" ht="47.25" x14ac:dyDescent="0.25">
      <c r="A42" s="82" t="s">
        <v>58</v>
      </c>
      <c r="B42" s="82" t="s">
        <v>59</v>
      </c>
      <c r="C42" s="82" t="s">
        <v>44</v>
      </c>
      <c r="D42" s="90" t="s">
        <v>57</v>
      </c>
      <c r="E42" s="93">
        <v>23</v>
      </c>
      <c r="F42" s="73" t="s">
        <v>157</v>
      </c>
      <c r="G42" s="74" t="s">
        <v>158</v>
      </c>
      <c r="H42" s="75">
        <f t="shared" si="16"/>
        <v>200000</v>
      </c>
      <c r="I42" s="75">
        <v>200000</v>
      </c>
      <c r="J42" s="75"/>
      <c r="K42" s="75"/>
      <c r="L42" s="75">
        <f t="shared" si="4"/>
        <v>0</v>
      </c>
      <c r="M42" s="75"/>
      <c r="N42" s="75"/>
      <c r="O42" s="75"/>
      <c r="P42" s="79">
        <f t="shared" si="2"/>
        <v>0</v>
      </c>
      <c r="Q42" s="26">
        <f t="shared" si="3"/>
        <v>-200000</v>
      </c>
    </row>
    <row r="43" spans="1:17" s="14" customFormat="1" ht="63" x14ac:dyDescent="0.25">
      <c r="A43" s="82" t="s">
        <v>58</v>
      </c>
      <c r="B43" s="82" t="s">
        <v>59</v>
      </c>
      <c r="C43" s="82" t="s">
        <v>44</v>
      </c>
      <c r="D43" s="90" t="s">
        <v>57</v>
      </c>
      <c r="E43" s="93">
        <v>32</v>
      </c>
      <c r="F43" s="73" t="s">
        <v>184</v>
      </c>
      <c r="G43" s="74" t="s">
        <v>183</v>
      </c>
      <c r="H43" s="75">
        <f t="shared" si="16"/>
        <v>15000</v>
      </c>
      <c r="I43" s="75">
        <v>15000</v>
      </c>
      <c r="J43" s="75"/>
      <c r="K43" s="75"/>
      <c r="L43" s="75">
        <f t="shared" si="4"/>
        <v>0</v>
      </c>
      <c r="M43" s="75"/>
      <c r="N43" s="75"/>
      <c r="O43" s="75"/>
      <c r="P43" s="79">
        <f t="shared" si="2"/>
        <v>0</v>
      </c>
      <c r="Q43" s="26">
        <f t="shared" si="3"/>
        <v>-15000</v>
      </c>
    </row>
    <row r="44" spans="1:17" s="14" customFormat="1" ht="63" x14ac:dyDescent="0.25">
      <c r="A44" s="82" t="s">
        <v>122</v>
      </c>
      <c r="B44" s="82" t="s">
        <v>123</v>
      </c>
      <c r="C44" s="82" t="s">
        <v>124</v>
      </c>
      <c r="D44" s="90" t="s">
        <v>125</v>
      </c>
      <c r="E44" s="93">
        <v>16</v>
      </c>
      <c r="F44" s="73" t="s">
        <v>121</v>
      </c>
      <c r="G44" s="74" t="s">
        <v>174</v>
      </c>
      <c r="H44" s="75">
        <f>I44+J44</f>
        <v>2846500</v>
      </c>
      <c r="I44" s="75">
        <f>2000000+837400</f>
        <v>2837400</v>
      </c>
      <c r="J44" s="75">
        <v>9100</v>
      </c>
      <c r="K44" s="75">
        <v>9100</v>
      </c>
      <c r="L44" s="75">
        <f t="shared" si="4"/>
        <v>763320.59</v>
      </c>
      <c r="M44" s="75">
        <v>763320.59</v>
      </c>
      <c r="N44" s="75"/>
      <c r="O44" s="75"/>
      <c r="P44" s="79">
        <f t="shared" si="2"/>
        <v>0.26816110662216758</v>
      </c>
      <c r="Q44" s="26">
        <f t="shared" si="3"/>
        <v>-2083179.4100000001</v>
      </c>
    </row>
    <row r="45" spans="1:17" s="14" customFormat="1" ht="47.25" x14ac:dyDescent="0.25">
      <c r="A45" s="82" t="s">
        <v>315</v>
      </c>
      <c r="B45" s="82" t="s">
        <v>126</v>
      </c>
      <c r="C45" s="74" t="s">
        <v>217</v>
      </c>
      <c r="D45" s="15" t="s">
        <v>316</v>
      </c>
      <c r="E45" s="93">
        <v>16</v>
      </c>
      <c r="F45" s="73" t="s">
        <v>121</v>
      </c>
      <c r="G45" s="74" t="s">
        <v>174</v>
      </c>
      <c r="H45" s="75">
        <f>I45+J45</f>
        <v>797500</v>
      </c>
      <c r="I45" s="75">
        <v>793500</v>
      </c>
      <c r="J45" s="75">
        <v>4000</v>
      </c>
      <c r="K45" s="75">
        <v>4000</v>
      </c>
      <c r="L45" s="75">
        <f t="shared" si="4"/>
        <v>291200</v>
      </c>
      <c r="M45" s="75">
        <v>291200</v>
      </c>
      <c r="N45" s="75"/>
      <c r="O45" s="75"/>
      <c r="P45" s="79">
        <f t="shared" si="2"/>
        <v>0.36514106583072098</v>
      </c>
      <c r="Q45" s="26">
        <f t="shared" si="3"/>
        <v>-506300</v>
      </c>
    </row>
    <row r="46" spans="1:17" s="14" customFormat="1" ht="47.25" x14ac:dyDescent="0.25">
      <c r="A46" s="74" t="s">
        <v>317</v>
      </c>
      <c r="B46" s="74" t="s">
        <v>318</v>
      </c>
      <c r="C46" s="74" t="s">
        <v>276</v>
      </c>
      <c r="D46" s="15" t="s">
        <v>319</v>
      </c>
      <c r="E46" s="93">
        <v>16</v>
      </c>
      <c r="F46" s="73" t="s">
        <v>121</v>
      </c>
      <c r="G46" s="74" t="s">
        <v>174</v>
      </c>
      <c r="H46" s="75">
        <f t="shared" ref="H46:H47" si="17">I46+J46</f>
        <v>100000</v>
      </c>
      <c r="I46" s="75">
        <v>100000</v>
      </c>
      <c r="J46" s="75"/>
      <c r="K46" s="75"/>
      <c r="L46" s="75">
        <f t="shared" si="4"/>
        <v>30300</v>
      </c>
      <c r="M46" s="75">
        <v>30300</v>
      </c>
      <c r="N46" s="75"/>
      <c r="O46" s="75"/>
      <c r="P46" s="79">
        <f t="shared" si="2"/>
        <v>0.30299999999999999</v>
      </c>
      <c r="Q46" s="26">
        <f t="shared" si="3"/>
        <v>-69700</v>
      </c>
    </row>
    <row r="47" spans="1:17" s="14" customFormat="1" ht="47.25" x14ac:dyDescent="0.25">
      <c r="A47" s="74" t="s">
        <v>320</v>
      </c>
      <c r="B47" s="74" t="s">
        <v>321</v>
      </c>
      <c r="C47" s="74" t="s">
        <v>276</v>
      </c>
      <c r="D47" s="15" t="s">
        <v>322</v>
      </c>
      <c r="E47" s="93">
        <v>16</v>
      </c>
      <c r="F47" s="73" t="s">
        <v>121</v>
      </c>
      <c r="G47" s="74" t="s">
        <v>174</v>
      </c>
      <c r="H47" s="75">
        <f t="shared" si="17"/>
        <v>145600</v>
      </c>
      <c r="I47" s="75">
        <v>145600</v>
      </c>
      <c r="J47" s="75"/>
      <c r="K47" s="75"/>
      <c r="L47" s="75">
        <f t="shared" si="4"/>
        <v>63600</v>
      </c>
      <c r="M47" s="75">
        <v>63600</v>
      </c>
      <c r="N47" s="75"/>
      <c r="O47" s="75"/>
      <c r="P47" s="79">
        <f t="shared" si="2"/>
        <v>0.43681318681318682</v>
      </c>
      <c r="Q47" s="26">
        <f t="shared" si="3"/>
        <v>-82000</v>
      </c>
    </row>
    <row r="48" spans="1:17" s="14" customFormat="1" ht="78.75" x14ac:dyDescent="0.25">
      <c r="A48" s="82" t="s">
        <v>274</v>
      </c>
      <c r="B48" s="88" t="s">
        <v>275</v>
      </c>
      <c r="C48" s="88" t="s">
        <v>276</v>
      </c>
      <c r="D48" s="15" t="s">
        <v>277</v>
      </c>
      <c r="E48" s="47">
        <v>16</v>
      </c>
      <c r="F48" s="73" t="s">
        <v>121</v>
      </c>
      <c r="G48" s="74" t="s">
        <v>174</v>
      </c>
      <c r="H48" s="75">
        <f>I48+J48</f>
        <v>1304329</v>
      </c>
      <c r="I48" s="75"/>
      <c r="J48" s="75">
        <v>1304329</v>
      </c>
      <c r="K48" s="75">
        <v>1304329</v>
      </c>
      <c r="L48" s="75">
        <f t="shared" si="4"/>
        <v>1275000</v>
      </c>
      <c r="M48" s="75"/>
      <c r="N48" s="75">
        <v>1275000</v>
      </c>
      <c r="O48" s="75">
        <v>1275000</v>
      </c>
      <c r="P48" s="79">
        <f t="shared" si="2"/>
        <v>0.9775141087869702</v>
      </c>
      <c r="Q48" s="26">
        <f t="shared" si="3"/>
        <v>-29329</v>
      </c>
    </row>
    <row r="49" spans="1:17" s="14" customFormat="1" ht="135.75" customHeight="1" x14ac:dyDescent="0.25">
      <c r="A49" s="88" t="s">
        <v>344</v>
      </c>
      <c r="B49" s="88" t="s">
        <v>345</v>
      </c>
      <c r="C49" s="88" t="s">
        <v>276</v>
      </c>
      <c r="D49" s="15" t="s">
        <v>346</v>
      </c>
      <c r="E49" s="47">
        <v>16</v>
      </c>
      <c r="F49" s="73" t="s">
        <v>121</v>
      </c>
      <c r="G49" s="74" t="s">
        <v>174</v>
      </c>
      <c r="H49" s="75">
        <f>I49+J49</f>
        <v>50000</v>
      </c>
      <c r="I49" s="75"/>
      <c r="J49" s="75">
        <v>50000</v>
      </c>
      <c r="K49" s="75">
        <v>50000</v>
      </c>
      <c r="L49" s="75">
        <f t="shared" si="4"/>
        <v>0</v>
      </c>
      <c r="M49" s="75"/>
      <c r="N49" s="75"/>
      <c r="O49" s="75"/>
      <c r="P49" s="79">
        <f t="shared" si="2"/>
        <v>0</v>
      </c>
      <c r="Q49" s="26">
        <f t="shared" si="3"/>
        <v>-50000</v>
      </c>
    </row>
    <row r="50" spans="1:17" s="72" customFormat="1" ht="135.75" customHeight="1" x14ac:dyDescent="0.25">
      <c r="A50" s="88" t="s">
        <v>365</v>
      </c>
      <c r="B50" s="88" t="s">
        <v>366</v>
      </c>
      <c r="C50" s="88" t="s">
        <v>276</v>
      </c>
      <c r="D50" s="15" t="s">
        <v>367</v>
      </c>
      <c r="E50" s="47">
        <v>16</v>
      </c>
      <c r="F50" s="73" t="s">
        <v>121</v>
      </c>
      <c r="G50" s="74" t="s">
        <v>174</v>
      </c>
      <c r="H50" s="75">
        <f>I50+J50</f>
        <v>1500000</v>
      </c>
      <c r="I50" s="75"/>
      <c r="J50" s="75">
        <v>1500000</v>
      </c>
      <c r="K50" s="75">
        <v>1500000</v>
      </c>
      <c r="L50" s="75">
        <f t="shared" ref="L50" si="18">M50+N50</f>
        <v>0</v>
      </c>
      <c r="M50" s="75"/>
      <c r="N50" s="75"/>
      <c r="O50" s="75"/>
      <c r="P50" s="79">
        <f t="shared" si="2"/>
        <v>0</v>
      </c>
      <c r="Q50" s="26">
        <f t="shared" ref="Q50" si="19">L50-H50</f>
        <v>-1500000</v>
      </c>
    </row>
    <row r="51" spans="1:17" s="14" customFormat="1" ht="47.25" x14ac:dyDescent="0.25">
      <c r="A51" s="88" t="s">
        <v>349</v>
      </c>
      <c r="B51" s="88" t="s">
        <v>350</v>
      </c>
      <c r="C51" s="88" t="s">
        <v>276</v>
      </c>
      <c r="D51" s="15" t="s">
        <v>351</v>
      </c>
      <c r="E51" s="47">
        <v>17</v>
      </c>
      <c r="F51" s="73" t="s">
        <v>153</v>
      </c>
      <c r="G51" s="74" t="s">
        <v>173</v>
      </c>
      <c r="H51" s="75">
        <f>I51+J51</f>
        <v>1400000</v>
      </c>
      <c r="I51" s="75"/>
      <c r="J51" s="75">
        <v>1400000</v>
      </c>
      <c r="K51" s="75">
        <v>1400000</v>
      </c>
      <c r="L51" s="75">
        <f t="shared" si="4"/>
        <v>0</v>
      </c>
      <c r="M51" s="75"/>
      <c r="N51" s="75"/>
      <c r="O51" s="75"/>
      <c r="P51" s="79">
        <f t="shared" si="2"/>
        <v>0</v>
      </c>
      <c r="Q51" s="26">
        <f t="shared" si="3"/>
        <v>-1400000</v>
      </c>
    </row>
    <row r="52" spans="1:17" s="14" customFormat="1" ht="72.75" customHeight="1" x14ac:dyDescent="0.25">
      <c r="A52" s="82" t="s">
        <v>181</v>
      </c>
      <c r="B52" s="82" t="s">
        <v>26</v>
      </c>
      <c r="C52" s="82" t="s">
        <v>27</v>
      </c>
      <c r="D52" s="97" t="s">
        <v>16</v>
      </c>
      <c r="E52" s="84">
        <v>25</v>
      </c>
      <c r="F52" s="73" t="s">
        <v>182</v>
      </c>
      <c r="G52" s="74" t="s">
        <v>206</v>
      </c>
      <c r="H52" s="75">
        <f t="shared" si="16"/>
        <v>4138400</v>
      </c>
      <c r="I52" s="75">
        <f>4638400-500000</f>
        <v>4138400</v>
      </c>
      <c r="J52" s="75"/>
      <c r="K52" s="75"/>
      <c r="L52" s="75">
        <f t="shared" si="4"/>
        <v>2123582.04</v>
      </c>
      <c r="M52" s="75">
        <v>2123582.04</v>
      </c>
      <c r="N52" s="75"/>
      <c r="O52" s="75"/>
      <c r="P52" s="79">
        <f t="shared" si="2"/>
        <v>0.51314083703846902</v>
      </c>
      <c r="Q52" s="26">
        <f t="shared" si="3"/>
        <v>-2014817.96</v>
      </c>
    </row>
    <row r="53" spans="1:17" s="24" customFormat="1" ht="47.25" x14ac:dyDescent="0.25">
      <c r="A53" s="88" t="s">
        <v>24</v>
      </c>
      <c r="B53" s="74">
        <v>3242</v>
      </c>
      <c r="C53" s="74">
        <v>1090</v>
      </c>
      <c r="D53" s="73" t="s">
        <v>14</v>
      </c>
      <c r="E53" s="74">
        <v>1</v>
      </c>
      <c r="F53" s="73" t="s">
        <v>28</v>
      </c>
      <c r="G53" s="74" t="s">
        <v>176</v>
      </c>
      <c r="H53" s="75">
        <f t="shared" ref="H53:H57" si="20">I53+J53</f>
        <v>300000</v>
      </c>
      <c r="I53" s="75">
        <v>300000</v>
      </c>
      <c r="J53" s="75"/>
      <c r="K53" s="75"/>
      <c r="L53" s="75">
        <f t="shared" si="4"/>
        <v>145600</v>
      </c>
      <c r="M53" s="75">
        <v>145600</v>
      </c>
      <c r="N53" s="75"/>
      <c r="O53" s="75"/>
      <c r="P53" s="79">
        <f t="shared" si="2"/>
        <v>0.48533333333333334</v>
      </c>
      <c r="Q53" s="26">
        <f t="shared" si="3"/>
        <v>-154400</v>
      </c>
    </row>
    <row r="54" spans="1:17" s="24" customFormat="1" ht="47.25" x14ac:dyDescent="0.25">
      <c r="A54" s="88" t="s">
        <v>24</v>
      </c>
      <c r="B54" s="74">
        <v>3242</v>
      </c>
      <c r="C54" s="74">
        <v>1090</v>
      </c>
      <c r="D54" s="73" t="s">
        <v>14</v>
      </c>
      <c r="E54" s="74">
        <v>14</v>
      </c>
      <c r="F54" s="73" t="s">
        <v>76</v>
      </c>
      <c r="G54" s="74" t="s">
        <v>172</v>
      </c>
      <c r="H54" s="75">
        <f t="shared" si="20"/>
        <v>3801000</v>
      </c>
      <c r="I54" s="75">
        <v>3801000</v>
      </c>
      <c r="J54" s="75"/>
      <c r="K54" s="75"/>
      <c r="L54" s="75">
        <f t="shared" si="4"/>
        <v>1831209.12</v>
      </c>
      <c r="M54" s="75">
        <v>1831209.12</v>
      </c>
      <c r="N54" s="75"/>
      <c r="O54" s="75"/>
      <c r="P54" s="79">
        <f t="shared" si="2"/>
        <v>0.48177035516969219</v>
      </c>
      <c r="Q54" s="26">
        <f t="shared" si="3"/>
        <v>-1969790.88</v>
      </c>
    </row>
    <row r="55" spans="1:17" s="24" customFormat="1" ht="47.25" x14ac:dyDescent="0.25">
      <c r="A55" s="74" t="s">
        <v>323</v>
      </c>
      <c r="B55" s="74" t="s">
        <v>324</v>
      </c>
      <c r="C55" s="74" t="s">
        <v>37</v>
      </c>
      <c r="D55" s="15" t="s">
        <v>325</v>
      </c>
      <c r="E55" s="93">
        <v>16</v>
      </c>
      <c r="F55" s="73" t="s">
        <v>121</v>
      </c>
      <c r="G55" s="74" t="s">
        <v>174</v>
      </c>
      <c r="H55" s="75">
        <f t="shared" si="20"/>
        <v>783000</v>
      </c>
      <c r="I55" s="75">
        <v>473000</v>
      </c>
      <c r="J55" s="75">
        <v>310000</v>
      </c>
      <c r="K55" s="75">
        <v>310000</v>
      </c>
      <c r="L55" s="75">
        <f t="shared" si="4"/>
        <v>424570</v>
      </c>
      <c r="M55" s="75">
        <v>120300</v>
      </c>
      <c r="N55" s="75">
        <v>304270</v>
      </c>
      <c r="O55" s="75">
        <v>304270</v>
      </c>
      <c r="P55" s="79">
        <f t="shared" si="2"/>
        <v>0.54223499361430394</v>
      </c>
      <c r="Q55" s="26">
        <f t="shared" si="3"/>
        <v>-358430</v>
      </c>
    </row>
    <row r="56" spans="1:17" s="24" customFormat="1" ht="47.25" x14ac:dyDescent="0.25">
      <c r="A56" s="89" t="s">
        <v>246</v>
      </c>
      <c r="B56" s="82" t="s">
        <v>229</v>
      </c>
      <c r="C56" s="82" t="s">
        <v>230</v>
      </c>
      <c r="D56" s="83" t="s">
        <v>260</v>
      </c>
      <c r="E56" s="84">
        <v>61</v>
      </c>
      <c r="F56" s="23" t="s">
        <v>259</v>
      </c>
      <c r="G56" s="74" t="s">
        <v>309</v>
      </c>
      <c r="H56" s="75">
        <f t="shared" si="20"/>
        <v>1273000</v>
      </c>
      <c r="I56" s="75">
        <v>1273000</v>
      </c>
      <c r="J56" s="75"/>
      <c r="K56" s="75"/>
      <c r="L56" s="75">
        <f t="shared" si="4"/>
        <v>207576</v>
      </c>
      <c r="M56" s="75">
        <v>207576</v>
      </c>
      <c r="N56" s="75"/>
      <c r="O56" s="75"/>
      <c r="P56" s="79">
        <f t="shared" si="2"/>
        <v>0.16306048703849174</v>
      </c>
      <c r="Q56" s="26">
        <f t="shared" si="3"/>
        <v>-1065424</v>
      </c>
    </row>
    <row r="57" spans="1:17" s="24" customFormat="1" ht="47.25" x14ac:dyDescent="0.25">
      <c r="A57" s="89" t="s">
        <v>251</v>
      </c>
      <c r="B57" s="82" t="s">
        <v>249</v>
      </c>
      <c r="C57" s="82" t="s">
        <v>162</v>
      </c>
      <c r="D57" s="94" t="s">
        <v>163</v>
      </c>
      <c r="E57" s="47">
        <v>17</v>
      </c>
      <c r="F57" s="73" t="s">
        <v>153</v>
      </c>
      <c r="G57" s="74" t="s">
        <v>173</v>
      </c>
      <c r="H57" s="75">
        <f t="shared" si="20"/>
        <v>8605760</v>
      </c>
      <c r="I57" s="75">
        <v>780000</v>
      </c>
      <c r="J57" s="75">
        <f>200000+6894650+200000-37590-211300+780000</f>
        <v>7825760</v>
      </c>
      <c r="K57" s="75">
        <f>200000+6894650+200000-37590-211300+780000</f>
        <v>7825760</v>
      </c>
      <c r="L57" s="75">
        <f t="shared" si="4"/>
        <v>2545395.15</v>
      </c>
      <c r="M57" s="75"/>
      <c r="N57" s="75">
        <v>2545395.15</v>
      </c>
      <c r="O57" s="75">
        <v>2545395.15</v>
      </c>
      <c r="P57" s="79">
        <f t="shared" si="2"/>
        <v>0.29577807770609449</v>
      </c>
      <c r="Q57" s="26">
        <f t="shared" si="3"/>
        <v>-6060364.8499999996</v>
      </c>
    </row>
    <row r="58" spans="1:17" s="32" customFormat="1" ht="15.75" x14ac:dyDescent="0.25">
      <c r="A58" s="18" t="s">
        <v>17</v>
      </c>
      <c r="B58" s="18"/>
      <c r="C58" s="18"/>
      <c r="D58" s="114" t="s">
        <v>146</v>
      </c>
      <c r="E58" s="115"/>
      <c r="F58" s="116"/>
      <c r="G58" s="77"/>
      <c r="H58" s="26">
        <f>H59</f>
        <v>68752225</v>
      </c>
      <c r="I58" s="26">
        <f>I59</f>
        <v>67760600</v>
      </c>
      <c r="J58" s="26">
        <f t="shared" ref="J58:K58" si="21">J59</f>
        <v>991625</v>
      </c>
      <c r="K58" s="26">
        <f t="shared" si="21"/>
        <v>991625</v>
      </c>
      <c r="L58" s="26">
        <f>L59</f>
        <v>25733622.630000003</v>
      </c>
      <c r="M58" s="26">
        <f>M59</f>
        <v>25598826.440000001</v>
      </c>
      <c r="N58" s="26">
        <f t="shared" ref="N58:O58" si="22">N59</f>
        <v>134796.19</v>
      </c>
      <c r="O58" s="26">
        <f t="shared" si="22"/>
        <v>134796.19</v>
      </c>
      <c r="P58" s="81">
        <f t="shared" si="2"/>
        <v>0.37429512470323689</v>
      </c>
      <c r="Q58" s="26">
        <f t="shared" si="3"/>
        <v>-43018602.369999997</v>
      </c>
    </row>
    <row r="59" spans="1:17" s="32" customFormat="1" ht="15.75" x14ac:dyDescent="0.25">
      <c r="A59" s="18" t="s">
        <v>18</v>
      </c>
      <c r="B59" s="18"/>
      <c r="C59" s="18"/>
      <c r="D59" s="114" t="s">
        <v>146</v>
      </c>
      <c r="E59" s="115"/>
      <c r="F59" s="116"/>
      <c r="G59" s="77"/>
      <c r="H59" s="26">
        <f t="shared" ref="H59:O59" si="23">SUM(H60:H74)</f>
        <v>68752225</v>
      </c>
      <c r="I59" s="26">
        <f t="shared" si="23"/>
        <v>67760600</v>
      </c>
      <c r="J59" s="26">
        <f t="shared" si="23"/>
        <v>991625</v>
      </c>
      <c r="K59" s="26">
        <f t="shared" si="23"/>
        <v>991625</v>
      </c>
      <c r="L59" s="26">
        <f t="shared" si="23"/>
        <v>25733622.630000003</v>
      </c>
      <c r="M59" s="26">
        <f t="shared" si="23"/>
        <v>25598826.440000001</v>
      </c>
      <c r="N59" s="26">
        <f t="shared" si="23"/>
        <v>134796.19</v>
      </c>
      <c r="O59" s="26">
        <f t="shared" si="23"/>
        <v>134796.19</v>
      </c>
      <c r="P59" s="81">
        <f t="shared" si="2"/>
        <v>0.37429512470323689</v>
      </c>
      <c r="Q59" s="26">
        <f t="shared" si="3"/>
        <v>-43018602.369999997</v>
      </c>
    </row>
    <row r="60" spans="1:17" s="31" customFormat="1" ht="63" x14ac:dyDescent="0.25">
      <c r="A60" s="82" t="s">
        <v>89</v>
      </c>
      <c r="B60" s="82" t="s">
        <v>90</v>
      </c>
      <c r="C60" s="82" t="s">
        <v>91</v>
      </c>
      <c r="D60" s="98" t="s">
        <v>92</v>
      </c>
      <c r="E60" s="92">
        <v>13</v>
      </c>
      <c r="F60" s="73" t="s">
        <v>93</v>
      </c>
      <c r="G60" s="74" t="s">
        <v>94</v>
      </c>
      <c r="H60" s="75">
        <f>I60+J60</f>
        <v>3153000</v>
      </c>
      <c r="I60" s="75">
        <v>3153000</v>
      </c>
      <c r="J60" s="75"/>
      <c r="K60" s="75"/>
      <c r="L60" s="75">
        <f t="shared" si="4"/>
        <v>352424.67</v>
      </c>
      <c r="M60" s="75">
        <v>352424.67</v>
      </c>
      <c r="N60" s="75"/>
      <c r="O60" s="75"/>
      <c r="P60" s="79">
        <f t="shared" si="2"/>
        <v>0.11177439581351094</v>
      </c>
      <c r="Q60" s="26">
        <f t="shared" si="3"/>
        <v>-2800575.33</v>
      </c>
    </row>
    <row r="61" spans="1:17" s="31" customFormat="1" ht="47.25" x14ac:dyDescent="0.25">
      <c r="A61" s="82" t="s">
        <v>89</v>
      </c>
      <c r="B61" s="82" t="s">
        <v>90</v>
      </c>
      <c r="C61" s="82" t="s">
        <v>91</v>
      </c>
      <c r="D61" s="98" t="s">
        <v>92</v>
      </c>
      <c r="E61" s="92">
        <v>14</v>
      </c>
      <c r="F61" s="73" t="s">
        <v>76</v>
      </c>
      <c r="G61" s="74" t="s">
        <v>172</v>
      </c>
      <c r="H61" s="75">
        <f>I61+J61</f>
        <v>8000</v>
      </c>
      <c r="I61" s="75">
        <v>8000</v>
      </c>
      <c r="J61" s="75"/>
      <c r="K61" s="75"/>
      <c r="L61" s="75">
        <f t="shared" si="4"/>
        <v>0</v>
      </c>
      <c r="M61" s="75"/>
      <c r="N61" s="75"/>
      <c r="O61" s="75"/>
      <c r="P61" s="79">
        <f t="shared" si="2"/>
        <v>0</v>
      </c>
      <c r="Q61" s="26">
        <f t="shared" si="3"/>
        <v>-8000</v>
      </c>
    </row>
    <row r="62" spans="1:17" s="31" customFormat="1" ht="47.25" x14ac:dyDescent="0.25">
      <c r="A62" s="82" t="s">
        <v>95</v>
      </c>
      <c r="B62" s="82" t="s">
        <v>96</v>
      </c>
      <c r="C62" s="82" t="s">
        <v>91</v>
      </c>
      <c r="D62" s="98" t="s">
        <v>97</v>
      </c>
      <c r="E62" s="92">
        <v>14</v>
      </c>
      <c r="F62" s="73" t="s">
        <v>76</v>
      </c>
      <c r="G62" s="74" t="s">
        <v>172</v>
      </c>
      <c r="H62" s="75">
        <f t="shared" ref="H62:H74" si="24">I62+J62</f>
        <v>5000</v>
      </c>
      <c r="I62" s="75">
        <v>5000</v>
      </c>
      <c r="J62" s="75"/>
      <c r="K62" s="75"/>
      <c r="L62" s="75">
        <f t="shared" si="4"/>
        <v>2168.71</v>
      </c>
      <c r="M62" s="75">
        <v>2168.71</v>
      </c>
      <c r="N62" s="75"/>
      <c r="O62" s="75"/>
      <c r="P62" s="79">
        <f t="shared" si="2"/>
        <v>0.43374200000000002</v>
      </c>
      <c r="Q62" s="26">
        <f t="shared" si="3"/>
        <v>-2831.29</v>
      </c>
    </row>
    <row r="63" spans="1:17" s="14" customFormat="1" ht="63" x14ac:dyDescent="0.25">
      <c r="A63" s="82" t="s">
        <v>25</v>
      </c>
      <c r="B63" s="82" t="s">
        <v>52</v>
      </c>
      <c r="C63" s="82" t="s">
        <v>27</v>
      </c>
      <c r="D63" s="83" t="s">
        <v>60</v>
      </c>
      <c r="E63" s="84">
        <v>13</v>
      </c>
      <c r="F63" s="73" t="s">
        <v>93</v>
      </c>
      <c r="G63" s="74" t="s">
        <v>94</v>
      </c>
      <c r="H63" s="75">
        <f>I63+J63</f>
        <v>991625</v>
      </c>
      <c r="I63" s="75"/>
      <c r="J63" s="75">
        <v>991625</v>
      </c>
      <c r="K63" s="75">
        <v>991625</v>
      </c>
      <c r="L63" s="75">
        <f t="shared" si="4"/>
        <v>134796.19</v>
      </c>
      <c r="M63" s="75"/>
      <c r="N63" s="75">
        <v>134796.19</v>
      </c>
      <c r="O63" s="75">
        <v>134796.19</v>
      </c>
      <c r="P63" s="79">
        <f t="shared" si="2"/>
        <v>0.13593464263204336</v>
      </c>
      <c r="Q63" s="26">
        <f t="shared" si="3"/>
        <v>-856828.81</v>
      </c>
    </row>
    <row r="64" spans="1:17" s="31" customFormat="1" ht="47.25" x14ac:dyDescent="0.25">
      <c r="A64" s="82" t="s">
        <v>25</v>
      </c>
      <c r="B64" s="82" t="s">
        <v>52</v>
      </c>
      <c r="C64" s="82" t="s">
        <v>27</v>
      </c>
      <c r="D64" s="83" t="s">
        <v>60</v>
      </c>
      <c r="E64" s="84">
        <v>14</v>
      </c>
      <c r="F64" s="73" t="s">
        <v>76</v>
      </c>
      <c r="G64" s="74" t="s">
        <v>175</v>
      </c>
      <c r="H64" s="75">
        <f>I64+J64</f>
        <v>343400</v>
      </c>
      <c r="I64" s="75">
        <f>343400</f>
        <v>343400</v>
      </c>
      <c r="J64" s="75"/>
      <c r="K64" s="75"/>
      <c r="L64" s="75">
        <f t="shared" si="4"/>
        <v>46243</v>
      </c>
      <c r="M64" s="75">
        <v>46243</v>
      </c>
      <c r="N64" s="75"/>
      <c r="O64" s="75"/>
      <c r="P64" s="79">
        <f t="shared" si="2"/>
        <v>0.13466220151426908</v>
      </c>
      <c r="Q64" s="26">
        <f t="shared" si="3"/>
        <v>-297157</v>
      </c>
    </row>
    <row r="65" spans="1:17" s="31" customFormat="1" ht="47.25" x14ac:dyDescent="0.25">
      <c r="A65" s="82" t="s">
        <v>25</v>
      </c>
      <c r="B65" s="82" t="s">
        <v>52</v>
      </c>
      <c r="C65" s="82" t="s">
        <v>27</v>
      </c>
      <c r="D65" s="83" t="s">
        <v>60</v>
      </c>
      <c r="E65" s="84">
        <v>29</v>
      </c>
      <c r="F65" s="73" t="s">
        <v>167</v>
      </c>
      <c r="G65" s="74" t="s">
        <v>198</v>
      </c>
      <c r="H65" s="75">
        <f t="shared" si="24"/>
        <v>385200</v>
      </c>
      <c r="I65" s="75">
        <f>287200+98000</f>
        <v>385200</v>
      </c>
      <c r="J65" s="75"/>
      <c r="K65" s="75"/>
      <c r="L65" s="75">
        <f t="shared" si="4"/>
        <v>180165.53</v>
      </c>
      <c r="M65" s="75">
        <v>180165.53</v>
      </c>
      <c r="N65" s="75"/>
      <c r="O65" s="75"/>
      <c r="P65" s="79">
        <f t="shared" si="2"/>
        <v>0.46771944444444447</v>
      </c>
      <c r="Q65" s="26">
        <f t="shared" si="3"/>
        <v>-205034.47</v>
      </c>
    </row>
    <row r="66" spans="1:17" s="31" customFormat="1" ht="47.25" x14ac:dyDescent="0.25">
      <c r="A66" s="82" t="s">
        <v>109</v>
      </c>
      <c r="B66" s="82" t="s">
        <v>110</v>
      </c>
      <c r="C66" s="82" t="s">
        <v>27</v>
      </c>
      <c r="D66" s="99" t="s">
        <v>111</v>
      </c>
      <c r="E66" s="93">
        <v>14</v>
      </c>
      <c r="F66" s="73" t="s">
        <v>76</v>
      </c>
      <c r="G66" s="74" t="s">
        <v>177</v>
      </c>
      <c r="H66" s="75">
        <f>I66+J66</f>
        <v>652500</v>
      </c>
      <c r="I66" s="75">
        <f>707500-55000</f>
        <v>652500</v>
      </c>
      <c r="J66" s="75"/>
      <c r="K66" s="75"/>
      <c r="L66" s="75">
        <f t="shared" si="4"/>
        <v>0</v>
      </c>
      <c r="M66" s="75"/>
      <c r="N66" s="75"/>
      <c r="O66" s="75"/>
      <c r="P66" s="79">
        <f t="shared" si="2"/>
        <v>0</v>
      </c>
      <c r="Q66" s="26">
        <f t="shared" si="3"/>
        <v>-652500</v>
      </c>
    </row>
    <row r="67" spans="1:17" s="31" customFormat="1" ht="74.25" customHeight="1" x14ac:dyDescent="0.25">
      <c r="A67" s="82" t="s">
        <v>253</v>
      </c>
      <c r="B67" s="82" t="s">
        <v>26</v>
      </c>
      <c r="C67" s="82" t="s">
        <v>27</v>
      </c>
      <c r="D67" s="97" t="s">
        <v>16</v>
      </c>
      <c r="E67" s="84">
        <v>25</v>
      </c>
      <c r="F67" s="73" t="s">
        <v>182</v>
      </c>
      <c r="G67" s="74" t="s">
        <v>206</v>
      </c>
      <c r="H67" s="75">
        <f>I67+J67</f>
        <v>912700</v>
      </c>
      <c r="I67" s="75">
        <v>912700</v>
      </c>
      <c r="J67" s="75"/>
      <c r="K67" s="75"/>
      <c r="L67" s="75">
        <f t="shared" si="4"/>
        <v>0</v>
      </c>
      <c r="M67" s="75"/>
      <c r="N67" s="75"/>
      <c r="O67" s="75"/>
      <c r="P67" s="79">
        <f t="shared" si="2"/>
        <v>0</v>
      </c>
      <c r="Q67" s="26">
        <f t="shared" si="3"/>
        <v>-912700</v>
      </c>
    </row>
    <row r="68" spans="1:17" s="31" customFormat="1" ht="78.75" x14ac:dyDescent="0.25">
      <c r="A68" s="82" t="s">
        <v>98</v>
      </c>
      <c r="B68" s="82" t="s">
        <v>99</v>
      </c>
      <c r="C68" s="82" t="s">
        <v>29</v>
      </c>
      <c r="D68" s="83" t="s">
        <v>100</v>
      </c>
      <c r="E68" s="84">
        <v>14</v>
      </c>
      <c r="F68" s="73" t="s">
        <v>76</v>
      </c>
      <c r="G68" s="74" t="s">
        <v>172</v>
      </c>
      <c r="H68" s="75">
        <f t="shared" si="24"/>
        <v>3300000</v>
      </c>
      <c r="I68" s="75">
        <v>3300000</v>
      </c>
      <c r="J68" s="75"/>
      <c r="K68" s="75"/>
      <c r="L68" s="75">
        <f t="shared" si="4"/>
        <v>1185940.33</v>
      </c>
      <c r="M68" s="75">
        <v>1185940.33</v>
      </c>
      <c r="N68" s="75"/>
      <c r="O68" s="75"/>
      <c r="P68" s="79">
        <f t="shared" si="2"/>
        <v>0.35937585757575757</v>
      </c>
      <c r="Q68" s="26">
        <f t="shared" si="3"/>
        <v>-2114059.67</v>
      </c>
    </row>
    <row r="69" spans="1:17" s="31" customFormat="1" ht="94.5" customHeight="1" x14ac:dyDescent="0.25">
      <c r="A69" s="82" t="s">
        <v>101</v>
      </c>
      <c r="B69" s="82" t="s">
        <v>102</v>
      </c>
      <c r="C69" s="82" t="s">
        <v>103</v>
      </c>
      <c r="D69" s="83" t="s">
        <v>104</v>
      </c>
      <c r="E69" s="84">
        <v>14</v>
      </c>
      <c r="F69" s="73" t="s">
        <v>76</v>
      </c>
      <c r="G69" s="74" t="s">
        <v>172</v>
      </c>
      <c r="H69" s="75">
        <f t="shared" si="24"/>
        <v>1000000</v>
      </c>
      <c r="I69" s="75">
        <v>1000000</v>
      </c>
      <c r="J69" s="75"/>
      <c r="K69" s="75"/>
      <c r="L69" s="75">
        <f t="shared" si="4"/>
        <v>389372.41</v>
      </c>
      <c r="M69" s="75">
        <v>389372.41</v>
      </c>
      <c r="N69" s="75"/>
      <c r="O69" s="75"/>
      <c r="P69" s="79">
        <f t="shared" si="2"/>
        <v>0.38937241</v>
      </c>
      <c r="Q69" s="26">
        <f t="shared" si="3"/>
        <v>-610627.59000000008</v>
      </c>
    </row>
    <row r="70" spans="1:17" s="31" customFormat="1" ht="57" customHeight="1" x14ac:dyDescent="0.25">
      <c r="A70" s="82" t="s">
        <v>105</v>
      </c>
      <c r="B70" s="82" t="s">
        <v>106</v>
      </c>
      <c r="C70" s="82" t="s">
        <v>91</v>
      </c>
      <c r="D70" s="83" t="s">
        <v>107</v>
      </c>
      <c r="E70" s="84">
        <v>14</v>
      </c>
      <c r="F70" s="73" t="s">
        <v>76</v>
      </c>
      <c r="G70" s="74" t="s">
        <v>172</v>
      </c>
      <c r="H70" s="75">
        <f t="shared" si="24"/>
        <v>71000</v>
      </c>
      <c r="I70" s="75">
        <v>71000</v>
      </c>
      <c r="J70" s="75"/>
      <c r="K70" s="75"/>
      <c r="L70" s="75">
        <f t="shared" si="4"/>
        <v>24004.91</v>
      </c>
      <c r="M70" s="75">
        <v>24004.91</v>
      </c>
      <c r="N70" s="75"/>
      <c r="O70" s="75"/>
      <c r="P70" s="79">
        <f t="shared" si="2"/>
        <v>0.33809732394366199</v>
      </c>
      <c r="Q70" s="26">
        <f t="shared" si="3"/>
        <v>-46995.09</v>
      </c>
    </row>
    <row r="71" spans="1:17" s="31" customFormat="1" ht="47.25" x14ac:dyDescent="0.25">
      <c r="A71" s="82" t="s">
        <v>164</v>
      </c>
      <c r="B71" s="82" t="s">
        <v>165</v>
      </c>
      <c r="C71" s="82" t="s">
        <v>126</v>
      </c>
      <c r="D71" s="100" t="s">
        <v>166</v>
      </c>
      <c r="E71" s="101">
        <v>14</v>
      </c>
      <c r="F71" s="73" t="s">
        <v>76</v>
      </c>
      <c r="G71" s="74" t="s">
        <v>172</v>
      </c>
      <c r="H71" s="75">
        <f t="shared" si="24"/>
        <v>497600</v>
      </c>
      <c r="I71" s="75">
        <v>497600</v>
      </c>
      <c r="J71" s="75"/>
      <c r="K71" s="75"/>
      <c r="L71" s="75">
        <f t="shared" si="4"/>
        <v>0</v>
      </c>
      <c r="M71" s="75"/>
      <c r="N71" s="75"/>
      <c r="O71" s="75"/>
      <c r="P71" s="79">
        <f t="shared" si="2"/>
        <v>0</v>
      </c>
      <c r="Q71" s="26">
        <f t="shared" si="3"/>
        <v>-497600</v>
      </c>
    </row>
    <row r="72" spans="1:17" s="31" customFormat="1" ht="63" x14ac:dyDescent="0.25">
      <c r="A72" s="82" t="s">
        <v>108</v>
      </c>
      <c r="B72" s="82" t="s">
        <v>78</v>
      </c>
      <c r="C72" s="82" t="s">
        <v>79</v>
      </c>
      <c r="D72" s="83" t="s">
        <v>80</v>
      </c>
      <c r="E72" s="84">
        <v>13</v>
      </c>
      <c r="F72" s="73" t="s">
        <v>93</v>
      </c>
      <c r="G72" s="74" t="s">
        <v>178</v>
      </c>
      <c r="H72" s="75">
        <f>I72+J72</f>
        <v>18722800</v>
      </c>
      <c r="I72" s="75">
        <f>6622800+12080000+20000</f>
        <v>18722800</v>
      </c>
      <c r="J72" s="75"/>
      <c r="K72" s="75"/>
      <c r="L72" s="75">
        <f t="shared" si="4"/>
        <v>7035736</v>
      </c>
      <c r="M72" s="75">
        <v>7035736</v>
      </c>
      <c r="N72" s="75"/>
      <c r="O72" s="75"/>
      <c r="P72" s="79">
        <f t="shared" si="2"/>
        <v>0.37578439122353496</v>
      </c>
      <c r="Q72" s="26">
        <f t="shared" si="3"/>
        <v>-11687064</v>
      </c>
    </row>
    <row r="73" spans="1:17" s="31" customFormat="1" ht="47.25" x14ac:dyDescent="0.25">
      <c r="A73" s="82" t="s">
        <v>108</v>
      </c>
      <c r="B73" s="82" t="s">
        <v>78</v>
      </c>
      <c r="C73" s="82" t="s">
        <v>79</v>
      </c>
      <c r="D73" s="102" t="s">
        <v>80</v>
      </c>
      <c r="E73" s="84">
        <v>14</v>
      </c>
      <c r="F73" s="73" t="s">
        <v>76</v>
      </c>
      <c r="G73" s="74" t="s">
        <v>172</v>
      </c>
      <c r="H73" s="75">
        <f t="shared" si="24"/>
        <v>38325600</v>
      </c>
      <c r="I73" s="75">
        <f>16425600+35000000-12080000-1000000-20000</f>
        <v>38325600</v>
      </c>
      <c r="J73" s="75"/>
      <c r="K73" s="75"/>
      <c r="L73" s="75">
        <f t="shared" si="4"/>
        <v>16223596.880000001</v>
      </c>
      <c r="M73" s="75">
        <v>16223596.880000001</v>
      </c>
      <c r="N73" s="75"/>
      <c r="O73" s="75"/>
      <c r="P73" s="79">
        <f t="shared" si="2"/>
        <v>0.42330966455841529</v>
      </c>
      <c r="Q73" s="26">
        <f t="shared" si="3"/>
        <v>-22102003.119999997</v>
      </c>
    </row>
    <row r="74" spans="1:17" s="31" customFormat="1" ht="47.25" x14ac:dyDescent="0.25">
      <c r="A74" s="82" t="s">
        <v>247</v>
      </c>
      <c r="B74" s="82" t="s">
        <v>229</v>
      </c>
      <c r="C74" s="82" t="s">
        <v>230</v>
      </c>
      <c r="D74" s="83" t="s">
        <v>260</v>
      </c>
      <c r="E74" s="84">
        <v>61</v>
      </c>
      <c r="F74" s="23" t="s">
        <v>259</v>
      </c>
      <c r="G74" s="74" t="s">
        <v>309</v>
      </c>
      <c r="H74" s="75">
        <f t="shared" si="24"/>
        <v>383800</v>
      </c>
      <c r="I74" s="75">
        <f>278500+105300</f>
        <v>383800</v>
      </c>
      <c r="J74" s="75"/>
      <c r="K74" s="75"/>
      <c r="L74" s="75">
        <f t="shared" si="4"/>
        <v>159174</v>
      </c>
      <c r="M74" s="75">
        <f>27616+121672+9886</f>
        <v>159174</v>
      </c>
      <c r="N74" s="75"/>
      <c r="O74" s="75"/>
      <c r="P74" s="79">
        <f t="shared" si="2"/>
        <v>0.41473163105784261</v>
      </c>
      <c r="Q74" s="26">
        <f t="shared" si="3"/>
        <v>-224626</v>
      </c>
    </row>
    <row r="75" spans="1:17" s="31" customFormat="1" ht="15.75" x14ac:dyDescent="0.25">
      <c r="A75" s="33" t="s">
        <v>207</v>
      </c>
      <c r="B75" s="34" t="s">
        <v>208</v>
      </c>
      <c r="C75" s="34" t="s">
        <v>208</v>
      </c>
      <c r="D75" s="122" t="s">
        <v>209</v>
      </c>
      <c r="E75" s="123"/>
      <c r="F75" s="124"/>
      <c r="G75" s="74"/>
      <c r="H75" s="26">
        <f>H76</f>
        <v>378300</v>
      </c>
      <c r="I75" s="26">
        <f t="shared" ref="I75:O76" si="25">I76</f>
        <v>378300</v>
      </c>
      <c r="J75" s="26">
        <f t="shared" si="25"/>
        <v>0</v>
      </c>
      <c r="K75" s="26">
        <f t="shared" si="25"/>
        <v>0</v>
      </c>
      <c r="L75" s="26">
        <f>L76</f>
        <v>203480</v>
      </c>
      <c r="M75" s="26">
        <f t="shared" si="25"/>
        <v>203480</v>
      </c>
      <c r="N75" s="26">
        <f t="shared" si="25"/>
        <v>0</v>
      </c>
      <c r="O75" s="26">
        <f t="shared" si="25"/>
        <v>0</v>
      </c>
      <c r="P75" s="79">
        <f t="shared" si="2"/>
        <v>0.53787998942638116</v>
      </c>
      <c r="Q75" s="26">
        <f t="shared" si="3"/>
        <v>-174820</v>
      </c>
    </row>
    <row r="76" spans="1:17" s="31" customFormat="1" ht="15.75" x14ac:dyDescent="0.25">
      <c r="A76" s="33" t="s">
        <v>210</v>
      </c>
      <c r="B76" s="34" t="s">
        <v>208</v>
      </c>
      <c r="C76" s="34" t="s">
        <v>208</v>
      </c>
      <c r="D76" s="122" t="s">
        <v>209</v>
      </c>
      <c r="E76" s="123"/>
      <c r="F76" s="124"/>
      <c r="G76" s="74"/>
      <c r="H76" s="26">
        <f>SUM(H77:H79)</f>
        <v>378300</v>
      </c>
      <c r="I76" s="26">
        <f>SUM(I77:I79)</f>
        <v>378300</v>
      </c>
      <c r="J76" s="26">
        <f t="shared" si="25"/>
        <v>0</v>
      </c>
      <c r="K76" s="26">
        <f t="shared" si="25"/>
        <v>0</v>
      </c>
      <c r="L76" s="26">
        <f>SUM(L77:L79)</f>
        <v>203480</v>
      </c>
      <c r="M76" s="26">
        <f>SUM(M77:M79)</f>
        <v>203480</v>
      </c>
      <c r="N76" s="26">
        <f t="shared" si="25"/>
        <v>0</v>
      </c>
      <c r="O76" s="26">
        <f t="shared" si="25"/>
        <v>0</v>
      </c>
      <c r="P76" s="79">
        <f t="shared" si="2"/>
        <v>0.53787998942638116</v>
      </c>
      <c r="Q76" s="26">
        <f t="shared" si="3"/>
        <v>-174820</v>
      </c>
    </row>
    <row r="77" spans="1:17" s="31" customFormat="1" ht="47.25" x14ac:dyDescent="0.25">
      <c r="A77" s="88" t="s">
        <v>211</v>
      </c>
      <c r="B77" s="74" t="s">
        <v>74</v>
      </c>
      <c r="C77" s="74" t="s">
        <v>27</v>
      </c>
      <c r="D77" s="15" t="s">
        <v>75</v>
      </c>
      <c r="E77" s="47">
        <v>14</v>
      </c>
      <c r="F77" s="73" t="s">
        <v>76</v>
      </c>
      <c r="G77" s="66" t="s">
        <v>171</v>
      </c>
      <c r="H77" s="75">
        <f>I77+J77</f>
        <v>263600</v>
      </c>
      <c r="I77" s="75">
        <f>278000-14400</f>
        <v>263600</v>
      </c>
      <c r="J77" s="75"/>
      <c r="K77" s="75"/>
      <c r="L77" s="75">
        <f t="shared" si="4"/>
        <v>114080</v>
      </c>
      <c r="M77" s="75">
        <v>114080</v>
      </c>
      <c r="N77" s="75"/>
      <c r="O77" s="75"/>
      <c r="P77" s="79">
        <f t="shared" si="2"/>
        <v>0.43277693474962065</v>
      </c>
      <c r="Q77" s="26">
        <f t="shared" si="3"/>
        <v>-149520</v>
      </c>
    </row>
    <row r="78" spans="1:17" s="31" customFormat="1" ht="63" x14ac:dyDescent="0.25">
      <c r="A78" s="88" t="s">
        <v>211</v>
      </c>
      <c r="B78" s="74" t="s">
        <v>74</v>
      </c>
      <c r="C78" s="74" t="s">
        <v>27</v>
      </c>
      <c r="D78" s="15" t="s">
        <v>75</v>
      </c>
      <c r="E78" s="103">
        <v>65</v>
      </c>
      <c r="F78" s="104" t="s">
        <v>252</v>
      </c>
      <c r="G78" s="74" t="s">
        <v>266</v>
      </c>
      <c r="H78" s="75">
        <f t="shared" ref="H78:H79" si="26">I78+J78</f>
        <v>14400</v>
      </c>
      <c r="I78" s="75">
        <v>14400</v>
      </c>
      <c r="J78" s="75"/>
      <c r="K78" s="75"/>
      <c r="L78" s="75">
        <f t="shared" si="4"/>
        <v>0</v>
      </c>
      <c r="M78" s="75"/>
      <c r="N78" s="75"/>
      <c r="O78" s="75"/>
      <c r="P78" s="79">
        <f t="shared" si="2"/>
        <v>0</v>
      </c>
      <c r="Q78" s="26">
        <f t="shared" si="3"/>
        <v>-14400</v>
      </c>
    </row>
    <row r="79" spans="1:17" s="31" customFormat="1" ht="47.25" x14ac:dyDescent="0.25">
      <c r="A79" s="82" t="s">
        <v>244</v>
      </c>
      <c r="B79" s="82" t="s">
        <v>229</v>
      </c>
      <c r="C79" s="82" t="s">
        <v>230</v>
      </c>
      <c r="D79" s="83" t="s">
        <v>260</v>
      </c>
      <c r="E79" s="84">
        <v>61</v>
      </c>
      <c r="F79" s="23" t="s">
        <v>259</v>
      </c>
      <c r="G79" s="74" t="s">
        <v>309</v>
      </c>
      <c r="H79" s="75">
        <f t="shared" si="26"/>
        <v>100300</v>
      </c>
      <c r="I79" s="75">
        <v>100300</v>
      </c>
      <c r="J79" s="75"/>
      <c r="K79" s="75"/>
      <c r="L79" s="75">
        <f t="shared" si="4"/>
        <v>89400</v>
      </c>
      <c r="M79" s="75">
        <v>89400</v>
      </c>
      <c r="N79" s="75"/>
      <c r="O79" s="75"/>
      <c r="P79" s="79">
        <f t="shared" si="2"/>
        <v>0.89132602193419741</v>
      </c>
      <c r="Q79" s="26">
        <f t="shared" si="3"/>
        <v>-10900</v>
      </c>
    </row>
    <row r="80" spans="1:17" s="14" customFormat="1" ht="15.75" x14ac:dyDescent="0.25">
      <c r="A80" s="18" t="s">
        <v>127</v>
      </c>
      <c r="B80" s="18"/>
      <c r="C80" s="18"/>
      <c r="D80" s="114" t="s">
        <v>147</v>
      </c>
      <c r="E80" s="115"/>
      <c r="F80" s="116"/>
      <c r="G80" s="77"/>
      <c r="H80" s="26">
        <f t="shared" ref="H80:O80" si="27">H81</f>
        <v>4557270</v>
      </c>
      <c r="I80" s="26">
        <f t="shared" si="27"/>
        <v>3782170</v>
      </c>
      <c r="J80" s="26">
        <f t="shared" si="27"/>
        <v>775100</v>
      </c>
      <c r="K80" s="26">
        <f t="shared" si="27"/>
        <v>500100</v>
      </c>
      <c r="L80" s="26">
        <f t="shared" si="27"/>
        <v>1909244.67</v>
      </c>
      <c r="M80" s="26">
        <f t="shared" si="27"/>
        <v>1542662.67</v>
      </c>
      <c r="N80" s="26">
        <f t="shared" si="27"/>
        <v>366582</v>
      </c>
      <c r="O80" s="26">
        <f t="shared" si="27"/>
        <v>230000</v>
      </c>
      <c r="P80" s="81">
        <f t="shared" si="2"/>
        <v>0.41894482222909768</v>
      </c>
      <c r="Q80" s="26">
        <f t="shared" si="3"/>
        <v>-2648025.33</v>
      </c>
    </row>
    <row r="81" spans="1:17" s="14" customFormat="1" ht="15.75" x14ac:dyDescent="0.25">
      <c r="A81" s="18" t="s">
        <v>128</v>
      </c>
      <c r="B81" s="18"/>
      <c r="C81" s="18"/>
      <c r="D81" s="114" t="s">
        <v>147</v>
      </c>
      <c r="E81" s="115"/>
      <c r="F81" s="116"/>
      <c r="G81" s="77"/>
      <c r="H81" s="26">
        <f t="shared" ref="H81:O81" si="28">SUM(H82:H88)</f>
        <v>4557270</v>
      </c>
      <c r="I81" s="26">
        <f t="shared" si="28"/>
        <v>3782170</v>
      </c>
      <c r="J81" s="26">
        <f t="shared" si="28"/>
        <v>775100</v>
      </c>
      <c r="K81" s="26">
        <f t="shared" si="28"/>
        <v>500100</v>
      </c>
      <c r="L81" s="26">
        <f t="shared" si="28"/>
        <v>1909244.67</v>
      </c>
      <c r="M81" s="26">
        <f t="shared" si="28"/>
        <v>1542662.67</v>
      </c>
      <c r="N81" s="26">
        <f t="shared" si="28"/>
        <v>366582</v>
      </c>
      <c r="O81" s="26">
        <f t="shared" si="28"/>
        <v>230000</v>
      </c>
      <c r="P81" s="81">
        <f t="shared" si="2"/>
        <v>0.41894482222909768</v>
      </c>
      <c r="Q81" s="26">
        <f t="shared" si="3"/>
        <v>-2648025.33</v>
      </c>
    </row>
    <row r="82" spans="1:17" s="19" customFormat="1" ht="47.25" x14ac:dyDescent="0.25">
      <c r="A82" s="82" t="s">
        <v>215</v>
      </c>
      <c r="B82" s="82" t="s">
        <v>216</v>
      </c>
      <c r="C82" s="82" t="s">
        <v>217</v>
      </c>
      <c r="D82" s="83" t="s">
        <v>218</v>
      </c>
      <c r="E82" s="84">
        <v>28</v>
      </c>
      <c r="F82" s="23" t="s">
        <v>148</v>
      </c>
      <c r="G82" s="66" t="s">
        <v>197</v>
      </c>
      <c r="H82" s="75">
        <f>I82+J82</f>
        <v>862600</v>
      </c>
      <c r="I82" s="75">
        <v>587600</v>
      </c>
      <c r="J82" s="75">
        <v>275000</v>
      </c>
      <c r="K82" s="75"/>
      <c r="L82" s="75">
        <f t="shared" si="4"/>
        <v>420042</v>
      </c>
      <c r="M82" s="26">
        <v>283460</v>
      </c>
      <c r="N82" s="26">
        <v>136582</v>
      </c>
      <c r="O82" s="26"/>
      <c r="P82" s="79">
        <f t="shared" si="2"/>
        <v>0.48694875956410849</v>
      </c>
      <c r="Q82" s="26">
        <f t="shared" si="3"/>
        <v>-442558</v>
      </c>
    </row>
    <row r="83" spans="1:17" s="14" customFormat="1" ht="63" x14ac:dyDescent="0.25">
      <c r="A83" s="88" t="s">
        <v>204</v>
      </c>
      <c r="B83" s="74">
        <v>3140</v>
      </c>
      <c r="C83" s="82" t="s">
        <v>27</v>
      </c>
      <c r="D83" s="83" t="s">
        <v>16</v>
      </c>
      <c r="E83" s="84">
        <v>25</v>
      </c>
      <c r="F83" s="73" t="s">
        <v>168</v>
      </c>
      <c r="G83" s="74" t="s">
        <v>206</v>
      </c>
      <c r="H83" s="75">
        <f>I83+J83</f>
        <v>150000</v>
      </c>
      <c r="I83" s="75">
        <v>150000</v>
      </c>
      <c r="J83" s="75"/>
      <c r="K83" s="75"/>
      <c r="L83" s="75">
        <f t="shared" ref="L83:L146" si="29">M83+N83</f>
        <v>84660</v>
      </c>
      <c r="M83" s="75">
        <v>84660</v>
      </c>
      <c r="N83" s="75"/>
      <c r="O83" s="75"/>
      <c r="P83" s="79">
        <f t="shared" ref="P83:P145" si="30">L83/H83</f>
        <v>0.56440000000000001</v>
      </c>
      <c r="Q83" s="26">
        <f t="shared" ref="Q83:Q146" si="31">L83-H83</f>
        <v>-65340</v>
      </c>
    </row>
    <row r="84" spans="1:17" s="14" customFormat="1" ht="47.25" x14ac:dyDescent="0.25">
      <c r="A84" s="82" t="s">
        <v>130</v>
      </c>
      <c r="B84" s="82" t="s">
        <v>131</v>
      </c>
      <c r="C84" s="82" t="s">
        <v>132</v>
      </c>
      <c r="D84" s="83" t="s">
        <v>133</v>
      </c>
      <c r="E84" s="84">
        <v>28</v>
      </c>
      <c r="F84" s="23" t="s">
        <v>148</v>
      </c>
      <c r="G84" s="66" t="s">
        <v>197</v>
      </c>
      <c r="H84" s="75">
        <f t="shared" ref="H84:H86" si="32">I84+J84</f>
        <v>555000</v>
      </c>
      <c r="I84" s="75">
        <f>95000+200000+260000</f>
        <v>555000</v>
      </c>
      <c r="J84" s="75"/>
      <c r="K84" s="75"/>
      <c r="L84" s="75">
        <f t="shared" si="29"/>
        <v>381112.96</v>
      </c>
      <c r="M84" s="75">
        <v>381112.96</v>
      </c>
      <c r="N84" s="75"/>
      <c r="O84" s="75"/>
      <c r="P84" s="79">
        <f t="shared" si="30"/>
        <v>0.6866900180180181</v>
      </c>
      <c r="Q84" s="26">
        <f t="shared" si="31"/>
        <v>-173887.03999999998</v>
      </c>
    </row>
    <row r="85" spans="1:17" s="14" customFormat="1" ht="47.25" x14ac:dyDescent="0.25">
      <c r="A85" s="82" t="s">
        <v>134</v>
      </c>
      <c r="B85" s="82" t="s">
        <v>135</v>
      </c>
      <c r="C85" s="82" t="s">
        <v>132</v>
      </c>
      <c r="D85" s="83" t="s">
        <v>136</v>
      </c>
      <c r="E85" s="84">
        <v>28</v>
      </c>
      <c r="F85" s="23" t="s">
        <v>148</v>
      </c>
      <c r="G85" s="74" t="s">
        <v>197</v>
      </c>
      <c r="H85" s="75">
        <f t="shared" si="32"/>
        <v>185500</v>
      </c>
      <c r="I85" s="75">
        <f>49000+136500</f>
        <v>185500</v>
      </c>
      <c r="J85" s="75"/>
      <c r="K85" s="75"/>
      <c r="L85" s="75">
        <f t="shared" si="29"/>
        <v>91500</v>
      </c>
      <c r="M85" s="75">
        <v>91500</v>
      </c>
      <c r="N85" s="75"/>
      <c r="O85" s="75"/>
      <c r="P85" s="79">
        <f t="shared" si="30"/>
        <v>0.49326145552560646</v>
      </c>
      <c r="Q85" s="26">
        <f t="shared" si="31"/>
        <v>-94000</v>
      </c>
    </row>
    <row r="86" spans="1:17" s="14" customFormat="1" ht="47.25" x14ac:dyDescent="0.25">
      <c r="A86" s="82" t="s">
        <v>137</v>
      </c>
      <c r="B86" s="82" t="s">
        <v>138</v>
      </c>
      <c r="C86" s="82" t="s">
        <v>139</v>
      </c>
      <c r="D86" s="83" t="s">
        <v>140</v>
      </c>
      <c r="E86" s="105">
        <v>28</v>
      </c>
      <c r="F86" s="22" t="s">
        <v>148</v>
      </c>
      <c r="G86" s="66" t="s">
        <v>197</v>
      </c>
      <c r="H86" s="75">
        <f t="shared" si="32"/>
        <v>1867670</v>
      </c>
      <c r="I86" s="75">
        <f>191400+500000+60000+190000+515900+30000-30000-9730</f>
        <v>1447570</v>
      </c>
      <c r="J86" s="75">
        <v>420100</v>
      </c>
      <c r="K86" s="75">
        <v>420100</v>
      </c>
      <c r="L86" s="75">
        <f t="shared" si="29"/>
        <v>582750.06000000006</v>
      </c>
      <c r="M86" s="75">
        <v>352750.06</v>
      </c>
      <c r="N86" s="75">
        <v>230000</v>
      </c>
      <c r="O86" s="75">
        <v>230000</v>
      </c>
      <c r="P86" s="79">
        <f t="shared" si="30"/>
        <v>0.31201982148880691</v>
      </c>
      <c r="Q86" s="26">
        <f t="shared" si="31"/>
        <v>-1284919.94</v>
      </c>
    </row>
    <row r="87" spans="1:17" s="14" customFormat="1" ht="47.25" x14ac:dyDescent="0.25">
      <c r="A87" s="82" t="s">
        <v>141</v>
      </c>
      <c r="B87" s="82" t="s">
        <v>142</v>
      </c>
      <c r="C87" s="82" t="s">
        <v>143</v>
      </c>
      <c r="D87" s="83" t="s">
        <v>144</v>
      </c>
      <c r="E87" s="105">
        <v>28</v>
      </c>
      <c r="F87" s="22" t="s">
        <v>148</v>
      </c>
      <c r="G87" s="66" t="s">
        <v>197</v>
      </c>
      <c r="H87" s="75">
        <f t="shared" ref="H87:H88" si="33">I87+J87</f>
        <v>680000</v>
      </c>
      <c r="I87" s="75">
        <f>600000+80000</f>
        <v>680000</v>
      </c>
      <c r="J87" s="75"/>
      <c r="K87" s="75"/>
      <c r="L87" s="75">
        <f t="shared" si="29"/>
        <v>266441</v>
      </c>
      <c r="M87" s="75">
        <v>266441</v>
      </c>
      <c r="N87" s="75"/>
      <c r="O87" s="75"/>
      <c r="P87" s="79">
        <f t="shared" si="30"/>
        <v>0.39182499999999998</v>
      </c>
      <c r="Q87" s="26">
        <f t="shared" si="31"/>
        <v>-413559</v>
      </c>
    </row>
    <row r="88" spans="1:17" s="14" customFormat="1" ht="47.25" x14ac:dyDescent="0.25">
      <c r="A88" s="82" t="s">
        <v>243</v>
      </c>
      <c r="B88" s="82" t="s">
        <v>229</v>
      </c>
      <c r="C88" s="82" t="s">
        <v>230</v>
      </c>
      <c r="D88" s="83" t="s">
        <v>260</v>
      </c>
      <c r="E88" s="84">
        <v>61</v>
      </c>
      <c r="F88" s="23" t="s">
        <v>259</v>
      </c>
      <c r="G88" s="74" t="s">
        <v>309</v>
      </c>
      <c r="H88" s="75">
        <f t="shared" si="33"/>
        <v>256500</v>
      </c>
      <c r="I88" s="75">
        <f>167000+9500</f>
        <v>176500</v>
      </c>
      <c r="J88" s="75">
        <v>80000</v>
      </c>
      <c r="K88" s="75">
        <v>80000</v>
      </c>
      <c r="L88" s="75">
        <f t="shared" si="29"/>
        <v>82738.649999999994</v>
      </c>
      <c r="M88" s="75">
        <v>82738.649999999994</v>
      </c>
      <c r="N88" s="75"/>
      <c r="O88" s="75"/>
      <c r="P88" s="79">
        <f t="shared" si="30"/>
        <v>0.32256783625730989</v>
      </c>
      <c r="Q88" s="26">
        <f t="shared" si="31"/>
        <v>-173761.35</v>
      </c>
    </row>
    <row r="89" spans="1:17" s="31" customFormat="1" ht="15.75" x14ac:dyDescent="0.25">
      <c r="A89" s="18" t="s">
        <v>22</v>
      </c>
      <c r="B89" s="18"/>
      <c r="C89" s="18"/>
      <c r="D89" s="114" t="s">
        <v>154</v>
      </c>
      <c r="E89" s="115"/>
      <c r="F89" s="116"/>
      <c r="G89" s="77"/>
      <c r="H89" s="26">
        <f>H90</f>
        <v>6811356</v>
      </c>
      <c r="I89" s="26">
        <f>I90</f>
        <v>6811356</v>
      </c>
      <c r="J89" s="26"/>
      <c r="K89" s="26"/>
      <c r="L89" s="26">
        <f>L90</f>
        <v>2491600.91</v>
      </c>
      <c r="M89" s="26">
        <f>M90</f>
        <v>2491600.91</v>
      </c>
      <c r="N89" s="26"/>
      <c r="O89" s="26"/>
      <c r="P89" s="81">
        <f t="shared" si="30"/>
        <v>0.36580101084130678</v>
      </c>
      <c r="Q89" s="26">
        <f t="shared" si="31"/>
        <v>-4319755.09</v>
      </c>
    </row>
    <row r="90" spans="1:17" s="32" customFormat="1" ht="15.75" x14ac:dyDescent="0.25">
      <c r="A90" s="18" t="s">
        <v>23</v>
      </c>
      <c r="B90" s="18"/>
      <c r="C90" s="18"/>
      <c r="D90" s="114" t="s">
        <v>154</v>
      </c>
      <c r="E90" s="115"/>
      <c r="F90" s="116"/>
      <c r="G90" s="77"/>
      <c r="H90" s="26">
        <f>SUM(H91:H96)</f>
        <v>6811356</v>
      </c>
      <c r="I90" s="26">
        <f>SUM(I91:I96)</f>
        <v>6811356</v>
      </c>
      <c r="J90" s="26"/>
      <c r="K90" s="26"/>
      <c r="L90" s="26">
        <f>SUM(L91:L96)</f>
        <v>2491600.91</v>
      </c>
      <c r="M90" s="26">
        <f>SUM(M91:M96)</f>
        <v>2491600.91</v>
      </c>
      <c r="N90" s="26"/>
      <c r="O90" s="26"/>
      <c r="P90" s="81">
        <f t="shared" si="30"/>
        <v>0.36580101084130678</v>
      </c>
      <c r="Q90" s="26">
        <f t="shared" si="31"/>
        <v>-4319755.09</v>
      </c>
    </row>
    <row r="91" spans="1:17" s="32" customFormat="1" ht="47.25" x14ac:dyDescent="0.25">
      <c r="A91" s="82" t="s">
        <v>41</v>
      </c>
      <c r="B91" s="82" t="s">
        <v>42</v>
      </c>
      <c r="C91" s="82" t="s">
        <v>27</v>
      </c>
      <c r="D91" s="83" t="s">
        <v>43</v>
      </c>
      <c r="E91" s="84">
        <v>29</v>
      </c>
      <c r="F91" s="73" t="s">
        <v>169</v>
      </c>
      <c r="G91" s="74" t="s">
        <v>198</v>
      </c>
      <c r="H91" s="75">
        <f t="shared" ref="H91:H96" si="34">I91+J91</f>
        <v>994300</v>
      </c>
      <c r="I91" s="75">
        <f>1029300-35000</f>
        <v>994300</v>
      </c>
      <c r="J91" s="75"/>
      <c r="K91" s="75"/>
      <c r="L91" s="75">
        <f t="shared" si="29"/>
        <v>271574</v>
      </c>
      <c r="M91" s="26">
        <v>271574</v>
      </c>
      <c r="N91" s="26"/>
      <c r="O91" s="26"/>
      <c r="P91" s="79">
        <f t="shared" si="30"/>
        <v>0.27313084582118075</v>
      </c>
      <c r="Q91" s="26">
        <f t="shared" si="31"/>
        <v>-722726</v>
      </c>
    </row>
    <row r="92" spans="1:17" s="31" customFormat="1" ht="47.25" x14ac:dyDescent="0.25">
      <c r="A92" s="82" t="s">
        <v>112</v>
      </c>
      <c r="B92" s="82" t="s">
        <v>113</v>
      </c>
      <c r="C92" s="82" t="s">
        <v>37</v>
      </c>
      <c r="D92" s="83" t="s">
        <v>114</v>
      </c>
      <c r="E92" s="84">
        <v>30</v>
      </c>
      <c r="F92" s="73" t="s">
        <v>160</v>
      </c>
      <c r="G92" s="74" t="s">
        <v>186</v>
      </c>
      <c r="H92" s="75">
        <f t="shared" si="34"/>
        <v>1449000</v>
      </c>
      <c r="I92" s="75">
        <f>1400000+49000</f>
        <v>1449000</v>
      </c>
      <c r="J92" s="75"/>
      <c r="K92" s="75"/>
      <c r="L92" s="75">
        <f t="shared" si="29"/>
        <v>506600</v>
      </c>
      <c r="M92" s="75">
        <v>506600</v>
      </c>
      <c r="N92" s="75"/>
      <c r="O92" s="75"/>
      <c r="P92" s="79">
        <f t="shared" si="30"/>
        <v>0.34962042788129744</v>
      </c>
      <c r="Q92" s="26">
        <f t="shared" si="31"/>
        <v>-942400</v>
      </c>
    </row>
    <row r="93" spans="1:17" s="31" customFormat="1" ht="47.25" x14ac:dyDescent="0.25">
      <c r="A93" s="82" t="s">
        <v>116</v>
      </c>
      <c r="B93" s="82" t="s">
        <v>115</v>
      </c>
      <c r="C93" s="82" t="s">
        <v>37</v>
      </c>
      <c r="D93" s="83" t="s">
        <v>117</v>
      </c>
      <c r="E93" s="84">
        <v>30</v>
      </c>
      <c r="F93" s="73" t="s">
        <v>160</v>
      </c>
      <c r="G93" s="74" t="s">
        <v>186</v>
      </c>
      <c r="H93" s="75">
        <f t="shared" si="34"/>
        <v>1039000</v>
      </c>
      <c r="I93" s="75">
        <f>990000+49000</f>
        <v>1039000</v>
      </c>
      <c r="J93" s="75"/>
      <c r="K93" s="75"/>
      <c r="L93" s="75">
        <f t="shared" si="29"/>
        <v>455248.71</v>
      </c>
      <c r="M93" s="75">
        <v>455248.71</v>
      </c>
      <c r="N93" s="75"/>
      <c r="O93" s="75"/>
      <c r="P93" s="79">
        <f t="shared" si="30"/>
        <v>0.43816045235803658</v>
      </c>
      <c r="Q93" s="26">
        <f t="shared" si="31"/>
        <v>-583751.29</v>
      </c>
    </row>
    <row r="94" spans="1:17" s="31" customFormat="1" ht="47.25" x14ac:dyDescent="0.25">
      <c r="A94" s="74">
        <v>1115049</v>
      </c>
      <c r="B94" s="74">
        <v>5049</v>
      </c>
      <c r="C94" s="74" t="s">
        <v>37</v>
      </c>
      <c r="D94" s="15" t="s">
        <v>347</v>
      </c>
      <c r="E94" s="84">
        <v>30</v>
      </c>
      <c r="F94" s="73" t="s">
        <v>160</v>
      </c>
      <c r="G94" s="74" t="s">
        <v>186</v>
      </c>
      <c r="H94" s="75">
        <f t="shared" si="34"/>
        <v>114192</v>
      </c>
      <c r="I94" s="75">
        <f>35136+79056</f>
        <v>114192</v>
      </c>
      <c r="J94" s="75"/>
      <c r="K94" s="75"/>
      <c r="L94" s="75">
        <f t="shared" si="29"/>
        <v>11712</v>
      </c>
      <c r="M94" s="75">
        <v>11712</v>
      </c>
      <c r="N94" s="75"/>
      <c r="O94" s="75"/>
      <c r="P94" s="79">
        <f t="shared" si="30"/>
        <v>0.10256410256410256</v>
      </c>
      <c r="Q94" s="26">
        <f t="shared" si="31"/>
        <v>-102480</v>
      </c>
    </row>
    <row r="95" spans="1:17" s="31" customFormat="1" ht="47.25" x14ac:dyDescent="0.25">
      <c r="A95" s="82" t="s">
        <v>35</v>
      </c>
      <c r="B95" s="82" t="s">
        <v>36</v>
      </c>
      <c r="C95" s="82" t="s">
        <v>37</v>
      </c>
      <c r="D95" s="90" t="s">
        <v>61</v>
      </c>
      <c r="E95" s="93">
        <v>30</v>
      </c>
      <c r="F95" s="73" t="s">
        <v>160</v>
      </c>
      <c r="G95" s="74" t="s">
        <v>186</v>
      </c>
      <c r="H95" s="75">
        <f t="shared" si="34"/>
        <v>3149864</v>
      </c>
      <c r="I95" s="75">
        <f>3185000-35136</f>
        <v>3149864</v>
      </c>
      <c r="J95" s="75"/>
      <c r="K95" s="75"/>
      <c r="L95" s="75">
        <f t="shared" si="29"/>
        <v>1221706.2</v>
      </c>
      <c r="M95" s="75">
        <v>1221706.2</v>
      </c>
      <c r="N95" s="75"/>
      <c r="O95" s="75"/>
      <c r="P95" s="79">
        <f t="shared" si="30"/>
        <v>0.3878599837961258</v>
      </c>
      <c r="Q95" s="26">
        <f t="shared" si="31"/>
        <v>-1928157.8</v>
      </c>
    </row>
    <row r="96" spans="1:17" s="31" customFormat="1" ht="47.25" x14ac:dyDescent="0.25">
      <c r="A96" s="82" t="s">
        <v>242</v>
      </c>
      <c r="B96" s="82" t="s">
        <v>229</v>
      </c>
      <c r="C96" s="82" t="s">
        <v>230</v>
      </c>
      <c r="D96" s="83" t="s">
        <v>260</v>
      </c>
      <c r="E96" s="84">
        <v>61</v>
      </c>
      <c r="F96" s="23" t="s">
        <v>259</v>
      </c>
      <c r="G96" s="74" t="s">
        <v>309</v>
      </c>
      <c r="H96" s="75">
        <f t="shared" si="34"/>
        <v>65000</v>
      </c>
      <c r="I96" s="75">
        <v>65000</v>
      </c>
      <c r="J96" s="75"/>
      <c r="K96" s="75"/>
      <c r="L96" s="75">
        <f t="shared" si="29"/>
        <v>24760</v>
      </c>
      <c r="M96" s="75">
        <f>8560+16200</f>
        <v>24760</v>
      </c>
      <c r="N96" s="75"/>
      <c r="O96" s="75"/>
      <c r="P96" s="79">
        <f t="shared" si="30"/>
        <v>0.38092307692307692</v>
      </c>
      <c r="Q96" s="26">
        <f t="shared" si="31"/>
        <v>-40240</v>
      </c>
    </row>
    <row r="97" spans="1:17" s="31" customFormat="1" ht="15.75" x14ac:dyDescent="0.25">
      <c r="A97" s="18" t="s">
        <v>12</v>
      </c>
      <c r="B97" s="18"/>
      <c r="C97" s="18"/>
      <c r="D97" s="114" t="s">
        <v>149</v>
      </c>
      <c r="E97" s="115"/>
      <c r="F97" s="116"/>
      <c r="G97" s="77"/>
      <c r="H97" s="26">
        <f t="shared" ref="H97:O97" si="35">H98</f>
        <v>202881856.18000001</v>
      </c>
      <c r="I97" s="26">
        <f t="shared" si="35"/>
        <v>177747573</v>
      </c>
      <c r="J97" s="26">
        <f t="shared" si="35"/>
        <v>25134283.18</v>
      </c>
      <c r="K97" s="26">
        <f t="shared" si="35"/>
        <v>24533909</v>
      </c>
      <c r="L97" s="26">
        <f t="shared" si="35"/>
        <v>109243858.14</v>
      </c>
      <c r="M97" s="26">
        <f t="shared" si="35"/>
        <v>103285385.25999999</v>
      </c>
      <c r="N97" s="26">
        <f t="shared" si="35"/>
        <v>5958472.8799999999</v>
      </c>
      <c r="O97" s="26">
        <f t="shared" si="35"/>
        <v>5957714.5</v>
      </c>
      <c r="P97" s="81">
        <f t="shared" si="30"/>
        <v>0.53846046264027236</v>
      </c>
      <c r="Q97" s="26">
        <f t="shared" si="31"/>
        <v>-93637998.040000007</v>
      </c>
    </row>
    <row r="98" spans="1:17" s="32" customFormat="1" ht="15.75" x14ac:dyDescent="0.25">
      <c r="A98" s="18" t="s">
        <v>13</v>
      </c>
      <c r="B98" s="18"/>
      <c r="C98" s="18"/>
      <c r="D98" s="114" t="s">
        <v>149</v>
      </c>
      <c r="E98" s="115"/>
      <c r="F98" s="116"/>
      <c r="G98" s="77"/>
      <c r="H98" s="26">
        <f t="shared" ref="H98:O98" si="36">SUM(H99:H118)</f>
        <v>202881856.18000001</v>
      </c>
      <c r="I98" s="26">
        <f t="shared" si="36"/>
        <v>177747573</v>
      </c>
      <c r="J98" s="26">
        <f t="shared" si="36"/>
        <v>25134283.18</v>
      </c>
      <c r="K98" s="26">
        <f t="shared" si="36"/>
        <v>24533909</v>
      </c>
      <c r="L98" s="26">
        <f t="shared" si="36"/>
        <v>109243858.14</v>
      </c>
      <c r="M98" s="26">
        <f t="shared" si="36"/>
        <v>103285385.25999999</v>
      </c>
      <c r="N98" s="26">
        <f t="shared" si="36"/>
        <v>5958472.8799999999</v>
      </c>
      <c r="O98" s="26">
        <f t="shared" si="36"/>
        <v>5957714.5</v>
      </c>
      <c r="P98" s="81">
        <f t="shared" si="30"/>
        <v>0.53846046264027236</v>
      </c>
      <c r="Q98" s="26">
        <f t="shared" si="31"/>
        <v>-93637998.040000007</v>
      </c>
    </row>
    <row r="99" spans="1:17" s="32" customFormat="1" ht="47.25" x14ac:dyDescent="0.25">
      <c r="A99" s="82" t="s">
        <v>232</v>
      </c>
      <c r="B99" s="82" t="s">
        <v>224</v>
      </c>
      <c r="C99" s="82" t="s">
        <v>225</v>
      </c>
      <c r="D99" s="106" t="s">
        <v>226</v>
      </c>
      <c r="E99" s="107">
        <v>53</v>
      </c>
      <c r="F99" s="108" t="s">
        <v>227</v>
      </c>
      <c r="G99" s="74" t="s">
        <v>228</v>
      </c>
      <c r="H99" s="75">
        <f t="shared" ref="H99:H103" si="37">I99+J99</f>
        <v>30000</v>
      </c>
      <c r="I99" s="75">
        <f>50000-20000</f>
        <v>30000</v>
      </c>
      <c r="J99" s="75"/>
      <c r="K99" s="26"/>
      <c r="L99" s="75">
        <f t="shared" si="29"/>
        <v>0</v>
      </c>
      <c r="M99" s="26"/>
      <c r="N99" s="26"/>
      <c r="O99" s="26"/>
      <c r="P99" s="79">
        <f t="shared" si="30"/>
        <v>0</v>
      </c>
      <c r="Q99" s="26">
        <f t="shared" si="31"/>
        <v>-30000</v>
      </c>
    </row>
    <row r="100" spans="1:17" s="19" customFormat="1" ht="78.75" x14ac:dyDescent="0.25">
      <c r="A100" s="82" t="s">
        <v>278</v>
      </c>
      <c r="B100" s="74">
        <v>6011</v>
      </c>
      <c r="C100" s="88" t="s">
        <v>279</v>
      </c>
      <c r="D100" s="15" t="s">
        <v>280</v>
      </c>
      <c r="E100" s="47">
        <v>40</v>
      </c>
      <c r="F100" s="23" t="s">
        <v>281</v>
      </c>
      <c r="G100" s="74" t="s">
        <v>312</v>
      </c>
      <c r="H100" s="75">
        <f>I100+J100</f>
        <v>3073017</v>
      </c>
      <c r="I100" s="75"/>
      <c r="J100" s="75">
        <f>1660017+1413000</f>
        <v>3073017</v>
      </c>
      <c r="K100" s="75">
        <f>1660017+1413000</f>
        <v>3073017</v>
      </c>
      <c r="L100" s="75">
        <f t="shared" si="29"/>
        <v>6825.37</v>
      </c>
      <c r="M100" s="26"/>
      <c r="N100" s="26">
        <v>6825.37</v>
      </c>
      <c r="O100" s="26">
        <v>6825.37</v>
      </c>
      <c r="P100" s="79">
        <f t="shared" si="30"/>
        <v>2.2210648362830402E-3</v>
      </c>
      <c r="Q100" s="26">
        <f t="shared" si="31"/>
        <v>-3066191.63</v>
      </c>
    </row>
    <row r="101" spans="1:17" s="32" customFormat="1" ht="47.25" x14ac:dyDescent="0.25">
      <c r="A101" s="82" t="s">
        <v>278</v>
      </c>
      <c r="B101" s="74">
        <v>6011</v>
      </c>
      <c r="C101" s="88" t="s">
        <v>279</v>
      </c>
      <c r="D101" s="15" t="s">
        <v>280</v>
      </c>
      <c r="E101" s="47">
        <v>68</v>
      </c>
      <c r="F101" s="23" t="s">
        <v>257</v>
      </c>
      <c r="G101" s="74" t="s">
        <v>308</v>
      </c>
      <c r="H101" s="75">
        <f t="shared" si="37"/>
        <v>2477989.75</v>
      </c>
      <c r="I101" s="75">
        <v>227819</v>
      </c>
      <c r="J101" s="75">
        <v>2250170.75</v>
      </c>
      <c r="K101" s="75">
        <v>2250170.75</v>
      </c>
      <c r="L101" s="75">
        <f t="shared" si="29"/>
        <v>0</v>
      </c>
      <c r="M101" s="26"/>
      <c r="N101" s="26"/>
      <c r="O101" s="26"/>
      <c r="P101" s="79">
        <f t="shared" si="30"/>
        <v>0</v>
      </c>
      <c r="Q101" s="26">
        <f t="shared" si="31"/>
        <v>-2477989.75</v>
      </c>
    </row>
    <row r="102" spans="1:17" s="14" customFormat="1" ht="47.25" x14ac:dyDescent="0.25">
      <c r="A102" s="82" t="s">
        <v>118</v>
      </c>
      <c r="B102" s="82" t="s">
        <v>119</v>
      </c>
      <c r="C102" s="82" t="s">
        <v>20</v>
      </c>
      <c r="D102" s="99" t="s">
        <v>120</v>
      </c>
      <c r="E102" s="93">
        <v>9</v>
      </c>
      <c r="F102" s="73" t="s">
        <v>203</v>
      </c>
      <c r="G102" s="74" t="s">
        <v>201</v>
      </c>
      <c r="H102" s="75">
        <f t="shared" si="37"/>
        <v>5400457.25</v>
      </c>
      <c r="I102" s="75">
        <v>300000</v>
      </c>
      <c r="J102" s="75">
        <v>5100457.25</v>
      </c>
      <c r="K102" s="75">
        <v>5100457.25</v>
      </c>
      <c r="L102" s="75">
        <f t="shared" si="29"/>
        <v>3603966.63</v>
      </c>
      <c r="M102" s="75"/>
      <c r="N102" s="75">
        <v>3603966.63</v>
      </c>
      <c r="O102" s="75">
        <v>3603966.63</v>
      </c>
      <c r="P102" s="79">
        <f t="shared" si="30"/>
        <v>0.66734471974572152</v>
      </c>
      <c r="Q102" s="26">
        <f t="shared" si="31"/>
        <v>-1796490.62</v>
      </c>
    </row>
    <row r="103" spans="1:17" s="14" customFormat="1" ht="78.75" x14ac:dyDescent="0.25">
      <c r="A103" s="82" t="s">
        <v>118</v>
      </c>
      <c r="B103" s="82" t="s">
        <v>119</v>
      </c>
      <c r="C103" s="82" t="s">
        <v>20</v>
      </c>
      <c r="D103" s="99" t="s">
        <v>120</v>
      </c>
      <c r="E103" s="93">
        <v>40</v>
      </c>
      <c r="F103" s="23" t="s">
        <v>281</v>
      </c>
      <c r="G103" s="74" t="s">
        <v>312</v>
      </c>
      <c r="H103" s="75">
        <f t="shared" si="37"/>
        <v>1799333</v>
      </c>
      <c r="I103" s="75"/>
      <c r="J103" s="75">
        <v>1799333</v>
      </c>
      <c r="K103" s="75">
        <v>1799333</v>
      </c>
      <c r="L103" s="75">
        <f t="shared" si="29"/>
        <v>0</v>
      </c>
      <c r="M103" s="75"/>
      <c r="N103" s="75"/>
      <c r="O103" s="75"/>
      <c r="P103" s="79">
        <f t="shared" si="30"/>
        <v>0</v>
      </c>
      <c r="Q103" s="26">
        <f t="shared" si="31"/>
        <v>-1799333</v>
      </c>
    </row>
    <row r="104" spans="1:17" s="14" customFormat="1" ht="78.75" x14ac:dyDescent="0.25">
      <c r="A104" s="82" t="s">
        <v>31</v>
      </c>
      <c r="B104" s="82" t="s">
        <v>54</v>
      </c>
      <c r="C104" s="82" t="s">
        <v>20</v>
      </c>
      <c r="D104" s="83" t="s">
        <v>55</v>
      </c>
      <c r="E104" s="84">
        <v>60</v>
      </c>
      <c r="F104" s="23" t="s">
        <v>282</v>
      </c>
      <c r="G104" s="74" t="s">
        <v>283</v>
      </c>
      <c r="H104" s="75">
        <f>I104+J104</f>
        <v>1095000</v>
      </c>
      <c r="I104" s="75"/>
      <c r="J104" s="75">
        <v>1095000</v>
      </c>
      <c r="K104" s="75">
        <v>1095000</v>
      </c>
      <c r="L104" s="75">
        <f t="shared" si="29"/>
        <v>70017.3</v>
      </c>
      <c r="M104" s="75"/>
      <c r="N104" s="75">
        <v>70017.3</v>
      </c>
      <c r="O104" s="75">
        <v>70017.3</v>
      </c>
      <c r="P104" s="79">
        <f t="shared" si="30"/>
        <v>6.3942739726027403E-2</v>
      </c>
      <c r="Q104" s="26">
        <f t="shared" si="31"/>
        <v>-1024982.7</v>
      </c>
    </row>
    <row r="105" spans="1:17" s="31" customFormat="1" ht="47.25" x14ac:dyDescent="0.25">
      <c r="A105" s="82" t="s">
        <v>31</v>
      </c>
      <c r="B105" s="82" t="s">
        <v>54</v>
      </c>
      <c r="C105" s="82" t="s">
        <v>20</v>
      </c>
      <c r="D105" s="83" t="s">
        <v>55</v>
      </c>
      <c r="E105" s="84">
        <v>68</v>
      </c>
      <c r="F105" s="23" t="s">
        <v>257</v>
      </c>
      <c r="G105" s="74" t="s">
        <v>308</v>
      </c>
      <c r="H105" s="75">
        <f t="shared" ref="H105:H116" si="38">I105+J105</f>
        <v>1720000</v>
      </c>
      <c r="I105" s="75">
        <v>1720000</v>
      </c>
      <c r="J105" s="75"/>
      <c r="K105" s="75"/>
      <c r="L105" s="75">
        <f t="shared" si="29"/>
        <v>780339.23</v>
      </c>
      <c r="M105" s="75">
        <v>780339.23</v>
      </c>
      <c r="N105" s="75"/>
      <c r="O105" s="75"/>
      <c r="P105" s="79">
        <f t="shared" si="30"/>
        <v>0.45368559883720927</v>
      </c>
      <c r="Q105" s="26">
        <f t="shared" si="31"/>
        <v>-939660.77</v>
      </c>
    </row>
    <row r="106" spans="1:17" s="31" customFormat="1" ht="47.25" x14ac:dyDescent="0.25">
      <c r="A106" s="82" t="s">
        <v>19</v>
      </c>
      <c r="B106" s="82" t="s">
        <v>53</v>
      </c>
      <c r="C106" s="82" t="s">
        <v>20</v>
      </c>
      <c r="D106" s="90" t="s">
        <v>30</v>
      </c>
      <c r="E106" s="93">
        <v>68</v>
      </c>
      <c r="F106" s="23" t="s">
        <v>257</v>
      </c>
      <c r="G106" s="74" t="s">
        <v>308</v>
      </c>
      <c r="H106" s="75">
        <f t="shared" si="38"/>
        <v>86640454</v>
      </c>
      <c r="I106" s="75">
        <v>85514954</v>
      </c>
      <c r="J106" s="75">
        <v>1125500</v>
      </c>
      <c r="K106" s="75">
        <v>1125500</v>
      </c>
      <c r="L106" s="75">
        <f t="shared" si="29"/>
        <v>38230559.530000001</v>
      </c>
      <c r="M106" s="75">
        <f>21420710.8+7837983.78+8971864.95</f>
        <v>38230559.530000001</v>
      </c>
      <c r="N106" s="75"/>
      <c r="O106" s="75"/>
      <c r="P106" s="79">
        <f t="shared" si="30"/>
        <v>0.44125530009341829</v>
      </c>
      <c r="Q106" s="26">
        <f t="shared" si="31"/>
        <v>-48409894.469999999</v>
      </c>
    </row>
    <row r="107" spans="1:17" s="14" customFormat="1" ht="47.25" x14ac:dyDescent="0.25">
      <c r="A107" s="74">
        <v>1216091</v>
      </c>
      <c r="B107" s="74">
        <v>6091</v>
      </c>
      <c r="C107" s="88" t="s">
        <v>236</v>
      </c>
      <c r="D107" s="15" t="s">
        <v>299</v>
      </c>
      <c r="E107" s="93">
        <v>68</v>
      </c>
      <c r="F107" s="23" t="s">
        <v>257</v>
      </c>
      <c r="G107" s="74" t="s">
        <v>308</v>
      </c>
      <c r="H107" s="75">
        <f t="shared" si="38"/>
        <v>6400000</v>
      </c>
      <c r="I107" s="75"/>
      <c r="J107" s="75">
        <v>6400000</v>
      </c>
      <c r="K107" s="75">
        <v>6400000</v>
      </c>
      <c r="L107" s="75">
        <f t="shared" si="29"/>
        <v>132453.6</v>
      </c>
      <c r="M107" s="75"/>
      <c r="N107" s="75">
        <v>132453.6</v>
      </c>
      <c r="O107" s="75">
        <v>132453.6</v>
      </c>
      <c r="P107" s="79">
        <f t="shared" si="30"/>
        <v>2.0695875000000002E-2</v>
      </c>
      <c r="Q107" s="26">
        <f t="shared" si="31"/>
        <v>-6267546.4000000004</v>
      </c>
    </row>
    <row r="108" spans="1:17" s="14" customFormat="1" ht="78.75" x14ac:dyDescent="0.25">
      <c r="A108" s="74">
        <v>1216091</v>
      </c>
      <c r="B108" s="74">
        <v>6091</v>
      </c>
      <c r="C108" s="88" t="s">
        <v>236</v>
      </c>
      <c r="D108" s="15" t="s">
        <v>299</v>
      </c>
      <c r="E108" s="93">
        <v>40</v>
      </c>
      <c r="F108" s="23" t="s">
        <v>281</v>
      </c>
      <c r="G108" s="74" t="s">
        <v>312</v>
      </c>
      <c r="H108" s="75">
        <f t="shared" si="38"/>
        <v>171000</v>
      </c>
      <c r="I108" s="75"/>
      <c r="J108" s="75">
        <v>171000</v>
      </c>
      <c r="K108" s="75">
        <v>171000</v>
      </c>
      <c r="L108" s="75">
        <f t="shared" si="29"/>
        <v>0</v>
      </c>
      <c r="M108" s="75"/>
      <c r="N108" s="75"/>
      <c r="O108" s="75"/>
      <c r="P108" s="79">
        <f t="shared" si="30"/>
        <v>0</v>
      </c>
      <c r="Q108" s="26">
        <f t="shared" si="31"/>
        <v>-171000</v>
      </c>
    </row>
    <row r="109" spans="1:17" s="14" customFormat="1" ht="63" x14ac:dyDescent="0.25">
      <c r="A109" s="82" t="s">
        <v>288</v>
      </c>
      <c r="B109" s="82" t="s">
        <v>284</v>
      </c>
      <c r="C109" s="88" t="s">
        <v>236</v>
      </c>
      <c r="D109" s="15" t="s">
        <v>285</v>
      </c>
      <c r="E109" s="47">
        <v>17</v>
      </c>
      <c r="F109" s="73" t="s">
        <v>153</v>
      </c>
      <c r="G109" s="74" t="s">
        <v>173</v>
      </c>
      <c r="H109" s="75">
        <f t="shared" si="38"/>
        <v>47400</v>
      </c>
      <c r="I109" s="75">
        <v>47400</v>
      </c>
      <c r="J109" s="75"/>
      <c r="K109" s="75"/>
      <c r="L109" s="75">
        <f t="shared" si="29"/>
        <v>37754.870000000003</v>
      </c>
      <c r="M109" s="75">
        <v>37754.870000000003</v>
      </c>
      <c r="N109" s="75"/>
      <c r="O109" s="75"/>
      <c r="P109" s="79">
        <f t="shared" si="30"/>
        <v>0.79651624472573845</v>
      </c>
      <c r="Q109" s="26">
        <f t="shared" si="31"/>
        <v>-9645.1299999999974</v>
      </c>
    </row>
    <row r="110" spans="1:17" s="14" customFormat="1" ht="47.25" x14ac:dyDescent="0.25">
      <c r="A110" s="74">
        <v>1217130</v>
      </c>
      <c r="B110" s="74">
        <v>7130</v>
      </c>
      <c r="C110" s="88" t="s">
        <v>342</v>
      </c>
      <c r="D110" s="15" t="s">
        <v>343</v>
      </c>
      <c r="E110" s="47">
        <v>76</v>
      </c>
      <c r="F110" s="73" t="s">
        <v>339</v>
      </c>
      <c r="G110" s="74" t="s">
        <v>348</v>
      </c>
      <c r="H110" s="75">
        <f t="shared" si="38"/>
        <v>180000</v>
      </c>
      <c r="I110" s="75">
        <v>180000</v>
      </c>
      <c r="J110" s="75"/>
      <c r="K110" s="75"/>
      <c r="L110" s="75">
        <f t="shared" si="29"/>
        <v>0</v>
      </c>
      <c r="M110" s="75"/>
      <c r="N110" s="75"/>
      <c r="O110" s="75"/>
      <c r="P110" s="79">
        <f t="shared" si="30"/>
        <v>0</v>
      </c>
      <c r="Q110" s="26">
        <f t="shared" si="31"/>
        <v>-180000</v>
      </c>
    </row>
    <row r="111" spans="1:17" s="31" customFormat="1" ht="47.25" x14ac:dyDescent="0.25">
      <c r="A111" s="82" t="s">
        <v>289</v>
      </c>
      <c r="B111" s="82" t="s">
        <v>56</v>
      </c>
      <c r="C111" s="82" t="s">
        <v>32</v>
      </c>
      <c r="D111" s="83" t="s">
        <v>33</v>
      </c>
      <c r="E111" s="84">
        <v>68</v>
      </c>
      <c r="F111" s="23" t="s">
        <v>257</v>
      </c>
      <c r="G111" s="74" t="s">
        <v>308</v>
      </c>
      <c r="H111" s="75">
        <f t="shared" si="38"/>
        <v>30000000</v>
      </c>
      <c r="I111" s="75">
        <v>30000000</v>
      </c>
      <c r="J111" s="75"/>
      <c r="K111" s="75"/>
      <c r="L111" s="75">
        <f t="shared" si="29"/>
        <v>12528585</v>
      </c>
      <c r="M111" s="75">
        <v>12528585</v>
      </c>
      <c r="N111" s="75"/>
      <c r="O111" s="75"/>
      <c r="P111" s="79">
        <f t="shared" si="30"/>
        <v>0.41761949999999998</v>
      </c>
      <c r="Q111" s="26">
        <f t="shared" si="31"/>
        <v>-17471415</v>
      </c>
    </row>
    <row r="112" spans="1:17" s="31" customFormat="1" ht="47.25" x14ac:dyDescent="0.25">
      <c r="A112" s="82" t="s">
        <v>233</v>
      </c>
      <c r="B112" s="82" t="s">
        <v>229</v>
      </c>
      <c r="C112" s="82" t="s">
        <v>230</v>
      </c>
      <c r="D112" s="83" t="s">
        <v>260</v>
      </c>
      <c r="E112" s="84">
        <v>61</v>
      </c>
      <c r="F112" s="23" t="s">
        <v>259</v>
      </c>
      <c r="G112" s="74" t="s">
        <v>309</v>
      </c>
      <c r="H112" s="75">
        <f t="shared" si="38"/>
        <v>524300</v>
      </c>
      <c r="I112" s="75">
        <v>488300</v>
      </c>
      <c r="J112" s="75">
        <v>36000</v>
      </c>
      <c r="K112" s="75">
        <v>36000</v>
      </c>
      <c r="L112" s="75">
        <f t="shared" si="29"/>
        <v>4686</v>
      </c>
      <c r="M112" s="75">
        <v>4686</v>
      </c>
      <c r="N112" s="75"/>
      <c r="O112" s="75"/>
      <c r="P112" s="79">
        <f t="shared" si="30"/>
        <v>8.9376311272172416E-3</v>
      </c>
      <c r="Q112" s="26">
        <f t="shared" si="31"/>
        <v>-519614</v>
      </c>
    </row>
    <row r="113" spans="1:17" s="31" customFormat="1" ht="78.75" x14ac:dyDescent="0.25">
      <c r="A113" s="82" t="s">
        <v>352</v>
      </c>
      <c r="B113" s="82" t="s">
        <v>263</v>
      </c>
      <c r="C113" s="88" t="s">
        <v>21</v>
      </c>
      <c r="D113" s="15" t="s">
        <v>287</v>
      </c>
      <c r="E113" s="47">
        <v>40</v>
      </c>
      <c r="F113" s="23" t="s">
        <v>281</v>
      </c>
      <c r="G113" s="74" t="s">
        <v>312</v>
      </c>
      <c r="H113" s="75">
        <f t="shared" si="38"/>
        <v>360000</v>
      </c>
      <c r="I113" s="75"/>
      <c r="J113" s="75">
        <v>360000</v>
      </c>
      <c r="K113" s="75">
        <v>360000</v>
      </c>
      <c r="L113" s="75">
        <f t="shared" si="29"/>
        <v>0</v>
      </c>
      <c r="M113" s="75"/>
      <c r="N113" s="75"/>
      <c r="O113" s="75"/>
      <c r="P113" s="79">
        <f t="shared" si="30"/>
        <v>0</v>
      </c>
      <c r="Q113" s="26">
        <f t="shared" si="31"/>
        <v>-360000</v>
      </c>
    </row>
    <row r="114" spans="1:17" s="31" customFormat="1" ht="47.25" x14ac:dyDescent="0.25">
      <c r="A114" s="82" t="s">
        <v>290</v>
      </c>
      <c r="B114" s="88" t="s">
        <v>286</v>
      </c>
      <c r="C114" s="88" t="s">
        <v>21</v>
      </c>
      <c r="D114" s="15" t="s">
        <v>287</v>
      </c>
      <c r="E114" s="47">
        <v>67</v>
      </c>
      <c r="F114" s="73" t="s">
        <v>234</v>
      </c>
      <c r="G114" s="74" t="s">
        <v>313</v>
      </c>
      <c r="H114" s="75">
        <f t="shared" si="38"/>
        <v>2650510</v>
      </c>
      <c r="I114" s="75"/>
      <c r="J114" s="75">
        <f>2060000-9490+600000</f>
        <v>2650510</v>
      </c>
      <c r="K114" s="75">
        <f>2060000-9490+600000</f>
        <v>2650510</v>
      </c>
      <c r="L114" s="75">
        <f t="shared" si="29"/>
        <v>2050506.6</v>
      </c>
      <c r="M114" s="75"/>
      <c r="N114" s="75">
        <f>1459999.8+590506.8</f>
        <v>2050506.6</v>
      </c>
      <c r="O114" s="75">
        <v>2050506.6</v>
      </c>
      <c r="P114" s="79">
        <f t="shared" si="30"/>
        <v>0.77362718872971625</v>
      </c>
      <c r="Q114" s="26">
        <f t="shared" si="31"/>
        <v>-600003.39999999991</v>
      </c>
    </row>
    <row r="115" spans="1:17" s="14" customFormat="1" ht="110.25" x14ac:dyDescent="0.25">
      <c r="A115" s="88" t="s">
        <v>292</v>
      </c>
      <c r="B115" s="88" t="s">
        <v>291</v>
      </c>
      <c r="C115" s="88" t="s">
        <v>21</v>
      </c>
      <c r="D115" s="15" t="s">
        <v>293</v>
      </c>
      <c r="E115" s="47">
        <v>40</v>
      </c>
      <c r="F115" s="23" t="s">
        <v>281</v>
      </c>
      <c r="G115" s="74" t="s">
        <v>312</v>
      </c>
      <c r="H115" s="75">
        <f t="shared" si="38"/>
        <v>600374.17999999993</v>
      </c>
      <c r="I115" s="75"/>
      <c r="J115" s="75">
        <f>384374.18+216000</f>
        <v>600374.17999999993</v>
      </c>
      <c r="K115" s="75"/>
      <c r="L115" s="75">
        <f t="shared" si="29"/>
        <v>758.38</v>
      </c>
      <c r="M115" s="75"/>
      <c r="N115" s="75">
        <v>758.38</v>
      </c>
      <c r="O115" s="75"/>
      <c r="P115" s="79">
        <f t="shared" si="30"/>
        <v>1.2631789061948002E-3</v>
      </c>
      <c r="Q115" s="26">
        <f t="shared" si="31"/>
        <v>-599615.79999999993</v>
      </c>
    </row>
    <row r="116" spans="1:17" s="31" customFormat="1" ht="47.25" x14ac:dyDescent="0.25">
      <c r="A116" s="82" t="s">
        <v>185</v>
      </c>
      <c r="B116" s="82" t="s">
        <v>34</v>
      </c>
      <c r="C116" s="82" t="s">
        <v>21</v>
      </c>
      <c r="D116" s="99" t="s">
        <v>51</v>
      </c>
      <c r="E116" s="93">
        <v>67</v>
      </c>
      <c r="F116" s="73" t="s">
        <v>234</v>
      </c>
      <c r="G116" s="74" t="s">
        <v>313</v>
      </c>
      <c r="H116" s="75">
        <f t="shared" si="38"/>
        <v>56120800</v>
      </c>
      <c r="I116" s="75">
        <f>43320000+4300000+100800+8400000</f>
        <v>56120800</v>
      </c>
      <c r="J116" s="75"/>
      <c r="K116" s="75"/>
      <c r="L116" s="75">
        <f t="shared" si="29"/>
        <v>51034927.049999997</v>
      </c>
      <c r="M116" s="75">
        <f>1245216.65+30000000+19789710.4</f>
        <v>51034927.049999997</v>
      </c>
      <c r="N116" s="75"/>
      <c r="O116" s="75"/>
      <c r="P116" s="79">
        <f t="shared" si="30"/>
        <v>0.90937632838448479</v>
      </c>
      <c r="Q116" s="26">
        <f t="shared" si="31"/>
        <v>-5085872.950000003</v>
      </c>
    </row>
    <row r="117" spans="1:17" s="31" customFormat="1" ht="47.25" x14ac:dyDescent="0.25">
      <c r="A117" s="74">
        <v>1218110</v>
      </c>
      <c r="B117" s="74">
        <v>8110</v>
      </c>
      <c r="C117" s="88" t="s">
        <v>162</v>
      </c>
      <c r="D117" s="94" t="s">
        <v>163</v>
      </c>
      <c r="E117" s="47">
        <v>17</v>
      </c>
      <c r="F117" s="73" t="s">
        <v>153</v>
      </c>
      <c r="G117" s="74" t="s">
        <v>173</v>
      </c>
      <c r="H117" s="75">
        <f>I117+J117</f>
        <v>3497221</v>
      </c>
      <c r="I117" s="75">
        <f>2527200+91100+500000</f>
        <v>3118300</v>
      </c>
      <c r="J117" s="75">
        <v>378921</v>
      </c>
      <c r="K117" s="75">
        <v>378921</v>
      </c>
      <c r="L117" s="75">
        <f t="shared" si="29"/>
        <v>668533.57999999996</v>
      </c>
      <c r="M117" s="75">
        <f>475046.73+193486.85</f>
        <v>668533.57999999996</v>
      </c>
      <c r="N117" s="75"/>
      <c r="O117" s="75"/>
      <c r="P117" s="79">
        <f t="shared" si="30"/>
        <v>0.19116137641859063</v>
      </c>
      <c r="Q117" s="26">
        <f t="shared" si="31"/>
        <v>-2828687.42</v>
      </c>
    </row>
    <row r="118" spans="1:17" s="14" customFormat="1" ht="78.75" x14ac:dyDescent="0.25">
      <c r="A118" s="82" t="s">
        <v>307</v>
      </c>
      <c r="B118" s="82" t="s">
        <v>155</v>
      </c>
      <c r="C118" s="88" t="s">
        <v>83</v>
      </c>
      <c r="D118" s="15" t="s">
        <v>156</v>
      </c>
      <c r="E118" s="95">
        <v>66</v>
      </c>
      <c r="F118" s="17" t="s">
        <v>258</v>
      </c>
      <c r="G118" s="74" t="s">
        <v>310</v>
      </c>
      <c r="H118" s="75">
        <f>I118+J118</f>
        <v>94000</v>
      </c>
      <c r="I118" s="75"/>
      <c r="J118" s="75">
        <f>200000-106000</f>
        <v>94000</v>
      </c>
      <c r="K118" s="75">
        <f>200000-106000</f>
        <v>94000</v>
      </c>
      <c r="L118" s="75">
        <f t="shared" si="29"/>
        <v>93945</v>
      </c>
      <c r="M118" s="75"/>
      <c r="N118" s="75">
        <v>93945</v>
      </c>
      <c r="O118" s="75">
        <v>93945</v>
      </c>
      <c r="P118" s="79">
        <f t="shared" si="30"/>
        <v>0.99941489361702129</v>
      </c>
      <c r="Q118" s="26">
        <f t="shared" si="31"/>
        <v>-55</v>
      </c>
    </row>
    <row r="119" spans="1:17" s="31" customFormat="1" ht="15.75" x14ac:dyDescent="0.25">
      <c r="A119" s="34" t="s">
        <v>238</v>
      </c>
      <c r="B119" s="34" t="s">
        <v>208</v>
      </c>
      <c r="C119" s="34" t="s">
        <v>208</v>
      </c>
      <c r="D119" s="119" t="s">
        <v>239</v>
      </c>
      <c r="E119" s="120"/>
      <c r="F119" s="121"/>
      <c r="G119" s="74"/>
      <c r="H119" s="26">
        <f>H120</f>
        <v>160814863.63</v>
      </c>
      <c r="I119" s="26">
        <f t="shared" ref="I119:O119" si="39">I120</f>
        <v>70300</v>
      </c>
      <c r="J119" s="26">
        <f t="shared" si="39"/>
        <v>160744563.63</v>
      </c>
      <c r="K119" s="26">
        <f t="shared" si="39"/>
        <v>160744563.63</v>
      </c>
      <c r="L119" s="26">
        <f>L120</f>
        <v>35567066.759999998</v>
      </c>
      <c r="M119" s="26">
        <f t="shared" si="39"/>
        <v>39209</v>
      </c>
      <c r="N119" s="26">
        <f t="shared" si="39"/>
        <v>35527857.759999998</v>
      </c>
      <c r="O119" s="26">
        <f t="shared" si="39"/>
        <v>35527857.759999998</v>
      </c>
      <c r="P119" s="81">
        <f t="shared" si="30"/>
        <v>0.22116778236265572</v>
      </c>
      <c r="Q119" s="26">
        <f t="shared" si="31"/>
        <v>-125247796.87</v>
      </c>
    </row>
    <row r="120" spans="1:17" s="31" customFormat="1" ht="15.75" x14ac:dyDescent="0.25">
      <c r="A120" s="34" t="s">
        <v>240</v>
      </c>
      <c r="B120" s="34" t="s">
        <v>208</v>
      </c>
      <c r="C120" s="34" t="s">
        <v>208</v>
      </c>
      <c r="D120" s="119" t="s">
        <v>239</v>
      </c>
      <c r="E120" s="120"/>
      <c r="F120" s="121"/>
      <c r="G120" s="74"/>
      <c r="H120" s="26">
        <f>SUM(H121:H128)</f>
        <v>160814863.63</v>
      </c>
      <c r="I120" s="26">
        <f t="shared" ref="I120:K120" si="40">SUM(I121:I128)</f>
        <v>70300</v>
      </c>
      <c r="J120" s="26">
        <f t="shared" si="40"/>
        <v>160744563.63</v>
      </c>
      <c r="K120" s="26">
        <f t="shared" si="40"/>
        <v>160744563.63</v>
      </c>
      <c r="L120" s="26">
        <f>SUM(L121:L128)</f>
        <v>35567066.759999998</v>
      </c>
      <c r="M120" s="26">
        <f t="shared" ref="M120:O120" si="41">SUM(M121:M128)</f>
        <v>39209</v>
      </c>
      <c r="N120" s="26">
        <f t="shared" si="41"/>
        <v>35527857.759999998</v>
      </c>
      <c r="O120" s="26">
        <f t="shared" si="41"/>
        <v>35527857.759999998</v>
      </c>
      <c r="P120" s="81">
        <f t="shared" si="30"/>
        <v>0.22116778236265572</v>
      </c>
      <c r="Q120" s="26">
        <f t="shared" si="31"/>
        <v>-125247796.87</v>
      </c>
    </row>
    <row r="121" spans="1:17" s="31" customFormat="1" ht="47.25" x14ac:dyDescent="0.25">
      <c r="A121" s="74">
        <v>1511300</v>
      </c>
      <c r="B121" s="88" t="s">
        <v>294</v>
      </c>
      <c r="C121" s="88" t="s">
        <v>276</v>
      </c>
      <c r="D121" s="15" t="s">
        <v>295</v>
      </c>
      <c r="E121" s="47">
        <v>17</v>
      </c>
      <c r="F121" s="73" t="s">
        <v>153</v>
      </c>
      <c r="G121" s="74" t="s">
        <v>173</v>
      </c>
      <c r="H121" s="75">
        <f t="shared" ref="H121:H126" si="42">I121+J121</f>
        <v>86954716</v>
      </c>
      <c r="I121" s="26"/>
      <c r="J121" s="75">
        <v>86954716</v>
      </c>
      <c r="K121" s="75">
        <v>86954716</v>
      </c>
      <c r="L121" s="75">
        <f t="shared" si="29"/>
        <v>15623694.880000001</v>
      </c>
      <c r="M121" s="75"/>
      <c r="N121" s="75">
        <v>15623694.880000001</v>
      </c>
      <c r="O121" s="75">
        <v>15623694.880000001</v>
      </c>
      <c r="P121" s="79">
        <f t="shared" si="30"/>
        <v>0.17967622227643179</v>
      </c>
      <c r="Q121" s="26">
        <f t="shared" si="31"/>
        <v>-71331021.120000005</v>
      </c>
    </row>
    <row r="122" spans="1:17" s="31" customFormat="1" ht="47.25" x14ac:dyDescent="0.25">
      <c r="A122" s="74">
        <v>1512171</v>
      </c>
      <c r="B122" s="88" t="s">
        <v>296</v>
      </c>
      <c r="C122" s="88" t="s">
        <v>72</v>
      </c>
      <c r="D122" s="15" t="s">
        <v>297</v>
      </c>
      <c r="E122" s="47">
        <v>17</v>
      </c>
      <c r="F122" s="73" t="s">
        <v>153</v>
      </c>
      <c r="G122" s="74" t="s">
        <v>173</v>
      </c>
      <c r="H122" s="75">
        <f t="shared" si="42"/>
        <v>2550000</v>
      </c>
      <c r="I122" s="26"/>
      <c r="J122" s="75">
        <f>550000+2000000</f>
        <v>2550000</v>
      </c>
      <c r="K122" s="75">
        <f>550000+2000000</f>
        <v>2550000</v>
      </c>
      <c r="L122" s="75">
        <f t="shared" si="29"/>
        <v>499270.91</v>
      </c>
      <c r="M122" s="75"/>
      <c r="N122" s="75">
        <v>499270.91</v>
      </c>
      <c r="O122" s="75">
        <v>499270.91</v>
      </c>
      <c r="P122" s="79">
        <f t="shared" si="30"/>
        <v>0.1957925137254902</v>
      </c>
      <c r="Q122" s="26">
        <f t="shared" si="31"/>
        <v>-2050729.09</v>
      </c>
    </row>
    <row r="123" spans="1:17" s="14" customFormat="1" ht="63" x14ac:dyDescent="0.25">
      <c r="A123" s="74">
        <v>1516015</v>
      </c>
      <c r="B123" s="88" t="s">
        <v>119</v>
      </c>
      <c r="C123" s="88" t="s">
        <v>20</v>
      </c>
      <c r="D123" s="15" t="s">
        <v>120</v>
      </c>
      <c r="E123" s="103">
        <v>20</v>
      </c>
      <c r="F123" s="41" t="s">
        <v>304</v>
      </c>
      <c r="G123" s="74" t="s">
        <v>305</v>
      </c>
      <c r="H123" s="75">
        <f t="shared" si="42"/>
        <v>486000</v>
      </c>
      <c r="I123" s="26"/>
      <c r="J123" s="75">
        <v>486000</v>
      </c>
      <c r="K123" s="75">
        <v>486000</v>
      </c>
      <c r="L123" s="75">
        <f t="shared" si="29"/>
        <v>486000</v>
      </c>
      <c r="M123" s="75"/>
      <c r="N123" s="75">
        <v>486000</v>
      </c>
      <c r="O123" s="75">
        <v>486000</v>
      </c>
      <c r="P123" s="79">
        <f t="shared" si="30"/>
        <v>1</v>
      </c>
      <c r="Q123" s="26">
        <f t="shared" si="31"/>
        <v>0</v>
      </c>
    </row>
    <row r="124" spans="1:17" s="31" customFormat="1" ht="47.25" x14ac:dyDescent="0.25">
      <c r="A124" s="74">
        <v>1516091</v>
      </c>
      <c r="B124" s="88" t="s">
        <v>298</v>
      </c>
      <c r="C124" s="88" t="s">
        <v>236</v>
      </c>
      <c r="D124" s="15" t="s">
        <v>299</v>
      </c>
      <c r="E124" s="47">
        <v>68</v>
      </c>
      <c r="F124" s="23" t="s">
        <v>257</v>
      </c>
      <c r="G124" s="74" t="s">
        <v>308</v>
      </c>
      <c r="H124" s="75">
        <f t="shared" si="42"/>
        <v>30226232.009999998</v>
      </c>
      <c r="I124" s="26"/>
      <c r="J124" s="75">
        <f>14033601.01+10981383+4148102+926970+136176</f>
        <v>30226232.009999998</v>
      </c>
      <c r="K124" s="75">
        <f>14033601.01+10981383+4148102+926970+136176</f>
        <v>30226232.009999998</v>
      </c>
      <c r="L124" s="75">
        <f t="shared" si="29"/>
        <v>926968.8</v>
      </c>
      <c r="M124" s="75"/>
      <c r="N124" s="75">
        <v>926968.8</v>
      </c>
      <c r="O124" s="75">
        <v>926968.8</v>
      </c>
      <c r="P124" s="79">
        <f t="shared" si="30"/>
        <v>3.0667692873306972E-2</v>
      </c>
      <c r="Q124" s="26">
        <f t="shared" si="31"/>
        <v>-29299263.209999997</v>
      </c>
    </row>
    <row r="125" spans="1:17" s="31" customFormat="1" ht="47.25" x14ac:dyDescent="0.25">
      <c r="A125" s="74">
        <v>1517368</v>
      </c>
      <c r="B125" s="88" t="s">
        <v>300</v>
      </c>
      <c r="C125" s="88" t="s">
        <v>21</v>
      </c>
      <c r="D125" s="15" t="s">
        <v>301</v>
      </c>
      <c r="E125" s="47">
        <v>17</v>
      </c>
      <c r="F125" s="73" t="s">
        <v>153</v>
      </c>
      <c r="G125" s="74" t="s">
        <v>173</v>
      </c>
      <c r="H125" s="75">
        <f t="shared" si="42"/>
        <v>15815727.619999999</v>
      </c>
      <c r="I125" s="26"/>
      <c r="J125" s="75">
        <v>15815727.619999999</v>
      </c>
      <c r="K125" s="75">
        <v>15815727.619999999</v>
      </c>
      <c r="L125" s="75">
        <f t="shared" si="29"/>
        <v>10126234.949999999</v>
      </c>
      <c r="M125" s="75"/>
      <c r="N125" s="75">
        <v>10126234.949999999</v>
      </c>
      <c r="O125" s="75">
        <v>10126234.949999999</v>
      </c>
      <c r="P125" s="79">
        <f t="shared" si="30"/>
        <v>0.64026361564261691</v>
      </c>
      <c r="Q125" s="26">
        <f t="shared" si="31"/>
        <v>-5689492.6699999999</v>
      </c>
    </row>
    <row r="126" spans="1:17" s="14" customFormat="1" ht="63" x14ac:dyDescent="0.25">
      <c r="A126" s="74">
        <v>1517370</v>
      </c>
      <c r="B126" s="88" t="s">
        <v>302</v>
      </c>
      <c r="C126" s="88" t="s">
        <v>21</v>
      </c>
      <c r="D126" s="15" t="s">
        <v>303</v>
      </c>
      <c r="E126" s="103">
        <v>20</v>
      </c>
      <c r="F126" s="41" t="s">
        <v>304</v>
      </c>
      <c r="G126" s="74" t="s">
        <v>305</v>
      </c>
      <c r="H126" s="75">
        <f t="shared" si="42"/>
        <v>19920588</v>
      </c>
      <c r="I126" s="26"/>
      <c r="J126" s="75">
        <v>19920588</v>
      </c>
      <c r="K126" s="75">
        <v>19920588</v>
      </c>
      <c r="L126" s="75">
        <f t="shared" si="29"/>
        <v>7865688.2199999997</v>
      </c>
      <c r="M126" s="75"/>
      <c r="N126" s="75">
        <v>7865688.2199999997</v>
      </c>
      <c r="O126" s="75">
        <v>7865688.2199999997</v>
      </c>
      <c r="P126" s="79">
        <f t="shared" si="30"/>
        <v>0.39485221118975</v>
      </c>
      <c r="Q126" s="26">
        <f t="shared" si="31"/>
        <v>-12054899.780000001</v>
      </c>
    </row>
    <row r="127" spans="1:17" s="31" customFormat="1" ht="47.25" x14ac:dyDescent="0.25">
      <c r="A127" s="74">
        <v>1517520</v>
      </c>
      <c r="B127" s="74">
        <v>7520</v>
      </c>
      <c r="C127" s="74">
        <v>460</v>
      </c>
      <c r="D127" s="83" t="s">
        <v>260</v>
      </c>
      <c r="E127" s="84">
        <v>61</v>
      </c>
      <c r="F127" s="23" t="s">
        <v>259</v>
      </c>
      <c r="G127" s="74" t="s">
        <v>309</v>
      </c>
      <c r="H127" s="75">
        <f t="shared" ref="H127:H128" si="43">I127+J127</f>
        <v>70300</v>
      </c>
      <c r="I127" s="75">
        <f>46300+24000</f>
        <v>70300</v>
      </c>
      <c r="J127" s="75"/>
      <c r="K127" s="75"/>
      <c r="L127" s="75">
        <f t="shared" si="29"/>
        <v>39209</v>
      </c>
      <c r="M127" s="75">
        <v>39209</v>
      </c>
      <c r="N127" s="75"/>
      <c r="O127" s="75"/>
      <c r="P127" s="79">
        <f t="shared" si="30"/>
        <v>0.55773826458036979</v>
      </c>
      <c r="Q127" s="26">
        <f t="shared" si="31"/>
        <v>-31091</v>
      </c>
    </row>
    <row r="128" spans="1:17" s="31" customFormat="1" ht="47.25" x14ac:dyDescent="0.25">
      <c r="A128" s="88" t="s">
        <v>306</v>
      </c>
      <c r="B128" s="88" t="s">
        <v>249</v>
      </c>
      <c r="C128" s="88" t="s">
        <v>162</v>
      </c>
      <c r="D128" s="15" t="s">
        <v>163</v>
      </c>
      <c r="E128" s="47">
        <v>17</v>
      </c>
      <c r="F128" s="73" t="s">
        <v>153</v>
      </c>
      <c r="G128" s="74" t="s">
        <v>173</v>
      </c>
      <c r="H128" s="75">
        <f t="shared" si="43"/>
        <v>4791300</v>
      </c>
      <c r="I128" s="75"/>
      <c r="J128" s="75">
        <f>6791300-2000000</f>
        <v>4791300</v>
      </c>
      <c r="K128" s="75">
        <f>6791300-2000000</f>
        <v>4791300</v>
      </c>
      <c r="L128" s="75">
        <f t="shared" si="29"/>
        <v>0</v>
      </c>
      <c r="M128" s="75"/>
      <c r="N128" s="75"/>
      <c r="O128" s="75"/>
      <c r="P128" s="79">
        <f t="shared" si="30"/>
        <v>0</v>
      </c>
      <c r="Q128" s="26">
        <f t="shared" si="31"/>
        <v>-4791300</v>
      </c>
    </row>
    <row r="129" spans="1:17" s="14" customFormat="1" ht="33" customHeight="1" x14ac:dyDescent="0.25">
      <c r="A129" s="18" t="s">
        <v>38</v>
      </c>
      <c r="B129" s="18"/>
      <c r="C129" s="18"/>
      <c r="D129" s="114" t="s">
        <v>150</v>
      </c>
      <c r="E129" s="115"/>
      <c r="F129" s="116"/>
      <c r="G129" s="77"/>
      <c r="H129" s="26">
        <f t="shared" ref="H129:O129" si="44">H130</f>
        <v>23074600</v>
      </c>
      <c r="I129" s="26">
        <f t="shared" si="44"/>
        <v>23074600</v>
      </c>
      <c r="J129" s="26">
        <f t="shared" si="44"/>
        <v>0</v>
      </c>
      <c r="K129" s="26">
        <f t="shared" si="44"/>
        <v>0</v>
      </c>
      <c r="L129" s="26">
        <f t="shared" si="44"/>
        <v>9929821.9100000001</v>
      </c>
      <c r="M129" s="26">
        <f t="shared" si="44"/>
        <v>9929821.9100000001</v>
      </c>
      <c r="N129" s="26">
        <f t="shared" si="44"/>
        <v>0</v>
      </c>
      <c r="O129" s="26">
        <f t="shared" si="44"/>
        <v>0</v>
      </c>
      <c r="P129" s="81">
        <f t="shared" si="30"/>
        <v>0.43033560321739056</v>
      </c>
      <c r="Q129" s="26">
        <f t="shared" si="31"/>
        <v>-13144778.09</v>
      </c>
    </row>
    <row r="130" spans="1:17" s="19" customFormat="1" ht="33" customHeight="1" x14ac:dyDescent="0.25">
      <c r="A130" s="18" t="s">
        <v>39</v>
      </c>
      <c r="B130" s="18"/>
      <c r="C130" s="18"/>
      <c r="D130" s="114" t="s">
        <v>150</v>
      </c>
      <c r="E130" s="115"/>
      <c r="F130" s="116"/>
      <c r="G130" s="77"/>
      <c r="H130" s="26">
        <f>SUM(H131:H135)</f>
        <v>23074600</v>
      </c>
      <c r="I130" s="26">
        <f>SUM(I131:I135)</f>
        <v>23074600</v>
      </c>
      <c r="J130" s="26">
        <f>SUM(J134:J135)</f>
        <v>0</v>
      </c>
      <c r="K130" s="26">
        <f>SUM(K134:K135)</f>
        <v>0</v>
      </c>
      <c r="L130" s="26">
        <f>SUM(L131:L135)</f>
        <v>9929821.9100000001</v>
      </c>
      <c r="M130" s="26">
        <f>SUM(M131:M135)</f>
        <v>9929821.9100000001</v>
      </c>
      <c r="N130" s="26">
        <f>SUM(N134:N135)</f>
        <v>0</v>
      </c>
      <c r="O130" s="26">
        <f>SUM(O134:O135)</f>
        <v>0</v>
      </c>
      <c r="P130" s="81">
        <f t="shared" si="30"/>
        <v>0.43033560321739056</v>
      </c>
      <c r="Q130" s="26">
        <f t="shared" si="31"/>
        <v>-13144778.09</v>
      </c>
    </row>
    <row r="131" spans="1:17" s="19" customFormat="1" ht="110.25" x14ac:dyDescent="0.25">
      <c r="A131" s="88" t="s">
        <v>235</v>
      </c>
      <c r="B131" s="74">
        <v>6090</v>
      </c>
      <c r="C131" s="88" t="s">
        <v>236</v>
      </c>
      <c r="D131" s="15" t="s">
        <v>237</v>
      </c>
      <c r="E131" s="47">
        <v>45</v>
      </c>
      <c r="F131" s="15" t="s">
        <v>202</v>
      </c>
      <c r="G131" s="68" t="s">
        <v>205</v>
      </c>
      <c r="H131" s="75">
        <f t="shared" ref="H131:H133" si="45">I131+J131</f>
        <v>1500000</v>
      </c>
      <c r="I131" s="75">
        <v>1500000</v>
      </c>
      <c r="J131" s="26"/>
      <c r="K131" s="26"/>
      <c r="L131" s="75">
        <f t="shared" si="29"/>
        <v>750000</v>
      </c>
      <c r="M131" s="75">
        <v>750000</v>
      </c>
      <c r="N131" s="26"/>
      <c r="O131" s="26"/>
      <c r="P131" s="79">
        <f t="shared" si="30"/>
        <v>0.5</v>
      </c>
      <c r="Q131" s="26">
        <f t="shared" si="31"/>
        <v>-750000</v>
      </c>
    </row>
    <row r="132" spans="1:17" s="19" customFormat="1" ht="47.25" x14ac:dyDescent="0.25">
      <c r="A132" s="74" t="s">
        <v>340</v>
      </c>
      <c r="B132" s="74" t="s">
        <v>341</v>
      </c>
      <c r="C132" s="74" t="s">
        <v>342</v>
      </c>
      <c r="D132" s="15" t="s">
        <v>343</v>
      </c>
      <c r="E132" s="47">
        <v>76</v>
      </c>
      <c r="F132" s="73" t="s">
        <v>339</v>
      </c>
      <c r="G132" s="74" t="s">
        <v>348</v>
      </c>
      <c r="H132" s="75">
        <f t="shared" si="45"/>
        <v>1160000</v>
      </c>
      <c r="I132" s="75">
        <v>1160000</v>
      </c>
      <c r="J132" s="26"/>
      <c r="K132" s="26"/>
      <c r="L132" s="75">
        <f t="shared" si="29"/>
        <v>99966.8</v>
      </c>
      <c r="M132" s="75">
        <v>99966.8</v>
      </c>
      <c r="N132" s="26"/>
      <c r="O132" s="26"/>
      <c r="P132" s="79">
        <f t="shared" si="30"/>
        <v>8.617827586206897E-2</v>
      </c>
      <c r="Q132" s="26">
        <f t="shared" si="31"/>
        <v>-1060033.2</v>
      </c>
    </row>
    <row r="133" spans="1:17" s="19" customFormat="1" ht="47.25" x14ac:dyDescent="0.25">
      <c r="A133" s="74">
        <v>3117520</v>
      </c>
      <c r="B133" s="74">
        <v>7520</v>
      </c>
      <c r="C133" s="74">
        <v>460</v>
      </c>
      <c r="D133" s="83" t="s">
        <v>260</v>
      </c>
      <c r="E133" s="84">
        <v>61</v>
      </c>
      <c r="F133" s="23" t="s">
        <v>259</v>
      </c>
      <c r="G133" s="74" t="s">
        <v>309</v>
      </c>
      <c r="H133" s="75">
        <f t="shared" si="45"/>
        <v>48600</v>
      </c>
      <c r="I133" s="75">
        <f>8600+40000</f>
        <v>48600</v>
      </c>
      <c r="J133" s="26"/>
      <c r="K133" s="26"/>
      <c r="L133" s="75">
        <f t="shared" si="29"/>
        <v>40000</v>
      </c>
      <c r="M133" s="75">
        <v>40000</v>
      </c>
      <c r="N133" s="26"/>
      <c r="O133" s="26"/>
      <c r="P133" s="79">
        <f t="shared" si="30"/>
        <v>0.82304526748971196</v>
      </c>
      <c r="Q133" s="26">
        <f t="shared" si="31"/>
        <v>-8600</v>
      </c>
    </row>
    <row r="134" spans="1:17" s="19" customFormat="1" ht="47.25" x14ac:dyDescent="0.25">
      <c r="A134" s="82" t="s">
        <v>40</v>
      </c>
      <c r="B134" s="82" t="s">
        <v>34</v>
      </c>
      <c r="C134" s="82" t="s">
        <v>21</v>
      </c>
      <c r="D134" s="99" t="s">
        <v>51</v>
      </c>
      <c r="E134" s="93">
        <v>67</v>
      </c>
      <c r="F134" s="73" t="s">
        <v>234</v>
      </c>
      <c r="G134" s="74" t="s">
        <v>313</v>
      </c>
      <c r="H134" s="75">
        <f>I134+J134</f>
        <v>20221000</v>
      </c>
      <c r="I134" s="75">
        <f>20021000+200000</f>
        <v>20221000</v>
      </c>
      <c r="J134" s="75"/>
      <c r="K134" s="75"/>
      <c r="L134" s="75">
        <f t="shared" si="29"/>
        <v>8990158.1600000001</v>
      </c>
      <c r="M134" s="75">
        <v>8990158.1600000001</v>
      </c>
      <c r="N134" s="26"/>
      <c r="O134" s="26"/>
      <c r="P134" s="79">
        <f t="shared" si="30"/>
        <v>0.44459513179367982</v>
      </c>
      <c r="Q134" s="26">
        <f t="shared" si="31"/>
        <v>-11230841.84</v>
      </c>
    </row>
    <row r="135" spans="1:17" s="14" customFormat="1" ht="78.75" x14ac:dyDescent="0.25">
      <c r="A135" s="82" t="s">
        <v>188</v>
      </c>
      <c r="B135" s="82" t="s">
        <v>155</v>
      </c>
      <c r="C135" s="82" t="s">
        <v>83</v>
      </c>
      <c r="D135" s="90" t="s">
        <v>156</v>
      </c>
      <c r="E135" s="96">
        <v>66</v>
      </c>
      <c r="F135" s="17" t="s">
        <v>254</v>
      </c>
      <c r="G135" s="74" t="s">
        <v>310</v>
      </c>
      <c r="H135" s="75">
        <f>I135+J135</f>
        <v>145000</v>
      </c>
      <c r="I135" s="75">
        <v>145000</v>
      </c>
      <c r="J135" s="75"/>
      <c r="K135" s="75"/>
      <c r="L135" s="75">
        <f t="shared" si="29"/>
        <v>49696.95</v>
      </c>
      <c r="M135" s="75">
        <v>49696.95</v>
      </c>
      <c r="N135" s="75"/>
      <c r="O135" s="75"/>
      <c r="P135" s="79">
        <f t="shared" si="30"/>
        <v>0.34273758620689654</v>
      </c>
      <c r="Q135" s="26">
        <f t="shared" si="31"/>
        <v>-95303.05</v>
      </c>
    </row>
    <row r="136" spans="1:17" s="14" customFormat="1" ht="15.75" x14ac:dyDescent="0.25">
      <c r="A136" s="18" t="s">
        <v>191</v>
      </c>
      <c r="B136" s="18"/>
      <c r="C136" s="18"/>
      <c r="D136" s="114" t="s">
        <v>189</v>
      </c>
      <c r="E136" s="115"/>
      <c r="F136" s="116"/>
      <c r="G136" s="74"/>
      <c r="H136" s="26">
        <f t="shared" ref="H136:O136" si="46">H137</f>
        <v>111411900</v>
      </c>
      <c r="I136" s="26">
        <f t="shared" si="46"/>
        <v>80602818</v>
      </c>
      <c r="J136" s="26">
        <f t="shared" si="46"/>
        <v>30809082</v>
      </c>
      <c r="K136" s="26">
        <f t="shared" si="46"/>
        <v>30809082</v>
      </c>
      <c r="L136" s="26">
        <f t="shared" si="46"/>
        <v>76280306</v>
      </c>
      <c r="M136" s="26">
        <f t="shared" si="46"/>
        <v>48971224</v>
      </c>
      <c r="N136" s="26">
        <f t="shared" si="46"/>
        <v>27309082</v>
      </c>
      <c r="O136" s="26">
        <f t="shared" si="46"/>
        <v>27309082</v>
      </c>
      <c r="P136" s="81">
        <f t="shared" si="30"/>
        <v>0.68466928577647446</v>
      </c>
      <c r="Q136" s="26">
        <f t="shared" si="31"/>
        <v>-35131594</v>
      </c>
    </row>
    <row r="137" spans="1:17" s="14" customFormat="1" ht="15.75" x14ac:dyDescent="0.25">
      <c r="A137" s="18" t="s">
        <v>190</v>
      </c>
      <c r="B137" s="18"/>
      <c r="C137" s="18"/>
      <c r="D137" s="114" t="s">
        <v>189</v>
      </c>
      <c r="E137" s="115"/>
      <c r="F137" s="116"/>
      <c r="G137" s="74"/>
      <c r="H137" s="26">
        <f t="shared" ref="H137:O137" si="47">SUM(H138:H147)</f>
        <v>111411900</v>
      </c>
      <c r="I137" s="26">
        <f t="shared" si="47"/>
        <v>80602818</v>
      </c>
      <c r="J137" s="26">
        <f t="shared" si="47"/>
        <v>30809082</v>
      </c>
      <c r="K137" s="26">
        <f t="shared" si="47"/>
        <v>30809082</v>
      </c>
      <c r="L137" s="26">
        <f t="shared" si="47"/>
        <v>76280306</v>
      </c>
      <c r="M137" s="26">
        <f t="shared" si="47"/>
        <v>48971224</v>
      </c>
      <c r="N137" s="26">
        <f t="shared" si="47"/>
        <v>27309082</v>
      </c>
      <c r="O137" s="26">
        <f t="shared" si="47"/>
        <v>27309082</v>
      </c>
      <c r="P137" s="81">
        <f t="shared" si="30"/>
        <v>0.68466928577647446</v>
      </c>
      <c r="Q137" s="26">
        <f t="shared" si="31"/>
        <v>-35131594</v>
      </c>
    </row>
    <row r="138" spans="1:17" s="14" customFormat="1" ht="31.5" x14ac:dyDescent="0.25">
      <c r="A138" s="74">
        <v>3717520</v>
      </c>
      <c r="B138" s="74">
        <v>7520</v>
      </c>
      <c r="C138" s="74">
        <v>460</v>
      </c>
      <c r="D138" s="83" t="s">
        <v>260</v>
      </c>
      <c r="E138" s="84">
        <v>61</v>
      </c>
      <c r="F138" s="23" t="s">
        <v>259</v>
      </c>
      <c r="G138" s="74" t="s">
        <v>231</v>
      </c>
      <c r="H138" s="75">
        <f t="shared" ref="H138:H143" si="48">I138+J138</f>
        <v>92500</v>
      </c>
      <c r="I138" s="75">
        <v>92500</v>
      </c>
      <c r="J138" s="26"/>
      <c r="K138" s="26"/>
      <c r="L138" s="75">
        <f t="shared" si="29"/>
        <v>38583</v>
      </c>
      <c r="M138" s="75">
        <v>38583</v>
      </c>
      <c r="N138" s="75"/>
      <c r="O138" s="75"/>
      <c r="P138" s="79">
        <f t="shared" si="30"/>
        <v>0.4171135135135135</v>
      </c>
      <c r="Q138" s="26">
        <f t="shared" si="31"/>
        <v>-53917</v>
      </c>
    </row>
    <row r="139" spans="1:17" s="14" customFormat="1" ht="47.25" x14ac:dyDescent="0.25">
      <c r="A139" s="74">
        <v>3719770</v>
      </c>
      <c r="B139" s="84">
        <v>9770</v>
      </c>
      <c r="C139" s="88" t="s">
        <v>129</v>
      </c>
      <c r="D139" s="109" t="s">
        <v>192</v>
      </c>
      <c r="E139" s="110">
        <v>14</v>
      </c>
      <c r="F139" s="73" t="s">
        <v>76</v>
      </c>
      <c r="G139" s="74" t="s">
        <v>172</v>
      </c>
      <c r="H139" s="75">
        <f t="shared" si="48"/>
        <v>2241100</v>
      </c>
      <c r="I139" s="75">
        <f>2251200-10100</f>
        <v>2241100</v>
      </c>
      <c r="J139" s="75"/>
      <c r="K139" s="75"/>
      <c r="L139" s="75">
        <f t="shared" si="29"/>
        <v>1132600</v>
      </c>
      <c r="M139" s="75">
        <v>1132600</v>
      </c>
      <c r="N139" s="75"/>
      <c r="O139" s="75"/>
      <c r="P139" s="79">
        <f t="shared" si="30"/>
        <v>0.50537682388112981</v>
      </c>
      <c r="Q139" s="26">
        <f t="shared" si="31"/>
        <v>-1108500</v>
      </c>
    </row>
    <row r="140" spans="1:17" s="14" customFormat="1" ht="94.5" x14ac:dyDescent="0.25">
      <c r="A140" s="74">
        <v>3719770</v>
      </c>
      <c r="B140" s="84">
        <v>9770</v>
      </c>
      <c r="C140" s="88" t="s">
        <v>129</v>
      </c>
      <c r="D140" s="109" t="s">
        <v>192</v>
      </c>
      <c r="E140" s="110">
        <v>70</v>
      </c>
      <c r="F140" s="73" t="s">
        <v>222</v>
      </c>
      <c r="G140" s="74" t="s">
        <v>268</v>
      </c>
      <c r="H140" s="75">
        <f>I140+J140</f>
        <v>1958700</v>
      </c>
      <c r="I140" s="75">
        <f>1760700+198000</f>
        <v>1958700</v>
      </c>
      <c r="J140" s="75"/>
      <c r="K140" s="75"/>
      <c r="L140" s="75">
        <f t="shared" si="29"/>
        <v>1958700</v>
      </c>
      <c r="M140" s="75">
        <v>1958700</v>
      </c>
      <c r="N140" s="75"/>
      <c r="O140" s="75"/>
      <c r="P140" s="79">
        <f t="shared" si="30"/>
        <v>1</v>
      </c>
      <c r="Q140" s="26">
        <f t="shared" si="31"/>
        <v>0</v>
      </c>
    </row>
    <row r="141" spans="1:17" s="14" customFormat="1" ht="31.5" x14ac:dyDescent="0.25">
      <c r="A141" s="74">
        <v>3719770</v>
      </c>
      <c r="B141" s="84">
        <v>9770</v>
      </c>
      <c r="C141" s="88" t="s">
        <v>129</v>
      </c>
      <c r="D141" s="109" t="s">
        <v>192</v>
      </c>
      <c r="E141" s="110">
        <v>71</v>
      </c>
      <c r="F141" s="15" t="s">
        <v>223</v>
      </c>
      <c r="G141" s="74" t="s">
        <v>269</v>
      </c>
      <c r="H141" s="75">
        <f t="shared" si="48"/>
        <v>500000</v>
      </c>
      <c r="I141" s="75">
        <v>500000</v>
      </c>
      <c r="J141" s="75"/>
      <c r="K141" s="75"/>
      <c r="L141" s="75">
        <f t="shared" si="29"/>
        <v>500000</v>
      </c>
      <c r="M141" s="75">
        <v>500000</v>
      </c>
      <c r="N141" s="75"/>
      <c r="O141" s="75"/>
      <c r="P141" s="79">
        <f t="shared" si="30"/>
        <v>1</v>
      </c>
      <c r="Q141" s="26">
        <f t="shared" si="31"/>
        <v>0</v>
      </c>
    </row>
    <row r="142" spans="1:17" s="14" customFormat="1" ht="78.75" x14ac:dyDescent="0.25">
      <c r="A142" s="74">
        <v>3719770</v>
      </c>
      <c r="B142" s="84">
        <v>9770</v>
      </c>
      <c r="C142" s="88" t="s">
        <v>129</v>
      </c>
      <c r="D142" s="109" t="s">
        <v>192</v>
      </c>
      <c r="E142" s="111">
        <v>66</v>
      </c>
      <c r="F142" s="73" t="s">
        <v>271</v>
      </c>
      <c r="G142" s="74" t="s">
        <v>310</v>
      </c>
      <c r="H142" s="75">
        <f t="shared" si="48"/>
        <v>10000000</v>
      </c>
      <c r="I142" s="75">
        <v>10000000</v>
      </c>
      <c r="J142" s="75"/>
      <c r="K142" s="75"/>
      <c r="L142" s="75">
        <f t="shared" si="29"/>
        <v>10000000</v>
      </c>
      <c r="M142" s="75">
        <v>10000000</v>
      </c>
      <c r="N142" s="75"/>
      <c r="O142" s="75"/>
      <c r="P142" s="79">
        <f t="shared" si="30"/>
        <v>1</v>
      </c>
      <c r="Q142" s="26">
        <f t="shared" si="31"/>
        <v>0</v>
      </c>
    </row>
    <row r="143" spans="1:17" s="14" customFormat="1" ht="47.25" x14ac:dyDescent="0.25">
      <c r="A143" s="74">
        <v>3719800</v>
      </c>
      <c r="B143" s="84">
        <v>9800</v>
      </c>
      <c r="C143" s="88" t="s">
        <v>129</v>
      </c>
      <c r="D143" s="112" t="s">
        <v>272</v>
      </c>
      <c r="E143" s="47">
        <v>15</v>
      </c>
      <c r="F143" s="73" t="s">
        <v>219</v>
      </c>
      <c r="G143" s="74" t="s">
        <v>170</v>
      </c>
      <c r="H143" s="75">
        <f t="shared" si="48"/>
        <v>200000</v>
      </c>
      <c r="I143" s="75">
        <v>200000</v>
      </c>
      <c r="J143" s="75"/>
      <c r="K143" s="75"/>
      <c r="L143" s="75">
        <f t="shared" si="29"/>
        <v>200000</v>
      </c>
      <c r="M143" s="75">
        <v>200000</v>
      </c>
      <c r="N143" s="75"/>
      <c r="O143" s="75"/>
      <c r="P143" s="79">
        <f t="shared" si="30"/>
        <v>1</v>
      </c>
      <c r="Q143" s="26">
        <f t="shared" si="31"/>
        <v>0</v>
      </c>
    </row>
    <row r="144" spans="1:17" s="14" customFormat="1" ht="78.75" x14ac:dyDescent="0.25">
      <c r="A144" s="74">
        <v>3719800</v>
      </c>
      <c r="B144" s="84">
        <v>9800</v>
      </c>
      <c r="C144" s="88" t="s">
        <v>129</v>
      </c>
      <c r="D144" s="112" t="s">
        <v>272</v>
      </c>
      <c r="E144" s="111">
        <v>66</v>
      </c>
      <c r="F144" s="73" t="s">
        <v>271</v>
      </c>
      <c r="G144" s="74" t="s">
        <v>310</v>
      </c>
      <c r="H144" s="75">
        <f t="shared" ref="H144:H147" si="49">I144+J144</f>
        <v>90000000</v>
      </c>
      <c r="I144" s="75">
        <v>61515918</v>
      </c>
      <c r="J144" s="75">
        <v>28484082</v>
      </c>
      <c r="K144" s="75">
        <v>28484082</v>
      </c>
      <c r="L144" s="75">
        <f t="shared" si="29"/>
        <v>56030823</v>
      </c>
      <c r="M144" s="75">
        <v>31046741</v>
      </c>
      <c r="N144" s="75">
        <v>24984082</v>
      </c>
      <c r="O144" s="75">
        <v>24984082</v>
      </c>
      <c r="P144" s="79">
        <f t="shared" si="30"/>
        <v>0.62256469999999997</v>
      </c>
      <c r="Q144" s="26">
        <f t="shared" si="31"/>
        <v>-33969177</v>
      </c>
    </row>
    <row r="145" spans="1:18" s="14" customFormat="1" ht="47.25" x14ac:dyDescent="0.25">
      <c r="A145" s="74">
        <v>3719800</v>
      </c>
      <c r="B145" s="84">
        <v>9800</v>
      </c>
      <c r="C145" s="88" t="s">
        <v>129</v>
      </c>
      <c r="D145" s="15" t="s">
        <v>272</v>
      </c>
      <c r="E145" s="47">
        <v>72</v>
      </c>
      <c r="F145" s="73" t="s">
        <v>270</v>
      </c>
      <c r="G145" s="74" t="s">
        <v>314</v>
      </c>
      <c r="H145" s="75">
        <f t="shared" si="49"/>
        <v>3000000</v>
      </c>
      <c r="I145" s="75">
        <f>2000000-130000+100000</f>
        <v>1970000</v>
      </c>
      <c r="J145" s="75">
        <f>1000000+130000-100000</f>
        <v>1030000</v>
      </c>
      <c r="K145" s="75">
        <f>1000000+130000-100000</f>
        <v>1030000</v>
      </c>
      <c r="L145" s="75">
        <f t="shared" si="29"/>
        <v>3000000</v>
      </c>
      <c r="M145" s="75">
        <v>1970000</v>
      </c>
      <c r="N145" s="75">
        <v>1030000</v>
      </c>
      <c r="O145" s="75">
        <v>1030000</v>
      </c>
      <c r="P145" s="79">
        <f t="shared" si="30"/>
        <v>1</v>
      </c>
      <c r="Q145" s="26">
        <f t="shared" si="31"/>
        <v>0</v>
      </c>
    </row>
    <row r="146" spans="1:18" s="14" customFormat="1" ht="47.25" x14ac:dyDescent="0.25">
      <c r="A146" s="74">
        <v>3719800</v>
      </c>
      <c r="B146" s="84">
        <v>9800</v>
      </c>
      <c r="C146" s="88" t="s">
        <v>129</v>
      </c>
      <c r="D146" s="15" t="s">
        <v>272</v>
      </c>
      <c r="E146" s="47">
        <v>74</v>
      </c>
      <c r="F146" s="73" t="s">
        <v>326</v>
      </c>
      <c r="G146" s="74" t="s">
        <v>329</v>
      </c>
      <c r="H146" s="75">
        <f t="shared" si="49"/>
        <v>2000000</v>
      </c>
      <c r="I146" s="75">
        <v>2000000</v>
      </c>
      <c r="J146" s="75"/>
      <c r="K146" s="75"/>
      <c r="L146" s="75">
        <f t="shared" si="29"/>
        <v>2000000</v>
      </c>
      <c r="M146" s="75">
        <v>2000000</v>
      </c>
      <c r="N146" s="75"/>
      <c r="O146" s="75"/>
      <c r="P146" s="79">
        <f t="shared" ref="P146:P182" si="50">L146/H146</f>
        <v>1</v>
      </c>
      <c r="Q146" s="26">
        <f t="shared" si="31"/>
        <v>0</v>
      </c>
    </row>
    <row r="147" spans="1:18" s="14" customFormat="1" ht="47.25" x14ac:dyDescent="0.25">
      <c r="A147" s="74">
        <v>3719800</v>
      </c>
      <c r="B147" s="84">
        <v>9800</v>
      </c>
      <c r="C147" s="88" t="s">
        <v>129</v>
      </c>
      <c r="D147" s="15" t="s">
        <v>272</v>
      </c>
      <c r="E147" s="47">
        <v>75</v>
      </c>
      <c r="F147" s="73" t="s">
        <v>327</v>
      </c>
      <c r="G147" s="74" t="s">
        <v>330</v>
      </c>
      <c r="H147" s="75">
        <f t="shared" si="49"/>
        <v>1419600</v>
      </c>
      <c r="I147" s="75">
        <v>124600</v>
      </c>
      <c r="J147" s="75">
        <v>1295000</v>
      </c>
      <c r="K147" s="75">
        <v>1295000</v>
      </c>
      <c r="L147" s="75">
        <f t="shared" ref="L147" si="51">M147+N147</f>
        <v>1419600</v>
      </c>
      <c r="M147" s="75">
        <v>124600</v>
      </c>
      <c r="N147" s="75">
        <v>1295000</v>
      </c>
      <c r="O147" s="75">
        <v>1295000</v>
      </c>
      <c r="P147" s="79">
        <f t="shared" si="50"/>
        <v>1</v>
      </c>
      <c r="Q147" s="26">
        <f t="shared" ref="Q147:Q183" si="52">L147-H147</f>
        <v>0</v>
      </c>
    </row>
    <row r="148" spans="1:18" s="14" customFormat="1" ht="15.75" x14ac:dyDescent="0.25">
      <c r="A148" s="77"/>
      <c r="B148" s="77"/>
      <c r="C148" s="77"/>
      <c r="D148" s="118" t="s">
        <v>220</v>
      </c>
      <c r="E148" s="118"/>
      <c r="F148" s="118"/>
      <c r="G148" s="77"/>
      <c r="H148" s="26">
        <f t="shared" ref="H148:O148" si="53">H15+H37+H58+H75+H80+H89+H97+H129+H136+H120</f>
        <v>755377878.81000006</v>
      </c>
      <c r="I148" s="26">
        <f t="shared" si="53"/>
        <v>495186409</v>
      </c>
      <c r="J148" s="26">
        <f t="shared" si="53"/>
        <v>260191469.81</v>
      </c>
      <c r="K148" s="26">
        <f t="shared" si="53"/>
        <v>258416095.63</v>
      </c>
      <c r="L148" s="26">
        <f t="shared" si="53"/>
        <v>317099768.40999997</v>
      </c>
      <c r="M148" s="26">
        <f t="shared" si="53"/>
        <v>242168363.09</v>
      </c>
      <c r="N148" s="26">
        <f t="shared" si="53"/>
        <v>74931405.319999993</v>
      </c>
      <c r="O148" s="26">
        <f t="shared" si="53"/>
        <v>74794064.939999998</v>
      </c>
      <c r="P148" s="81">
        <f t="shared" si="50"/>
        <v>0.41978958784118692</v>
      </c>
      <c r="Q148" s="26">
        <f t="shared" si="52"/>
        <v>-438278110.4000001</v>
      </c>
      <c r="R148" s="78"/>
    </row>
    <row r="149" spans="1:18" s="19" customFormat="1" ht="47.25" x14ac:dyDescent="0.25">
      <c r="A149" s="74">
        <v>1</v>
      </c>
      <c r="B149" s="76"/>
      <c r="C149" s="76"/>
      <c r="D149" s="71"/>
      <c r="E149" s="76">
        <v>1</v>
      </c>
      <c r="F149" s="73" t="s">
        <v>28</v>
      </c>
      <c r="G149" s="74" t="s">
        <v>179</v>
      </c>
      <c r="H149" s="75">
        <f>H53</f>
        <v>300000</v>
      </c>
      <c r="I149" s="75">
        <f>I53</f>
        <v>300000</v>
      </c>
      <c r="J149" s="75"/>
      <c r="K149" s="75"/>
      <c r="L149" s="75">
        <f>L53</f>
        <v>145600</v>
      </c>
      <c r="M149" s="75">
        <f>M53</f>
        <v>145600</v>
      </c>
      <c r="N149" s="75"/>
      <c r="O149" s="75"/>
      <c r="P149" s="79">
        <f t="shared" si="50"/>
        <v>0.48533333333333334</v>
      </c>
      <c r="Q149" s="26">
        <f t="shared" si="52"/>
        <v>-154400</v>
      </c>
    </row>
    <row r="150" spans="1:18" s="14" customFormat="1" ht="52.5" customHeight="1" x14ac:dyDescent="0.25">
      <c r="A150" s="74">
        <v>2</v>
      </c>
      <c r="B150" s="76"/>
      <c r="C150" s="76"/>
      <c r="D150" s="71"/>
      <c r="E150" s="76">
        <v>9</v>
      </c>
      <c r="F150" s="73" t="s">
        <v>203</v>
      </c>
      <c r="G150" s="74" t="s">
        <v>201</v>
      </c>
      <c r="H150" s="75">
        <f t="shared" ref="H150:O150" si="54">H102</f>
        <v>5400457.25</v>
      </c>
      <c r="I150" s="75">
        <f t="shared" si="54"/>
        <v>300000</v>
      </c>
      <c r="J150" s="75">
        <f t="shared" si="54"/>
        <v>5100457.25</v>
      </c>
      <c r="K150" s="75">
        <f t="shared" si="54"/>
        <v>5100457.25</v>
      </c>
      <c r="L150" s="75">
        <f t="shared" si="54"/>
        <v>3603966.63</v>
      </c>
      <c r="M150" s="75">
        <f t="shared" si="54"/>
        <v>0</v>
      </c>
      <c r="N150" s="75">
        <f t="shared" si="54"/>
        <v>3603966.63</v>
      </c>
      <c r="O150" s="75">
        <f t="shared" si="54"/>
        <v>3603966.63</v>
      </c>
      <c r="P150" s="79">
        <f t="shared" si="50"/>
        <v>0.66734471974572152</v>
      </c>
      <c r="Q150" s="26">
        <f t="shared" si="52"/>
        <v>-1796490.62</v>
      </c>
    </row>
    <row r="151" spans="1:18" s="14" customFormat="1" ht="63" x14ac:dyDescent="0.25">
      <c r="A151" s="74">
        <v>3</v>
      </c>
      <c r="B151" s="76"/>
      <c r="C151" s="76"/>
      <c r="D151" s="71"/>
      <c r="E151" s="76">
        <v>13</v>
      </c>
      <c r="F151" s="73" t="s">
        <v>93</v>
      </c>
      <c r="G151" s="74" t="s">
        <v>180</v>
      </c>
      <c r="H151" s="75">
        <f t="shared" ref="H151:O151" si="55">H24+H60+H63+H72+H39</f>
        <v>23358825</v>
      </c>
      <c r="I151" s="75">
        <f t="shared" si="55"/>
        <v>22367200</v>
      </c>
      <c r="J151" s="75">
        <f t="shared" si="55"/>
        <v>991625</v>
      </c>
      <c r="K151" s="75">
        <f t="shared" si="55"/>
        <v>991625</v>
      </c>
      <c r="L151" s="75">
        <f t="shared" si="55"/>
        <v>7911988.8600000003</v>
      </c>
      <c r="M151" s="75">
        <f t="shared" si="55"/>
        <v>7777192.6699999999</v>
      </c>
      <c r="N151" s="75">
        <f t="shared" si="55"/>
        <v>134796.19</v>
      </c>
      <c r="O151" s="75">
        <f t="shared" si="55"/>
        <v>134796.19</v>
      </c>
      <c r="P151" s="79">
        <f t="shared" si="50"/>
        <v>0.33871519051150906</v>
      </c>
      <c r="Q151" s="26">
        <f>L151-H151</f>
        <v>-15446836.140000001</v>
      </c>
    </row>
    <row r="152" spans="1:18" s="14" customFormat="1" ht="53.25" customHeight="1" x14ac:dyDescent="0.25">
      <c r="A152" s="74">
        <v>4</v>
      </c>
      <c r="B152" s="76"/>
      <c r="C152" s="76"/>
      <c r="D152" s="71"/>
      <c r="E152" s="76">
        <v>14</v>
      </c>
      <c r="F152" s="73" t="s">
        <v>76</v>
      </c>
      <c r="G152" s="74" t="s">
        <v>172</v>
      </c>
      <c r="H152" s="75">
        <f t="shared" ref="H152:O152" si="56">H23+H54+H61+H62+H64+H66+H68+H69+H70+H71+H73+H77+H139</f>
        <v>55472400</v>
      </c>
      <c r="I152" s="75">
        <f t="shared" si="56"/>
        <v>55472400</v>
      </c>
      <c r="J152" s="75">
        <f t="shared" si="56"/>
        <v>0</v>
      </c>
      <c r="K152" s="75">
        <f t="shared" si="56"/>
        <v>0</v>
      </c>
      <c r="L152" s="75">
        <f t="shared" si="56"/>
        <v>22872715.359999999</v>
      </c>
      <c r="M152" s="75">
        <f t="shared" si="56"/>
        <v>22872715.359999999</v>
      </c>
      <c r="N152" s="75">
        <f t="shared" si="56"/>
        <v>0</v>
      </c>
      <c r="O152" s="75">
        <f t="shared" si="56"/>
        <v>0</v>
      </c>
      <c r="P152" s="79">
        <f t="shared" si="50"/>
        <v>0.41232604610581119</v>
      </c>
      <c r="Q152" s="26">
        <f t="shared" si="52"/>
        <v>-32599684.640000001</v>
      </c>
    </row>
    <row r="153" spans="1:18" s="14" customFormat="1" ht="49.5" customHeight="1" x14ac:dyDescent="0.25">
      <c r="A153" s="74">
        <v>5</v>
      </c>
      <c r="B153" s="76"/>
      <c r="C153" s="76"/>
      <c r="D153" s="37"/>
      <c r="E153" s="50">
        <v>15</v>
      </c>
      <c r="F153" s="73" t="s">
        <v>219</v>
      </c>
      <c r="G153" s="74" t="s">
        <v>170</v>
      </c>
      <c r="H153" s="75">
        <f>H17+H18+H19+H20+H30+H143+H22+H26</f>
        <v>78387080</v>
      </c>
      <c r="I153" s="75">
        <f>I17+I18+I19+I20+I30+I143+I22+I26</f>
        <v>64281440</v>
      </c>
      <c r="J153" s="75">
        <f>J17+J18+J19+J20+J30+J143+J22+J26</f>
        <v>14105640</v>
      </c>
      <c r="K153" s="75">
        <f>K17+K18+K19+K20+K30+K143+K22+K26</f>
        <v>14105640</v>
      </c>
      <c r="L153" s="75">
        <f>L17+L18+L19+L20+L30+L143</f>
        <v>26431760.220000003</v>
      </c>
      <c r="M153" s="75">
        <f>M17+M18+M19+M20+M30+M143</f>
        <v>26007316.480000004</v>
      </c>
      <c r="N153" s="75">
        <f>N17+N18+N19+N20+N30+N143+N22+N26</f>
        <v>424443.74</v>
      </c>
      <c r="O153" s="75">
        <f>O17+O18+O19+O20+O30+O143+O22+O26</f>
        <v>424443.74</v>
      </c>
      <c r="P153" s="79">
        <f t="shared" si="50"/>
        <v>0.33719536714468767</v>
      </c>
      <c r="Q153" s="26">
        <f t="shared" si="52"/>
        <v>-51955319.780000001</v>
      </c>
    </row>
    <row r="154" spans="1:18" s="14" customFormat="1" ht="47.25" x14ac:dyDescent="0.25">
      <c r="A154" s="74">
        <v>6</v>
      </c>
      <c r="B154" s="76"/>
      <c r="C154" s="76"/>
      <c r="D154" s="37"/>
      <c r="E154" s="50">
        <v>16</v>
      </c>
      <c r="F154" s="73" t="s">
        <v>121</v>
      </c>
      <c r="G154" s="74" t="s">
        <v>174</v>
      </c>
      <c r="H154" s="75">
        <f t="shared" ref="H154:O154" si="57">H40+H41+H44+H45+H46+H47+H48+H49+H55+H50</f>
        <v>41872428</v>
      </c>
      <c r="I154" s="75">
        <f t="shared" si="57"/>
        <v>33482712</v>
      </c>
      <c r="J154" s="75">
        <f t="shared" si="57"/>
        <v>8389716</v>
      </c>
      <c r="K154" s="75">
        <f t="shared" si="57"/>
        <v>8389716</v>
      </c>
      <c r="L154" s="75">
        <f t="shared" si="57"/>
        <v>10624166.109999999</v>
      </c>
      <c r="M154" s="75">
        <f t="shared" si="57"/>
        <v>9044896.1099999994</v>
      </c>
      <c r="N154" s="75">
        <f t="shared" si="57"/>
        <v>1579270</v>
      </c>
      <c r="O154" s="75">
        <f t="shared" si="57"/>
        <v>1579270</v>
      </c>
      <c r="P154" s="79">
        <f t="shared" si="50"/>
        <v>0.25372701363293287</v>
      </c>
      <c r="Q154" s="26">
        <f t="shared" si="52"/>
        <v>-31248261.890000001</v>
      </c>
    </row>
    <row r="155" spans="1:18" s="14" customFormat="1" ht="47.25" x14ac:dyDescent="0.25">
      <c r="A155" s="74">
        <v>7</v>
      </c>
      <c r="B155" s="76"/>
      <c r="C155" s="76"/>
      <c r="D155" s="71"/>
      <c r="E155" s="76">
        <v>17</v>
      </c>
      <c r="F155" s="73" t="s">
        <v>161</v>
      </c>
      <c r="G155" s="74" t="s">
        <v>173</v>
      </c>
      <c r="H155" s="75">
        <f t="shared" ref="H155:O155" si="58">H31+H51+H109+H117+H57+H121+H122+H125+H128</f>
        <v>123747124.62</v>
      </c>
      <c r="I155" s="75">
        <f t="shared" si="58"/>
        <v>4030700</v>
      </c>
      <c r="J155" s="75">
        <f t="shared" si="58"/>
        <v>119716424.62</v>
      </c>
      <c r="K155" s="75">
        <f t="shared" si="58"/>
        <v>119716424.62</v>
      </c>
      <c r="L155" s="75">
        <f t="shared" si="58"/>
        <v>29535346.82</v>
      </c>
      <c r="M155" s="75">
        <f t="shared" si="58"/>
        <v>740750.92999999993</v>
      </c>
      <c r="N155" s="75">
        <f t="shared" si="58"/>
        <v>28794595.890000001</v>
      </c>
      <c r="O155" s="75">
        <f t="shared" si="58"/>
        <v>28794595.890000001</v>
      </c>
      <c r="P155" s="79">
        <f t="shared" si="50"/>
        <v>0.23867501496052135</v>
      </c>
      <c r="Q155" s="26">
        <f t="shared" si="52"/>
        <v>-94211777.800000012</v>
      </c>
    </row>
    <row r="156" spans="1:18" s="14" customFormat="1" ht="126" x14ac:dyDescent="0.25">
      <c r="A156" s="74">
        <v>8</v>
      </c>
      <c r="B156" s="76"/>
      <c r="C156" s="76"/>
      <c r="D156" s="71"/>
      <c r="E156" s="43">
        <v>18</v>
      </c>
      <c r="F156" s="17" t="s">
        <v>195</v>
      </c>
      <c r="G156" s="74" t="s">
        <v>196</v>
      </c>
      <c r="H156" s="75">
        <f t="shared" ref="H156:O156" si="59">H32</f>
        <v>2083400</v>
      </c>
      <c r="I156" s="75">
        <f t="shared" si="59"/>
        <v>2083400</v>
      </c>
      <c r="J156" s="75">
        <f t="shared" si="59"/>
        <v>0</v>
      </c>
      <c r="K156" s="75">
        <f t="shared" si="59"/>
        <v>0</v>
      </c>
      <c r="L156" s="75">
        <f t="shared" si="59"/>
        <v>129600</v>
      </c>
      <c r="M156" s="75">
        <f t="shared" si="59"/>
        <v>129600</v>
      </c>
      <c r="N156" s="75">
        <f t="shared" si="59"/>
        <v>0</v>
      </c>
      <c r="O156" s="75">
        <f t="shared" si="59"/>
        <v>0</v>
      </c>
      <c r="P156" s="79">
        <f t="shared" si="50"/>
        <v>6.2206009407698951E-2</v>
      </c>
      <c r="Q156" s="26">
        <f t="shared" si="52"/>
        <v>-1953800</v>
      </c>
    </row>
    <row r="157" spans="1:18" s="14" customFormat="1" ht="63" x14ac:dyDescent="0.25">
      <c r="A157" s="74">
        <v>9</v>
      </c>
      <c r="B157" s="76"/>
      <c r="C157" s="76"/>
      <c r="D157" s="71"/>
      <c r="E157" s="48">
        <v>20</v>
      </c>
      <c r="F157" s="41" t="s">
        <v>304</v>
      </c>
      <c r="G157" s="74" t="s">
        <v>305</v>
      </c>
      <c r="H157" s="75">
        <f t="shared" ref="H157:O157" si="60">H123+H126</f>
        <v>20406588</v>
      </c>
      <c r="I157" s="75">
        <f t="shared" si="60"/>
        <v>0</v>
      </c>
      <c r="J157" s="75">
        <f t="shared" si="60"/>
        <v>20406588</v>
      </c>
      <c r="K157" s="75">
        <f t="shared" si="60"/>
        <v>20406588</v>
      </c>
      <c r="L157" s="75">
        <f t="shared" si="60"/>
        <v>8351688.2199999997</v>
      </c>
      <c r="M157" s="75">
        <f t="shared" si="60"/>
        <v>0</v>
      </c>
      <c r="N157" s="75">
        <f t="shared" si="60"/>
        <v>8351688.2199999997</v>
      </c>
      <c r="O157" s="75">
        <f t="shared" si="60"/>
        <v>8351688.2199999997</v>
      </c>
      <c r="P157" s="79">
        <f t="shared" si="50"/>
        <v>0.40926431307379751</v>
      </c>
      <c r="Q157" s="26">
        <f t="shared" si="52"/>
        <v>-12054899.780000001</v>
      </c>
    </row>
    <row r="158" spans="1:18" s="14" customFormat="1" ht="47.25" x14ac:dyDescent="0.25">
      <c r="A158" s="74">
        <v>10</v>
      </c>
      <c r="B158" s="76"/>
      <c r="C158" s="76"/>
      <c r="D158" s="71"/>
      <c r="E158" s="43">
        <v>23</v>
      </c>
      <c r="F158" s="17" t="s">
        <v>157</v>
      </c>
      <c r="G158" s="74" t="s">
        <v>159</v>
      </c>
      <c r="H158" s="75">
        <f>H42</f>
        <v>200000</v>
      </c>
      <c r="I158" s="75">
        <f>I42</f>
        <v>200000</v>
      </c>
      <c r="J158" s="75"/>
      <c r="K158" s="75"/>
      <c r="L158" s="75">
        <f>L42</f>
        <v>0</v>
      </c>
      <c r="M158" s="75">
        <f>M42</f>
        <v>0</v>
      </c>
      <c r="N158" s="75"/>
      <c r="O158" s="75"/>
      <c r="P158" s="79">
        <f t="shared" si="50"/>
        <v>0</v>
      </c>
      <c r="Q158" s="26">
        <f t="shared" si="52"/>
        <v>-200000</v>
      </c>
    </row>
    <row r="159" spans="1:18" s="14" customFormat="1" ht="47.25" x14ac:dyDescent="0.25">
      <c r="A159" s="74">
        <v>11</v>
      </c>
      <c r="B159" s="76"/>
      <c r="C159" s="76"/>
      <c r="D159" s="71"/>
      <c r="E159" s="76">
        <v>25</v>
      </c>
      <c r="F159" s="23" t="s">
        <v>182</v>
      </c>
      <c r="G159" s="74" t="s">
        <v>206</v>
      </c>
      <c r="H159" s="75">
        <f>H52+H83+H67</f>
        <v>5201100</v>
      </c>
      <c r="I159" s="75">
        <f>I52+I83+I67</f>
        <v>5201100</v>
      </c>
      <c r="J159" s="75">
        <f>J52+J83</f>
        <v>0</v>
      </c>
      <c r="K159" s="75">
        <f>K52+K83</f>
        <v>0</v>
      </c>
      <c r="L159" s="75">
        <f>L52+L83+L67</f>
        <v>2208242.04</v>
      </c>
      <c r="M159" s="75">
        <f>M52+M83+M67</f>
        <v>2208242.04</v>
      </c>
      <c r="N159" s="75">
        <f>N52+N83</f>
        <v>0</v>
      </c>
      <c r="O159" s="75">
        <f>O52+O83</f>
        <v>0</v>
      </c>
      <c r="P159" s="79">
        <f t="shared" si="50"/>
        <v>0.42457211743669609</v>
      </c>
      <c r="Q159" s="26">
        <f t="shared" si="52"/>
        <v>-2992857.96</v>
      </c>
    </row>
    <row r="160" spans="1:18" s="14" customFormat="1" ht="47.25" x14ac:dyDescent="0.25">
      <c r="A160" s="74">
        <v>12</v>
      </c>
      <c r="B160" s="76"/>
      <c r="C160" s="76"/>
      <c r="D160" s="71"/>
      <c r="E160" s="76">
        <v>28</v>
      </c>
      <c r="F160" s="23" t="s">
        <v>148</v>
      </c>
      <c r="G160" s="66" t="s">
        <v>197</v>
      </c>
      <c r="H160" s="75">
        <f>H82+H84+H85+H86+H87</f>
        <v>4150770</v>
      </c>
      <c r="I160" s="75">
        <f>I82+I84+I85+I86+I87</f>
        <v>3455670</v>
      </c>
      <c r="J160" s="75">
        <f>J82+J84+J85+J86+J87</f>
        <v>695100</v>
      </c>
      <c r="K160" s="75">
        <f>K82+K84+K85+K86</f>
        <v>420100</v>
      </c>
      <c r="L160" s="75">
        <f>L82+L84+L85+L86+L87</f>
        <v>1741846.02</v>
      </c>
      <c r="M160" s="75">
        <f>M82+M84+M85+M86+M87</f>
        <v>1375264.02</v>
      </c>
      <c r="N160" s="75">
        <f>N82+N84+N85+N86+N87</f>
        <v>366582</v>
      </c>
      <c r="O160" s="75">
        <f>O82+O84+O85+O86</f>
        <v>230000</v>
      </c>
      <c r="P160" s="79">
        <f t="shared" si="50"/>
        <v>0.41964407085914179</v>
      </c>
      <c r="Q160" s="26">
        <f t="shared" si="52"/>
        <v>-2408923.98</v>
      </c>
    </row>
    <row r="161" spans="1:17" s="14" customFormat="1" ht="47.25" x14ac:dyDescent="0.25">
      <c r="A161" s="74">
        <v>13</v>
      </c>
      <c r="B161" s="76"/>
      <c r="C161" s="76"/>
      <c r="D161" s="71"/>
      <c r="E161" s="76">
        <v>29</v>
      </c>
      <c r="F161" s="73" t="s">
        <v>169</v>
      </c>
      <c r="G161" s="74" t="s">
        <v>198</v>
      </c>
      <c r="H161" s="75">
        <f t="shared" ref="H161:O161" si="61">H65+H91</f>
        <v>1379500</v>
      </c>
      <c r="I161" s="75">
        <f t="shared" si="61"/>
        <v>1379500</v>
      </c>
      <c r="J161" s="75">
        <f t="shared" si="61"/>
        <v>0</v>
      </c>
      <c r="K161" s="75">
        <f t="shared" si="61"/>
        <v>0</v>
      </c>
      <c r="L161" s="75">
        <f t="shared" si="61"/>
        <v>451739.53</v>
      </c>
      <c r="M161" s="75">
        <f t="shared" si="61"/>
        <v>451739.53</v>
      </c>
      <c r="N161" s="75">
        <f t="shared" si="61"/>
        <v>0</v>
      </c>
      <c r="O161" s="75">
        <f t="shared" si="61"/>
        <v>0</v>
      </c>
      <c r="P161" s="79">
        <f t="shared" si="50"/>
        <v>0.32746613265675972</v>
      </c>
      <c r="Q161" s="26">
        <f t="shared" si="52"/>
        <v>-927760.47</v>
      </c>
    </row>
    <row r="162" spans="1:17" s="14" customFormat="1" ht="47.25" x14ac:dyDescent="0.25">
      <c r="A162" s="74">
        <v>14</v>
      </c>
      <c r="B162" s="76"/>
      <c r="C162" s="76"/>
      <c r="D162" s="71"/>
      <c r="E162" s="76">
        <v>30</v>
      </c>
      <c r="F162" s="73" t="s">
        <v>160</v>
      </c>
      <c r="G162" s="74" t="s">
        <v>186</v>
      </c>
      <c r="H162" s="75">
        <f t="shared" ref="H162:O162" si="62">H92+H93+H94+H95</f>
        <v>5752056</v>
      </c>
      <c r="I162" s="75">
        <f t="shared" si="62"/>
        <v>5752056</v>
      </c>
      <c r="J162" s="75">
        <f t="shared" si="62"/>
        <v>0</v>
      </c>
      <c r="K162" s="75">
        <f t="shared" si="62"/>
        <v>0</v>
      </c>
      <c r="L162" s="75">
        <f t="shared" si="62"/>
        <v>2195266.91</v>
      </c>
      <c r="M162" s="75">
        <f t="shared" si="62"/>
        <v>2195266.91</v>
      </c>
      <c r="N162" s="75">
        <f t="shared" si="62"/>
        <v>0</v>
      </c>
      <c r="O162" s="75">
        <f t="shared" si="62"/>
        <v>0</v>
      </c>
      <c r="P162" s="79">
        <f t="shared" si="50"/>
        <v>0.38164908512712675</v>
      </c>
      <c r="Q162" s="26">
        <f t="shared" si="52"/>
        <v>-3556789.09</v>
      </c>
    </row>
    <row r="163" spans="1:17" s="14" customFormat="1" ht="63" x14ac:dyDescent="0.25">
      <c r="A163" s="74">
        <v>15</v>
      </c>
      <c r="B163" s="76"/>
      <c r="C163" s="76"/>
      <c r="D163" s="71"/>
      <c r="E163" s="76">
        <v>32</v>
      </c>
      <c r="F163" s="73" t="s">
        <v>184</v>
      </c>
      <c r="G163" s="74" t="s">
        <v>183</v>
      </c>
      <c r="H163" s="75">
        <f t="shared" ref="H163:O163" si="63">H43</f>
        <v>15000</v>
      </c>
      <c r="I163" s="75">
        <f t="shared" si="63"/>
        <v>15000</v>
      </c>
      <c r="J163" s="75">
        <f t="shared" si="63"/>
        <v>0</v>
      </c>
      <c r="K163" s="75">
        <f t="shared" si="63"/>
        <v>0</v>
      </c>
      <c r="L163" s="75">
        <f t="shared" si="63"/>
        <v>0</v>
      </c>
      <c r="M163" s="75">
        <f t="shared" si="63"/>
        <v>0</v>
      </c>
      <c r="N163" s="75">
        <f t="shared" si="63"/>
        <v>0</v>
      </c>
      <c r="O163" s="75">
        <f t="shared" si="63"/>
        <v>0</v>
      </c>
      <c r="P163" s="79">
        <f t="shared" si="50"/>
        <v>0</v>
      </c>
      <c r="Q163" s="26">
        <f t="shared" si="52"/>
        <v>-15000</v>
      </c>
    </row>
    <row r="164" spans="1:17" s="14" customFormat="1" ht="63" x14ac:dyDescent="0.25">
      <c r="A164" s="74">
        <v>16</v>
      </c>
      <c r="B164" s="76"/>
      <c r="C164" s="76"/>
      <c r="D164" s="71"/>
      <c r="E164" s="43">
        <v>36</v>
      </c>
      <c r="F164" s="17" t="s">
        <v>187</v>
      </c>
      <c r="G164" s="74" t="s">
        <v>199</v>
      </c>
      <c r="H164" s="75">
        <f t="shared" ref="H164:O164" si="64">H33</f>
        <v>3091000</v>
      </c>
      <c r="I164" s="75">
        <f t="shared" si="64"/>
        <v>2270000</v>
      </c>
      <c r="J164" s="75">
        <f t="shared" si="64"/>
        <v>821000</v>
      </c>
      <c r="K164" s="75">
        <f t="shared" si="64"/>
        <v>821000</v>
      </c>
      <c r="L164" s="75">
        <f t="shared" si="64"/>
        <v>1565627</v>
      </c>
      <c r="M164" s="75">
        <f t="shared" si="64"/>
        <v>1070777</v>
      </c>
      <c r="N164" s="75">
        <f t="shared" si="64"/>
        <v>494850</v>
      </c>
      <c r="O164" s="75">
        <f t="shared" si="64"/>
        <v>494850</v>
      </c>
      <c r="P164" s="79">
        <f t="shared" si="50"/>
        <v>0.50651148495632481</v>
      </c>
      <c r="Q164" s="26">
        <f t="shared" si="52"/>
        <v>-1525373</v>
      </c>
    </row>
    <row r="165" spans="1:17" s="14" customFormat="1" ht="78.75" x14ac:dyDescent="0.25">
      <c r="A165" s="74">
        <v>17</v>
      </c>
      <c r="B165" s="76"/>
      <c r="C165" s="76"/>
      <c r="D165" s="71"/>
      <c r="E165" s="76">
        <v>40</v>
      </c>
      <c r="F165" s="23" t="s">
        <v>281</v>
      </c>
      <c r="G165" s="74" t="s">
        <v>312</v>
      </c>
      <c r="H165" s="75">
        <f t="shared" ref="H165:O165" si="65">H100+H103+H108+H113+H115</f>
        <v>6003724.1799999997</v>
      </c>
      <c r="I165" s="75">
        <f t="shared" si="65"/>
        <v>0</v>
      </c>
      <c r="J165" s="75">
        <f t="shared" si="65"/>
        <v>6003724.1799999997</v>
      </c>
      <c r="K165" s="75">
        <f t="shared" si="65"/>
        <v>5403350</v>
      </c>
      <c r="L165" s="75">
        <f t="shared" si="65"/>
        <v>7583.75</v>
      </c>
      <c r="M165" s="75">
        <f t="shared" si="65"/>
        <v>0</v>
      </c>
      <c r="N165" s="75">
        <f t="shared" si="65"/>
        <v>7583.75</v>
      </c>
      <c r="O165" s="75">
        <f t="shared" si="65"/>
        <v>6825.37</v>
      </c>
      <c r="P165" s="79">
        <f t="shared" si="50"/>
        <v>1.2631742852650502E-3</v>
      </c>
      <c r="Q165" s="26">
        <f t="shared" si="52"/>
        <v>-5996140.4299999997</v>
      </c>
    </row>
    <row r="166" spans="1:17" s="14" customFormat="1" ht="110.25" x14ac:dyDescent="0.25">
      <c r="A166" s="74">
        <v>18</v>
      </c>
      <c r="B166" s="76"/>
      <c r="C166" s="76"/>
      <c r="D166" s="71"/>
      <c r="E166" s="76">
        <v>45</v>
      </c>
      <c r="F166" s="15" t="s">
        <v>202</v>
      </c>
      <c r="G166" s="68" t="s">
        <v>261</v>
      </c>
      <c r="H166" s="75">
        <f>H131</f>
        <v>1500000</v>
      </c>
      <c r="I166" s="75">
        <f>I131</f>
        <v>1500000</v>
      </c>
      <c r="J166" s="75">
        <f>K166</f>
        <v>0</v>
      </c>
      <c r="K166" s="75"/>
      <c r="L166" s="75">
        <f>L131</f>
        <v>750000</v>
      </c>
      <c r="M166" s="75">
        <f>M131</f>
        <v>750000</v>
      </c>
      <c r="N166" s="75">
        <f>O166</f>
        <v>0</v>
      </c>
      <c r="O166" s="75"/>
      <c r="P166" s="79">
        <f t="shared" si="50"/>
        <v>0.5</v>
      </c>
      <c r="Q166" s="26">
        <f t="shared" si="52"/>
        <v>-750000</v>
      </c>
    </row>
    <row r="167" spans="1:17" s="14" customFormat="1" ht="47.25" x14ac:dyDescent="0.25">
      <c r="A167" s="74">
        <v>19</v>
      </c>
      <c r="B167" s="76"/>
      <c r="C167" s="76"/>
      <c r="D167" s="71"/>
      <c r="E167" s="76">
        <v>53</v>
      </c>
      <c r="F167" s="73" t="s">
        <v>227</v>
      </c>
      <c r="G167" s="74" t="s">
        <v>228</v>
      </c>
      <c r="H167" s="75">
        <f>H99</f>
        <v>30000</v>
      </c>
      <c r="I167" s="75">
        <f>I99</f>
        <v>30000</v>
      </c>
      <c r="J167" s="75"/>
      <c r="K167" s="75"/>
      <c r="L167" s="75">
        <f>L99</f>
        <v>0</v>
      </c>
      <c r="M167" s="75">
        <f>M99</f>
        <v>0</v>
      </c>
      <c r="N167" s="75"/>
      <c r="O167" s="75"/>
      <c r="P167" s="79">
        <f t="shared" si="50"/>
        <v>0</v>
      </c>
      <c r="Q167" s="26">
        <f t="shared" si="52"/>
        <v>-30000</v>
      </c>
    </row>
    <row r="168" spans="1:17" s="14" customFormat="1" ht="78.75" x14ac:dyDescent="0.25">
      <c r="A168" s="74">
        <v>20</v>
      </c>
      <c r="B168" s="39"/>
      <c r="C168" s="76"/>
      <c r="D168" s="71"/>
      <c r="E168" s="76">
        <v>56</v>
      </c>
      <c r="F168" s="73" t="s">
        <v>214</v>
      </c>
      <c r="G168" s="74" t="s">
        <v>311</v>
      </c>
      <c r="H168" s="40">
        <f>I168+J168</f>
        <v>900000</v>
      </c>
      <c r="I168" s="40"/>
      <c r="J168" s="40">
        <f>J36</f>
        <v>900000</v>
      </c>
      <c r="K168" s="40">
        <f>K36</f>
        <v>0</v>
      </c>
      <c r="L168" s="40">
        <f>M168+N168</f>
        <v>0</v>
      </c>
      <c r="M168" s="40"/>
      <c r="N168" s="40">
        <f>N36</f>
        <v>0</v>
      </c>
      <c r="O168" s="40">
        <f>O36</f>
        <v>0</v>
      </c>
      <c r="P168" s="79">
        <f t="shared" si="50"/>
        <v>0</v>
      </c>
      <c r="Q168" s="26">
        <f t="shared" si="52"/>
        <v>-900000</v>
      </c>
    </row>
    <row r="169" spans="1:17" s="14" customFormat="1" ht="78.75" x14ac:dyDescent="0.25">
      <c r="A169" s="66">
        <v>21</v>
      </c>
      <c r="B169" s="39"/>
      <c r="C169" s="39"/>
      <c r="D169" s="42"/>
      <c r="E169" s="39">
        <v>60</v>
      </c>
      <c r="F169" s="22" t="s">
        <v>282</v>
      </c>
      <c r="G169" s="66" t="s">
        <v>283</v>
      </c>
      <c r="H169" s="40">
        <f t="shared" ref="H169:O169" si="66">H104</f>
        <v>1095000</v>
      </c>
      <c r="I169" s="40">
        <f t="shared" si="66"/>
        <v>0</v>
      </c>
      <c r="J169" s="40">
        <f t="shared" si="66"/>
        <v>1095000</v>
      </c>
      <c r="K169" s="40">
        <f t="shared" si="66"/>
        <v>1095000</v>
      </c>
      <c r="L169" s="40">
        <f t="shared" si="66"/>
        <v>70017.3</v>
      </c>
      <c r="M169" s="40">
        <f t="shared" si="66"/>
        <v>0</v>
      </c>
      <c r="N169" s="40">
        <f t="shared" si="66"/>
        <v>70017.3</v>
      </c>
      <c r="O169" s="40">
        <f t="shared" si="66"/>
        <v>70017.3</v>
      </c>
      <c r="P169" s="79">
        <f t="shared" si="50"/>
        <v>6.3942739726027403E-2</v>
      </c>
      <c r="Q169" s="26">
        <f t="shared" si="52"/>
        <v>-1024982.7</v>
      </c>
    </row>
    <row r="170" spans="1:17" s="14" customFormat="1" ht="47.25" x14ac:dyDescent="0.25">
      <c r="A170" s="74">
        <v>22</v>
      </c>
      <c r="B170" s="76"/>
      <c r="C170" s="76"/>
      <c r="D170" s="71"/>
      <c r="E170" s="76">
        <v>61</v>
      </c>
      <c r="F170" s="23" t="s">
        <v>259</v>
      </c>
      <c r="G170" s="74" t="s">
        <v>309</v>
      </c>
      <c r="H170" s="75">
        <f>I170+J170</f>
        <v>5426740</v>
      </c>
      <c r="I170" s="75">
        <f>I29+I56+I74+I79+I88+I96+I112+I127+I133+I138</f>
        <v>4356140</v>
      </c>
      <c r="J170" s="75">
        <f>J29+J56+J74+J79+J88+J96+J112+J127+J133+J138</f>
        <v>1070600</v>
      </c>
      <c r="K170" s="75">
        <f>K29+K56+K74+K79+K88+K96+K112+K127+K133+K138</f>
        <v>1070600</v>
      </c>
      <c r="L170" s="75">
        <f>M170+N170</f>
        <v>1683898.5699999998</v>
      </c>
      <c r="M170" s="75">
        <f>M29+M56+M74+M79+M88+M96+M112+M127+M133+M138</f>
        <v>1149898.5699999998</v>
      </c>
      <c r="N170" s="75">
        <f>N29+N56+N74+N79+N88+N96+N112+N127+N133+N138</f>
        <v>534000</v>
      </c>
      <c r="O170" s="75">
        <f>O29+O56+O74+O79+O88+O96+O112+O127+O133+O138</f>
        <v>534000</v>
      </c>
      <c r="P170" s="79">
        <f t="shared" si="50"/>
        <v>0.31029652609117075</v>
      </c>
      <c r="Q170" s="26">
        <f t="shared" si="52"/>
        <v>-3742841.43</v>
      </c>
    </row>
    <row r="171" spans="1:17" s="14" customFormat="1" ht="63" x14ac:dyDescent="0.25">
      <c r="A171" s="68">
        <v>23</v>
      </c>
      <c r="B171" s="43"/>
      <c r="C171" s="43"/>
      <c r="D171" s="44"/>
      <c r="E171" s="43">
        <v>65</v>
      </c>
      <c r="F171" s="45" t="s">
        <v>252</v>
      </c>
      <c r="G171" s="68" t="s">
        <v>266</v>
      </c>
      <c r="H171" s="46">
        <f>H78</f>
        <v>14400</v>
      </c>
      <c r="I171" s="46">
        <f>I78</f>
        <v>14400</v>
      </c>
      <c r="J171" s="46"/>
      <c r="K171" s="46"/>
      <c r="L171" s="46">
        <f>L78</f>
        <v>0</v>
      </c>
      <c r="M171" s="46">
        <f>M78</f>
        <v>0</v>
      </c>
      <c r="N171" s="46"/>
      <c r="O171" s="46"/>
      <c r="P171" s="79">
        <f t="shared" si="50"/>
        <v>0</v>
      </c>
      <c r="Q171" s="26">
        <f t="shared" si="52"/>
        <v>-14400</v>
      </c>
    </row>
    <row r="172" spans="1:17" s="14" customFormat="1" ht="78.75" x14ac:dyDescent="0.25">
      <c r="A172" s="74">
        <v>24</v>
      </c>
      <c r="B172" s="76"/>
      <c r="C172" s="76"/>
      <c r="D172" s="71"/>
      <c r="E172" s="43">
        <v>66</v>
      </c>
      <c r="F172" s="17" t="s">
        <v>258</v>
      </c>
      <c r="G172" s="74" t="s">
        <v>310</v>
      </c>
      <c r="H172" s="75">
        <f t="shared" ref="H172:O172" si="67">H34+H35+H118+H135+H142+H144</f>
        <v>102107700</v>
      </c>
      <c r="I172" s="75">
        <f t="shared" si="67"/>
        <v>73472918</v>
      </c>
      <c r="J172" s="75">
        <f t="shared" si="67"/>
        <v>28634782</v>
      </c>
      <c r="K172" s="75">
        <f t="shared" si="67"/>
        <v>28634782</v>
      </c>
      <c r="L172" s="75">
        <f t="shared" si="67"/>
        <v>67531157.549999997</v>
      </c>
      <c r="M172" s="75">
        <f t="shared" si="67"/>
        <v>42396474.950000003</v>
      </c>
      <c r="N172" s="75">
        <f t="shared" si="67"/>
        <v>25134682.600000001</v>
      </c>
      <c r="O172" s="75">
        <f t="shared" si="67"/>
        <v>25134682.600000001</v>
      </c>
      <c r="P172" s="79">
        <f t="shared" si="50"/>
        <v>0.66137184120296511</v>
      </c>
      <c r="Q172" s="26">
        <f t="shared" si="52"/>
        <v>-34576542.450000003</v>
      </c>
    </row>
    <row r="173" spans="1:17" s="14" customFormat="1" ht="47.25" x14ac:dyDescent="0.25">
      <c r="A173" s="74">
        <v>25</v>
      </c>
      <c r="B173" s="76"/>
      <c r="C173" s="76"/>
      <c r="D173" s="71"/>
      <c r="E173" s="76">
        <v>67</v>
      </c>
      <c r="F173" s="23" t="s">
        <v>234</v>
      </c>
      <c r="G173" s="74" t="s">
        <v>313</v>
      </c>
      <c r="H173" s="75">
        <f t="shared" ref="H173:O173" si="68">H114+H116+H134</f>
        <v>78992310</v>
      </c>
      <c r="I173" s="75">
        <f t="shared" si="68"/>
        <v>76341800</v>
      </c>
      <c r="J173" s="75">
        <f t="shared" si="68"/>
        <v>2650510</v>
      </c>
      <c r="K173" s="75">
        <f t="shared" si="68"/>
        <v>2650510</v>
      </c>
      <c r="L173" s="75">
        <f t="shared" si="68"/>
        <v>62075591.810000002</v>
      </c>
      <c r="M173" s="75">
        <f t="shared" si="68"/>
        <v>60025085.209999993</v>
      </c>
      <c r="N173" s="75">
        <f t="shared" si="68"/>
        <v>2050506.6</v>
      </c>
      <c r="O173" s="75">
        <f t="shared" si="68"/>
        <v>2050506.6</v>
      </c>
      <c r="P173" s="79">
        <f t="shared" si="50"/>
        <v>0.78584348033371854</v>
      </c>
      <c r="Q173" s="26">
        <f t="shared" si="52"/>
        <v>-16916718.189999998</v>
      </c>
    </row>
    <row r="174" spans="1:17" s="14" customFormat="1" ht="47.25" x14ac:dyDescent="0.25">
      <c r="A174" s="74">
        <v>26</v>
      </c>
      <c r="B174" s="76"/>
      <c r="C174" s="76"/>
      <c r="D174" s="71"/>
      <c r="E174" s="76">
        <v>68</v>
      </c>
      <c r="F174" s="23" t="s">
        <v>257</v>
      </c>
      <c r="G174" s="74" t="s">
        <v>308</v>
      </c>
      <c r="H174" s="75">
        <f t="shared" ref="H174:O174" si="69">H25+H101+H105+H106+H107+H111+H124</f>
        <v>170488575.75999999</v>
      </c>
      <c r="I174" s="75">
        <f t="shared" si="69"/>
        <v>130486673</v>
      </c>
      <c r="J174" s="75">
        <f t="shared" si="69"/>
        <v>40001902.759999998</v>
      </c>
      <c r="K174" s="75">
        <f t="shared" si="69"/>
        <v>40001902.759999998</v>
      </c>
      <c r="L174" s="75">
        <f t="shared" si="69"/>
        <v>57755698.910000004</v>
      </c>
      <c r="M174" s="75">
        <f t="shared" si="69"/>
        <v>56696276.510000005</v>
      </c>
      <c r="N174" s="75">
        <f t="shared" si="69"/>
        <v>1059422.4000000001</v>
      </c>
      <c r="O174" s="75">
        <f t="shared" si="69"/>
        <v>1059422.4000000001</v>
      </c>
      <c r="P174" s="79">
        <f t="shared" si="50"/>
        <v>0.33876580089039982</v>
      </c>
      <c r="Q174" s="26">
        <f t="shared" si="52"/>
        <v>-112732876.84999999</v>
      </c>
    </row>
    <row r="175" spans="1:17" s="14" customFormat="1" ht="47.25" x14ac:dyDescent="0.25">
      <c r="A175" s="74">
        <v>27</v>
      </c>
      <c r="B175" s="76"/>
      <c r="C175" s="76"/>
      <c r="D175" s="71"/>
      <c r="E175" s="49">
        <v>69</v>
      </c>
      <c r="F175" s="16" t="s">
        <v>256</v>
      </c>
      <c r="G175" s="74" t="s">
        <v>267</v>
      </c>
      <c r="H175" s="75">
        <f t="shared" ref="H175:O175" si="70">H21</f>
        <v>500000</v>
      </c>
      <c r="I175" s="75">
        <f t="shared" si="70"/>
        <v>500000</v>
      </c>
      <c r="J175" s="75">
        <f t="shared" si="70"/>
        <v>0</v>
      </c>
      <c r="K175" s="75">
        <f t="shared" si="70"/>
        <v>0</v>
      </c>
      <c r="L175" s="75">
        <f t="shared" si="70"/>
        <v>478000</v>
      </c>
      <c r="M175" s="75">
        <f t="shared" si="70"/>
        <v>478000</v>
      </c>
      <c r="N175" s="75">
        <f t="shared" si="70"/>
        <v>0</v>
      </c>
      <c r="O175" s="75">
        <f t="shared" si="70"/>
        <v>0</v>
      </c>
      <c r="P175" s="79">
        <f t="shared" si="50"/>
        <v>0.95599999999999996</v>
      </c>
      <c r="Q175" s="26">
        <f t="shared" si="52"/>
        <v>-22000</v>
      </c>
    </row>
    <row r="176" spans="1:17" s="14" customFormat="1" ht="94.5" x14ac:dyDescent="0.25">
      <c r="A176" s="74">
        <v>28</v>
      </c>
      <c r="B176" s="76"/>
      <c r="C176" s="76"/>
      <c r="D176" s="71"/>
      <c r="E176" s="76">
        <v>70</v>
      </c>
      <c r="F176" s="73" t="s">
        <v>222</v>
      </c>
      <c r="G176" s="74" t="s">
        <v>268</v>
      </c>
      <c r="H176" s="75">
        <f t="shared" ref="H176:O177" si="71">H140</f>
        <v>1958700</v>
      </c>
      <c r="I176" s="75">
        <f t="shared" si="71"/>
        <v>1958700</v>
      </c>
      <c r="J176" s="75">
        <f t="shared" si="71"/>
        <v>0</v>
      </c>
      <c r="K176" s="75">
        <f t="shared" si="71"/>
        <v>0</v>
      </c>
      <c r="L176" s="75">
        <f t="shared" si="71"/>
        <v>1958700</v>
      </c>
      <c r="M176" s="75">
        <f t="shared" si="71"/>
        <v>1958700</v>
      </c>
      <c r="N176" s="75">
        <f t="shared" si="71"/>
        <v>0</v>
      </c>
      <c r="O176" s="75">
        <f t="shared" si="71"/>
        <v>0</v>
      </c>
      <c r="P176" s="79">
        <f t="shared" si="50"/>
        <v>1</v>
      </c>
      <c r="Q176" s="26">
        <f t="shared" si="52"/>
        <v>0</v>
      </c>
    </row>
    <row r="177" spans="1:17" s="14" customFormat="1" ht="31.5" x14ac:dyDescent="0.25">
      <c r="A177" s="74">
        <v>29</v>
      </c>
      <c r="B177" s="76"/>
      <c r="C177" s="76"/>
      <c r="D177" s="71"/>
      <c r="E177" s="76">
        <v>71</v>
      </c>
      <c r="F177" s="15" t="s">
        <v>241</v>
      </c>
      <c r="G177" s="74" t="s">
        <v>269</v>
      </c>
      <c r="H177" s="75">
        <f t="shared" si="71"/>
        <v>500000</v>
      </c>
      <c r="I177" s="75">
        <f t="shared" si="71"/>
        <v>500000</v>
      </c>
      <c r="J177" s="75">
        <f t="shared" si="71"/>
        <v>0</v>
      </c>
      <c r="K177" s="75">
        <f t="shared" si="71"/>
        <v>0</v>
      </c>
      <c r="L177" s="75">
        <f t="shared" si="71"/>
        <v>500000</v>
      </c>
      <c r="M177" s="75">
        <f t="shared" si="71"/>
        <v>500000</v>
      </c>
      <c r="N177" s="75">
        <f t="shared" si="71"/>
        <v>0</v>
      </c>
      <c r="O177" s="75">
        <f t="shared" si="71"/>
        <v>0</v>
      </c>
      <c r="P177" s="79">
        <f t="shared" si="50"/>
        <v>1</v>
      </c>
      <c r="Q177" s="26">
        <f t="shared" si="52"/>
        <v>0</v>
      </c>
    </row>
    <row r="178" spans="1:17" s="14" customFormat="1" ht="47.25" x14ac:dyDescent="0.25">
      <c r="A178" s="74">
        <v>30</v>
      </c>
      <c r="B178" s="76"/>
      <c r="C178" s="76"/>
      <c r="D178" s="71"/>
      <c r="E178" s="76">
        <v>72</v>
      </c>
      <c r="F178" s="15" t="s">
        <v>270</v>
      </c>
      <c r="G178" s="74" t="s">
        <v>314</v>
      </c>
      <c r="H178" s="75">
        <f t="shared" ref="H178:O178" si="72">H145</f>
        <v>3000000</v>
      </c>
      <c r="I178" s="75">
        <f t="shared" si="72"/>
        <v>1970000</v>
      </c>
      <c r="J178" s="75">
        <f t="shared" si="72"/>
        <v>1030000</v>
      </c>
      <c r="K178" s="75">
        <f t="shared" si="72"/>
        <v>1030000</v>
      </c>
      <c r="L178" s="75">
        <f t="shared" si="72"/>
        <v>3000000</v>
      </c>
      <c r="M178" s="75">
        <f t="shared" si="72"/>
        <v>1970000</v>
      </c>
      <c r="N178" s="75">
        <f t="shared" si="72"/>
        <v>1030000</v>
      </c>
      <c r="O178" s="75">
        <f t="shared" si="72"/>
        <v>1030000</v>
      </c>
      <c r="P178" s="79">
        <f t="shared" si="50"/>
        <v>1</v>
      </c>
      <c r="Q178" s="26">
        <f t="shared" si="52"/>
        <v>0</v>
      </c>
    </row>
    <row r="179" spans="1:17" s="14" customFormat="1" ht="47.25" x14ac:dyDescent="0.25">
      <c r="A179" s="74">
        <v>31</v>
      </c>
      <c r="B179" s="76"/>
      <c r="C179" s="76"/>
      <c r="D179" s="71"/>
      <c r="E179" s="47">
        <v>73</v>
      </c>
      <c r="F179" s="73" t="s">
        <v>328</v>
      </c>
      <c r="G179" s="74" t="s">
        <v>331</v>
      </c>
      <c r="H179" s="75">
        <f t="shared" ref="H179:O179" si="73">H27+H28</f>
        <v>7283400</v>
      </c>
      <c r="I179" s="75">
        <f t="shared" si="73"/>
        <v>0</v>
      </c>
      <c r="J179" s="75">
        <f t="shared" si="73"/>
        <v>7283400</v>
      </c>
      <c r="K179" s="75">
        <f t="shared" si="73"/>
        <v>7283400</v>
      </c>
      <c r="L179" s="75">
        <f t="shared" si="73"/>
        <v>0</v>
      </c>
      <c r="M179" s="75">
        <f t="shared" si="73"/>
        <v>0</v>
      </c>
      <c r="N179" s="75">
        <f t="shared" si="73"/>
        <v>0</v>
      </c>
      <c r="O179" s="75">
        <f t="shared" si="73"/>
        <v>0</v>
      </c>
      <c r="P179" s="79">
        <f t="shared" si="50"/>
        <v>0</v>
      </c>
      <c r="Q179" s="26">
        <f t="shared" si="52"/>
        <v>-7283400</v>
      </c>
    </row>
    <row r="180" spans="1:17" s="14" customFormat="1" ht="47.25" x14ac:dyDescent="0.25">
      <c r="A180" s="74">
        <v>32</v>
      </c>
      <c r="B180" s="76"/>
      <c r="C180" s="76"/>
      <c r="D180" s="71"/>
      <c r="E180" s="47">
        <v>74</v>
      </c>
      <c r="F180" s="73" t="s">
        <v>326</v>
      </c>
      <c r="G180" s="74" t="s">
        <v>329</v>
      </c>
      <c r="H180" s="75">
        <f t="shared" ref="H180:O181" si="74">H146</f>
        <v>2000000</v>
      </c>
      <c r="I180" s="75">
        <f t="shared" si="74"/>
        <v>2000000</v>
      </c>
      <c r="J180" s="75">
        <f t="shared" si="74"/>
        <v>0</v>
      </c>
      <c r="K180" s="75">
        <f t="shared" si="74"/>
        <v>0</v>
      </c>
      <c r="L180" s="75">
        <f t="shared" si="74"/>
        <v>2000000</v>
      </c>
      <c r="M180" s="75">
        <f t="shared" si="74"/>
        <v>2000000</v>
      </c>
      <c r="N180" s="75">
        <f t="shared" si="74"/>
        <v>0</v>
      </c>
      <c r="O180" s="75">
        <f t="shared" si="74"/>
        <v>0</v>
      </c>
      <c r="P180" s="79">
        <f t="shared" si="50"/>
        <v>1</v>
      </c>
      <c r="Q180" s="26">
        <f t="shared" si="52"/>
        <v>0</v>
      </c>
    </row>
    <row r="181" spans="1:17" s="14" customFormat="1" ht="31.5" x14ac:dyDescent="0.25">
      <c r="A181" s="67">
        <v>33</v>
      </c>
      <c r="B181" s="35"/>
      <c r="C181" s="35"/>
      <c r="D181" s="36"/>
      <c r="E181" s="47">
        <v>75</v>
      </c>
      <c r="F181" s="13" t="s">
        <v>327</v>
      </c>
      <c r="G181" s="67" t="s">
        <v>330</v>
      </c>
      <c r="H181" s="75">
        <f t="shared" si="74"/>
        <v>1419600</v>
      </c>
      <c r="I181" s="75">
        <f t="shared" si="74"/>
        <v>124600</v>
      </c>
      <c r="J181" s="75">
        <f t="shared" si="74"/>
        <v>1295000</v>
      </c>
      <c r="K181" s="75">
        <f t="shared" si="74"/>
        <v>1295000</v>
      </c>
      <c r="L181" s="75">
        <f t="shared" si="74"/>
        <v>1419600</v>
      </c>
      <c r="M181" s="75">
        <f t="shared" si="74"/>
        <v>124600</v>
      </c>
      <c r="N181" s="75">
        <f t="shared" si="74"/>
        <v>1295000</v>
      </c>
      <c r="O181" s="75">
        <f t="shared" si="74"/>
        <v>1295000</v>
      </c>
      <c r="P181" s="79">
        <f t="shared" si="50"/>
        <v>1</v>
      </c>
      <c r="Q181" s="26">
        <f t="shared" si="52"/>
        <v>0</v>
      </c>
    </row>
    <row r="182" spans="1:17" s="14" customFormat="1" ht="57" customHeight="1" x14ac:dyDescent="0.25">
      <c r="A182" s="67">
        <v>34</v>
      </c>
      <c r="B182" s="35"/>
      <c r="C182" s="35"/>
      <c r="D182" s="36"/>
      <c r="E182" s="47">
        <v>76</v>
      </c>
      <c r="F182" s="13" t="s">
        <v>339</v>
      </c>
      <c r="G182" s="67" t="s">
        <v>348</v>
      </c>
      <c r="H182" s="75">
        <f t="shared" ref="H182:O182" si="75">H110+H132</f>
        <v>1340000</v>
      </c>
      <c r="I182" s="75">
        <f t="shared" si="75"/>
        <v>1340000</v>
      </c>
      <c r="J182" s="75">
        <f t="shared" si="75"/>
        <v>0</v>
      </c>
      <c r="K182" s="75">
        <f t="shared" si="75"/>
        <v>0</v>
      </c>
      <c r="L182" s="75">
        <f t="shared" si="75"/>
        <v>99966.8</v>
      </c>
      <c r="M182" s="75">
        <f t="shared" si="75"/>
        <v>99966.8</v>
      </c>
      <c r="N182" s="75">
        <f t="shared" si="75"/>
        <v>0</v>
      </c>
      <c r="O182" s="75">
        <f t="shared" si="75"/>
        <v>0</v>
      </c>
      <c r="P182" s="79">
        <f t="shared" si="50"/>
        <v>7.4602089552238807E-2</v>
      </c>
      <c r="Q182" s="26">
        <f t="shared" si="52"/>
        <v>-1240033.2</v>
      </c>
    </row>
    <row r="183" spans="1:17" s="38" customFormat="1" ht="18.75" x14ac:dyDescent="0.3">
      <c r="A183" s="118" t="s">
        <v>221</v>
      </c>
      <c r="B183" s="118"/>
      <c r="C183" s="118"/>
      <c r="D183" s="118"/>
      <c r="E183" s="118"/>
      <c r="F183" s="118"/>
      <c r="G183" s="118"/>
      <c r="H183" s="26">
        <f>I183+J183</f>
        <v>755377878.80999994</v>
      </c>
      <c r="I183" s="26">
        <f>SUM(I149:I182)</f>
        <v>495186409</v>
      </c>
      <c r="J183" s="26">
        <f>SUM(J149:J182)</f>
        <v>260191469.81</v>
      </c>
      <c r="K183" s="26">
        <f>SUM(K149:K182)</f>
        <v>258416095.63</v>
      </c>
      <c r="L183" s="26">
        <f>M183+N183</f>
        <v>317099768.40999997</v>
      </c>
      <c r="M183" s="26">
        <f>SUM(M149:M182)</f>
        <v>242168363.08999997</v>
      </c>
      <c r="N183" s="26">
        <f>SUM(N149:N182)</f>
        <v>74931405.319999993</v>
      </c>
      <c r="O183" s="26">
        <f>SUM(O149:O182)</f>
        <v>74794064.939999998</v>
      </c>
      <c r="P183" s="52">
        <f t="shared" ref="P183" si="76">L183/H183</f>
        <v>0.41978958784118697</v>
      </c>
      <c r="Q183" s="61">
        <f t="shared" si="52"/>
        <v>-438278110.39999998</v>
      </c>
    </row>
    <row r="184" spans="1:17" s="14" customFormat="1" ht="7.15" customHeight="1" x14ac:dyDescent="0.25">
      <c r="A184" s="25"/>
      <c r="B184" s="25"/>
      <c r="C184" s="25"/>
      <c r="D184" s="24"/>
      <c r="E184" s="25"/>
      <c r="F184" s="28"/>
      <c r="G184" s="29"/>
      <c r="H184" s="30"/>
      <c r="I184" s="30"/>
      <c r="J184" s="30"/>
      <c r="K184" s="30"/>
    </row>
    <row r="185" spans="1:17" s="14" customFormat="1" ht="15.75" x14ac:dyDescent="0.25">
      <c r="A185" s="20"/>
      <c r="B185" s="25"/>
      <c r="C185" s="20"/>
      <c r="D185" s="14" t="s">
        <v>212</v>
      </c>
      <c r="E185" s="25"/>
      <c r="F185" s="12"/>
      <c r="G185" s="25" t="s">
        <v>213</v>
      </c>
      <c r="H185" s="25"/>
      <c r="I185" s="25"/>
      <c r="J185" s="25"/>
      <c r="K185" s="25"/>
    </row>
    <row r="186" spans="1:17" s="14" customFormat="1" ht="15.75" x14ac:dyDescent="0.25">
      <c r="A186" s="9"/>
      <c r="B186" s="1"/>
      <c r="C186" s="9"/>
      <c r="D186" s="2"/>
      <c r="E186" s="1"/>
      <c r="F186" s="12"/>
      <c r="G186" s="1"/>
      <c r="H186" s="51"/>
      <c r="I186" s="51"/>
      <c r="J186" s="51">
        <f>J148-J183</f>
        <v>0</v>
      </c>
      <c r="K186" s="51">
        <f>K148-K183</f>
        <v>0</v>
      </c>
    </row>
    <row r="187" spans="1:17" ht="15.75" x14ac:dyDescent="0.25">
      <c r="F187" s="12"/>
      <c r="H187" s="27"/>
      <c r="I187" s="27"/>
      <c r="J187" s="27"/>
      <c r="K187" s="27"/>
    </row>
    <row r="188" spans="1:17" x14ac:dyDescent="0.25">
      <c r="B188" s="9"/>
    </row>
    <row r="189" spans="1:17" ht="15.75" x14ac:dyDescent="0.25">
      <c r="F189" s="12"/>
      <c r="H189" s="11"/>
      <c r="I189" s="11"/>
      <c r="J189" s="11"/>
      <c r="K189" s="11"/>
    </row>
    <row r="190" spans="1:17" x14ac:dyDescent="0.25">
      <c r="H190" s="27"/>
      <c r="I190" s="27"/>
      <c r="J190" s="27"/>
      <c r="K190" s="27"/>
    </row>
    <row r="191" spans="1:17" x14ac:dyDescent="0.25">
      <c r="H191" s="11"/>
      <c r="I191" s="11"/>
      <c r="J191" s="11"/>
      <c r="K191" s="11"/>
    </row>
    <row r="193" spans="8:11" x14ac:dyDescent="0.25">
      <c r="H193" s="11"/>
      <c r="I193" s="11"/>
      <c r="J193" s="11"/>
      <c r="K193" s="11"/>
    </row>
    <row r="194" spans="8:11" x14ac:dyDescent="0.25">
      <c r="H194" s="11"/>
      <c r="I194" s="11"/>
      <c r="J194" s="11"/>
      <c r="K194" s="11"/>
    </row>
  </sheetData>
  <autoFilter ref="A6:K183">
    <filterColumn colId="8" showButton="0"/>
    <filterColumn colId="9" showButton="0"/>
  </autoFilter>
  <mergeCells count="45">
    <mergeCell ref="O1:P1"/>
    <mergeCell ref="A6:P6"/>
    <mergeCell ref="I1:K1"/>
    <mergeCell ref="I2:K2"/>
    <mergeCell ref="I3:K3"/>
    <mergeCell ref="I4:K4"/>
    <mergeCell ref="A183:G183"/>
    <mergeCell ref="I7:K7"/>
    <mergeCell ref="I8:K8"/>
    <mergeCell ref="I9:K9"/>
    <mergeCell ref="G12:G13"/>
    <mergeCell ref="H12:H13"/>
    <mergeCell ref="I12:I13"/>
    <mergeCell ref="J12:K12"/>
    <mergeCell ref="A10:K10"/>
    <mergeCell ref="F12:F13"/>
    <mergeCell ref="A12:A13"/>
    <mergeCell ref="B12:B13"/>
    <mergeCell ref="C12:C13"/>
    <mergeCell ref="D12:D13"/>
    <mergeCell ref="D16:F16"/>
    <mergeCell ref="D119:F119"/>
    <mergeCell ref="D120:F120"/>
    <mergeCell ref="D38:F38"/>
    <mergeCell ref="D58:F58"/>
    <mergeCell ref="D59:F59"/>
    <mergeCell ref="D97:F97"/>
    <mergeCell ref="D90:F90"/>
    <mergeCell ref="D98:F98"/>
    <mergeCell ref="D75:F75"/>
    <mergeCell ref="D76:F76"/>
    <mergeCell ref="D80:F80"/>
    <mergeCell ref="D81:F81"/>
    <mergeCell ref="D89:F89"/>
    <mergeCell ref="D148:F148"/>
    <mergeCell ref="D137:F137"/>
    <mergeCell ref="D130:F130"/>
    <mergeCell ref="D129:F129"/>
    <mergeCell ref="D136:F136"/>
    <mergeCell ref="P12:Q12"/>
    <mergeCell ref="D37:F37"/>
    <mergeCell ref="D15:F15"/>
    <mergeCell ref="L12:L13"/>
    <mergeCell ref="M12:M13"/>
    <mergeCell ref="N12:O12"/>
  </mergeCells>
  <pageMargins left="0.39370078740157483" right="0.39370078740157483" top="0.59055118110236227" bottom="0.59055118110236227" header="0.51181102362204722" footer="0.51181102362204722"/>
  <pageSetup paperSize="9" scale="38" fitToHeight="15" orientation="landscape" r:id="rId1"/>
  <headerFooter differentFirst="1">
    <oddHeader>&amp;C&amp;P</oddHeader>
  </headerFooter>
  <rowBreaks count="1" manualBreakCount="1">
    <brk id="96"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2025-08-04T12:29:49Z</dcterms:modified>
</cp:coreProperties>
</file>