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BAB04ACB-3D0C-4C91-B8E2-944C3D994C7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5" sheetId="4" r:id="rId1"/>
  </sheets>
  <definedNames>
    <definedName name="Z_22648713_93C4_4BCC_9593_E6D578C36006_.wvu.PrintArea" localSheetId="0" hidden="1">'2025'!$A$1:$P$119</definedName>
    <definedName name="Z_22648713_93C4_4BCC_9593_E6D578C36006_.wvu.PrintTitles" localSheetId="0" hidden="1">'2025'!$10:$15</definedName>
    <definedName name="Z_22648713_93C4_4BCC_9593_E6D578C36006_.wvu.Rows" localSheetId="0" hidden="1">'2025'!$27:$27,'2025'!#REF!</definedName>
    <definedName name="_xlnm.Print_Titles" localSheetId="0">'2025'!$10:$15</definedName>
    <definedName name="_xlnm.Print_Area" localSheetId="0">'2025'!$A$1:$Q$215</definedName>
  </definedNames>
  <calcPr calcId="191029"/>
  <customWorkbookViews>
    <customWorkbookView name="Администратор - Личное представление" guid="{22648713-93C4-4BCC-9593-E6D578C36006}" mergeInterval="0" personalView="1" maximized="1" xWindow="1" yWindow="1" windowWidth="1276" windowHeight="767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5" i="4" l="1"/>
  <c r="K69" i="4"/>
  <c r="K63" i="4"/>
  <c r="K62" i="4"/>
  <c r="K61" i="4"/>
  <c r="K19" i="4"/>
  <c r="K124" i="4"/>
  <c r="K123" i="4"/>
  <c r="K121" i="4"/>
  <c r="K97" i="4"/>
  <c r="K86" i="4"/>
  <c r="L41" i="4" l="1"/>
  <c r="K153" i="4"/>
  <c r="K131" i="4"/>
  <c r="K27" i="4"/>
  <c r="J180" i="4" l="1"/>
  <c r="J156" i="4"/>
  <c r="J155" i="4"/>
  <c r="J146" i="4"/>
  <c r="J137" i="4"/>
  <c r="J132" i="4"/>
  <c r="J108" i="4"/>
  <c r="J52" i="4"/>
  <c r="N21" i="4" l="1"/>
  <c r="O21" i="4"/>
  <c r="P21" i="4"/>
  <c r="N22" i="4"/>
  <c r="O22" i="4"/>
  <c r="P22" i="4"/>
  <c r="N23" i="4"/>
  <c r="O23" i="4"/>
  <c r="P23" i="4"/>
  <c r="N24" i="4"/>
  <c r="O24" i="4"/>
  <c r="P24" i="4"/>
  <c r="N25" i="4"/>
  <c r="O25" i="4"/>
  <c r="P25" i="4"/>
  <c r="N26" i="4"/>
  <c r="O26" i="4"/>
  <c r="P26" i="4"/>
  <c r="N27" i="4"/>
  <c r="O27" i="4"/>
  <c r="P27" i="4"/>
  <c r="O28" i="4"/>
  <c r="P28" i="4"/>
  <c r="N29" i="4"/>
  <c r="O29" i="4"/>
  <c r="P29" i="4"/>
  <c r="N30" i="4"/>
  <c r="O30" i="4"/>
  <c r="P30" i="4"/>
  <c r="N31" i="4"/>
  <c r="O31" i="4"/>
  <c r="P31" i="4"/>
  <c r="N32" i="4"/>
  <c r="O32" i="4"/>
  <c r="P32" i="4"/>
  <c r="N33" i="4"/>
  <c r="O33" i="4"/>
  <c r="P33" i="4"/>
  <c r="O34" i="4"/>
  <c r="P34" i="4"/>
  <c r="N35" i="4"/>
  <c r="O35" i="4"/>
  <c r="P35" i="4"/>
  <c r="N36" i="4"/>
  <c r="O36" i="4"/>
  <c r="P36" i="4"/>
  <c r="N37" i="4"/>
  <c r="O37" i="4"/>
  <c r="P37" i="4"/>
  <c r="N38" i="4"/>
  <c r="O38" i="4"/>
  <c r="P38" i="4"/>
  <c r="N39" i="4"/>
  <c r="O39" i="4"/>
  <c r="P39" i="4"/>
  <c r="N40" i="4"/>
  <c r="O40" i="4"/>
  <c r="P40" i="4"/>
  <c r="N42" i="4"/>
  <c r="O42" i="4"/>
  <c r="P42" i="4"/>
  <c r="N43" i="4"/>
  <c r="O43" i="4"/>
  <c r="P43" i="4"/>
  <c r="N44" i="4"/>
  <c r="O44" i="4"/>
  <c r="P44" i="4"/>
  <c r="N45" i="4"/>
  <c r="O45" i="4"/>
  <c r="P45" i="4"/>
  <c r="N46" i="4"/>
  <c r="O46" i="4"/>
  <c r="P46" i="4"/>
  <c r="N47" i="4"/>
  <c r="O47" i="4"/>
  <c r="P47" i="4"/>
  <c r="N48" i="4"/>
  <c r="O48" i="4"/>
  <c r="P48" i="4"/>
  <c r="N49" i="4"/>
  <c r="O49" i="4"/>
  <c r="P49" i="4"/>
  <c r="N50" i="4"/>
  <c r="O50" i="4"/>
  <c r="P50" i="4"/>
  <c r="N51" i="4"/>
  <c r="O51" i="4"/>
  <c r="P51" i="4"/>
  <c r="N52" i="4"/>
  <c r="O52" i="4"/>
  <c r="P52" i="4"/>
  <c r="N53" i="4"/>
  <c r="O53" i="4"/>
  <c r="P53" i="4"/>
  <c r="N54" i="4"/>
  <c r="O54" i="4"/>
  <c r="P54" i="4"/>
  <c r="N55" i="4"/>
  <c r="O55" i="4"/>
  <c r="P55" i="4"/>
  <c r="N56" i="4"/>
  <c r="O56" i="4"/>
  <c r="P56" i="4"/>
  <c r="N57" i="4"/>
  <c r="O57" i="4"/>
  <c r="P57" i="4"/>
  <c r="N60" i="4"/>
  <c r="O60" i="4"/>
  <c r="P60" i="4"/>
  <c r="N61" i="4"/>
  <c r="O61" i="4"/>
  <c r="P61" i="4"/>
  <c r="N62" i="4"/>
  <c r="O62" i="4"/>
  <c r="P62" i="4"/>
  <c r="N63" i="4"/>
  <c r="P63" i="4"/>
  <c r="N65" i="4"/>
  <c r="O65" i="4"/>
  <c r="P65" i="4"/>
  <c r="N66" i="4"/>
  <c r="O66" i="4"/>
  <c r="P66" i="4"/>
  <c r="N67" i="4"/>
  <c r="O67" i="4"/>
  <c r="P67" i="4"/>
  <c r="N68" i="4"/>
  <c r="O68" i="4"/>
  <c r="P68" i="4"/>
  <c r="N69" i="4"/>
  <c r="O69" i="4"/>
  <c r="P69" i="4"/>
  <c r="N70" i="4"/>
  <c r="O70" i="4"/>
  <c r="P70" i="4"/>
  <c r="N71" i="4"/>
  <c r="O71" i="4"/>
  <c r="P71" i="4"/>
  <c r="N72" i="4"/>
  <c r="O72" i="4"/>
  <c r="P72" i="4"/>
  <c r="N73" i="4"/>
  <c r="O73" i="4"/>
  <c r="P73" i="4"/>
  <c r="N74" i="4"/>
  <c r="O74" i="4"/>
  <c r="P74" i="4"/>
  <c r="N75" i="4"/>
  <c r="O75" i="4"/>
  <c r="P75" i="4"/>
  <c r="N76" i="4"/>
  <c r="O76" i="4"/>
  <c r="P76" i="4"/>
  <c r="N77" i="4"/>
  <c r="O77" i="4"/>
  <c r="P77" i="4"/>
  <c r="N78" i="4"/>
  <c r="O78" i="4"/>
  <c r="P78" i="4"/>
  <c r="N79" i="4"/>
  <c r="O79" i="4"/>
  <c r="P79" i="4"/>
  <c r="M80" i="4"/>
  <c r="N80" i="4"/>
  <c r="O80" i="4"/>
  <c r="P80" i="4"/>
  <c r="N81" i="4"/>
  <c r="O81" i="4"/>
  <c r="P81" i="4"/>
  <c r="N82" i="4"/>
  <c r="O82" i="4"/>
  <c r="P82" i="4"/>
  <c r="N83" i="4"/>
  <c r="O83" i="4"/>
  <c r="P83" i="4"/>
  <c r="N84" i="4"/>
  <c r="O84" i="4"/>
  <c r="P84" i="4"/>
  <c r="N85" i="4"/>
  <c r="O85" i="4"/>
  <c r="P85" i="4"/>
  <c r="N86" i="4"/>
  <c r="O86" i="4"/>
  <c r="P86" i="4"/>
  <c r="N87" i="4"/>
  <c r="O87" i="4"/>
  <c r="P87" i="4"/>
  <c r="N88" i="4"/>
  <c r="O88" i="4"/>
  <c r="P88" i="4"/>
  <c r="N91" i="4"/>
  <c r="O91" i="4"/>
  <c r="P91" i="4"/>
  <c r="N92" i="4"/>
  <c r="O92" i="4"/>
  <c r="P92" i="4"/>
  <c r="N93" i="4"/>
  <c r="O93" i="4"/>
  <c r="P93" i="4"/>
  <c r="N94" i="4"/>
  <c r="O94" i="4"/>
  <c r="P94" i="4"/>
  <c r="N95" i="4"/>
  <c r="O95" i="4"/>
  <c r="P95" i="4"/>
  <c r="N96" i="4"/>
  <c r="O96" i="4"/>
  <c r="P96" i="4"/>
  <c r="N97" i="4"/>
  <c r="O97" i="4"/>
  <c r="P97" i="4"/>
  <c r="N98" i="4"/>
  <c r="O98" i="4"/>
  <c r="P98" i="4"/>
  <c r="N99" i="4"/>
  <c r="O99" i="4"/>
  <c r="P99" i="4"/>
  <c r="N100" i="4"/>
  <c r="O100" i="4"/>
  <c r="P100" i="4"/>
  <c r="N101" i="4"/>
  <c r="O101" i="4"/>
  <c r="P101" i="4"/>
  <c r="N102" i="4"/>
  <c r="O102" i="4"/>
  <c r="P102" i="4"/>
  <c r="N103" i="4"/>
  <c r="O103" i="4"/>
  <c r="P103" i="4"/>
  <c r="N104" i="4"/>
  <c r="O104" i="4"/>
  <c r="P104" i="4"/>
  <c r="N105" i="4"/>
  <c r="O105" i="4"/>
  <c r="P105" i="4"/>
  <c r="N106" i="4"/>
  <c r="O106" i="4"/>
  <c r="P106" i="4"/>
  <c r="N107" i="4"/>
  <c r="P107" i="4"/>
  <c r="N108" i="4"/>
  <c r="P108" i="4"/>
  <c r="O109" i="4"/>
  <c r="P109" i="4"/>
  <c r="N110" i="4"/>
  <c r="O110" i="4"/>
  <c r="P110" i="4"/>
  <c r="N111" i="4"/>
  <c r="O111" i="4"/>
  <c r="P111" i="4"/>
  <c r="N112" i="4"/>
  <c r="O112" i="4"/>
  <c r="P112" i="4"/>
  <c r="O113" i="4"/>
  <c r="P113" i="4"/>
  <c r="O114" i="4"/>
  <c r="P114" i="4"/>
  <c r="N115" i="4"/>
  <c r="O115" i="4"/>
  <c r="P115" i="4"/>
  <c r="N116" i="4"/>
  <c r="O116" i="4"/>
  <c r="P116" i="4"/>
  <c r="N117" i="4"/>
  <c r="O117" i="4"/>
  <c r="P117" i="4"/>
  <c r="N120" i="4"/>
  <c r="O120" i="4"/>
  <c r="P120" i="4"/>
  <c r="N121" i="4"/>
  <c r="O121" i="4"/>
  <c r="P121" i="4"/>
  <c r="N122" i="4"/>
  <c r="O122" i="4"/>
  <c r="P122" i="4"/>
  <c r="N123" i="4"/>
  <c r="O123" i="4"/>
  <c r="P123" i="4"/>
  <c r="N124" i="4"/>
  <c r="O124" i="4"/>
  <c r="P124" i="4"/>
  <c r="N125" i="4"/>
  <c r="O125" i="4"/>
  <c r="P125" i="4"/>
  <c r="N126" i="4"/>
  <c r="O126" i="4"/>
  <c r="P126" i="4"/>
  <c r="N127" i="4"/>
  <c r="O127" i="4"/>
  <c r="P127" i="4"/>
  <c r="N128" i="4"/>
  <c r="O128" i="4"/>
  <c r="P128" i="4"/>
  <c r="N131" i="4"/>
  <c r="O131" i="4"/>
  <c r="P131" i="4"/>
  <c r="N132" i="4"/>
  <c r="P132" i="4"/>
  <c r="N133" i="4"/>
  <c r="O133" i="4"/>
  <c r="P133" i="4"/>
  <c r="N134" i="4"/>
  <c r="O134" i="4"/>
  <c r="P134" i="4"/>
  <c r="N135" i="4"/>
  <c r="O135" i="4"/>
  <c r="P135" i="4"/>
  <c r="N136" i="4"/>
  <c r="O136" i="4"/>
  <c r="P136" i="4"/>
  <c r="N137" i="4"/>
  <c r="O137" i="4"/>
  <c r="P137" i="4"/>
  <c r="N140" i="4"/>
  <c r="O140" i="4"/>
  <c r="P140" i="4"/>
  <c r="N141" i="4"/>
  <c r="O141" i="4"/>
  <c r="P141" i="4"/>
  <c r="N142" i="4"/>
  <c r="O142" i="4"/>
  <c r="P142" i="4"/>
  <c r="N143" i="4"/>
  <c r="O143" i="4"/>
  <c r="P143" i="4"/>
  <c r="N144" i="4"/>
  <c r="O144" i="4"/>
  <c r="P144" i="4"/>
  <c r="N145" i="4"/>
  <c r="O145" i="4"/>
  <c r="P145" i="4"/>
  <c r="N146" i="4"/>
  <c r="O146" i="4"/>
  <c r="P146" i="4"/>
  <c r="N147" i="4"/>
  <c r="O147" i="4"/>
  <c r="P147" i="4"/>
  <c r="N148" i="4"/>
  <c r="O148" i="4"/>
  <c r="P148" i="4"/>
  <c r="N149" i="4"/>
  <c r="O149" i="4"/>
  <c r="P149" i="4"/>
  <c r="N150" i="4"/>
  <c r="O150" i="4"/>
  <c r="P150" i="4"/>
  <c r="N151" i="4"/>
  <c r="O151" i="4"/>
  <c r="P151" i="4"/>
  <c r="N152" i="4"/>
  <c r="O152" i="4"/>
  <c r="P152" i="4"/>
  <c r="N153" i="4"/>
  <c r="O153" i="4"/>
  <c r="P153" i="4"/>
  <c r="N154" i="4"/>
  <c r="O154" i="4"/>
  <c r="P154" i="4"/>
  <c r="N155" i="4"/>
  <c r="O155" i="4"/>
  <c r="P155" i="4"/>
  <c r="N156" i="4"/>
  <c r="O156" i="4"/>
  <c r="P156" i="4"/>
  <c r="N157" i="4"/>
  <c r="O157" i="4"/>
  <c r="P157" i="4"/>
  <c r="N158" i="4"/>
  <c r="O158" i="4"/>
  <c r="P158" i="4"/>
  <c r="N159" i="4"/>
  <c r="O159" i="4"/>
  <c r="P159" i="4"/>
  <c r="N162" i="4"/>
  <c r="O162" i="4"/>
  <c r="P162" i="4"/>
  <c r="N163" i="4"/>
  <c r="O163" i="4"/>
  <c r="P163" i="4"/>
  <c r="N164" i="4"/>
  <c r="O164" i="4"/>
  <c r="P164" i="4"/>
  <c r="N165" i="4"/>
  <c r="O165" i="4"/>
  <c r="P165" i="4"/>
  <c r="N166" i="4"/>
  <c r="O166" i="4"/>
  <c r="P166" i="4"/>
  <c r="N167" i="4"/>
  <c r="O167" i="4"/>
  <c r="P167" i="4"/>
  <c r="N168" i="4"/>
  <c r="O168" i="4"/>
  <c r="P168" i="4"/>
  <c r="N169" i="4"/>
  <c r="O169" i="4"/>
  <c r="P169" i="4"/>
  <c r="N170" i="4"/>
  <c r="O170" i="4"/>
  <c r="P170" i="4"/>
  <c r="N171" i="4"/>
  <c r="O171" i="4"/>
  <c r="P171" i="4"/>
  <c r="O172" i="4"/>
  <c r="O173" i="4"/>
  <c r="N174" i="4"/>
  <c r="O174" i="4"/>
  <c r="P174" i="4"/>
  <c r="N175" i="4"/>
  <c r="O175" i="4"/>
  <c r="P175" i="4"/>
  <c r="N176" i="4"/>
  <c r="O176" i="4"/>
  <c r="P176" i="4"/>
  <c r="N177" i="4"/>
  <c r="O177" i="4"/>
  <c r="P177" i="4"/>
  <c r="N178" i="4"/>
  <c r="O178" i="4"/>
  <c r="P178" i="4"/>
  <c r="N179" i="4"/>
  <c r="O179" i="4"/>
  <c r="P179" i="4"/>
  <c r="N180" i="4"/>
  <c r="O180" i="4"/>
  <c r="P180" i="4"/>
  <c r="N181" i="4"/>
  <c r="O181" i="4"/>
  <c r="P181" i="4"/>
  <c r="N184" i="4"/>
  <c r="O184" i="4"/>
  <c r="P184" i="4"/>
  <c r="N185" i="4"/>
  <c r="O185" i="4"/>
  <c r="P185" i="4"/>
  <c r="N186" i="4"/>
  <c r="O186" i="4"/>
  <c r="P186" i="4"/>
  <c r="M187" i="4"/>
  <c r="N187" i="4"/>
  <c r="O187" i="4"/>
  <c r="P187" i="4"/>
  <c r="N188" i="4"/>
  <c r="N189" i="4"/>
  <c r="O189" i="4"/>
  <c r="P189" i="4"/>
  <c r="N190" i="4"/>
  <c r="O190" i="4"/>
  <c r="P190" i="4"/>
  <c r="N191" i="4"/>
  <c r="O191" i="4"/>
  <c r="P191" i="4"/>
  <c r="N192" i="4"/>
  <c r="O192" i="4"/>
  <c r="P192" i="4"/>
  <c r="N193" i="4"/>
  <c r="O193" i="4"/>
  <c r="P193" i="4"/>
  <c r="N194" i="4"/>
  <c r="O194" i="4"/>
  <c r="P194" i="4"/>
  <c r="N195" i="4"/>
  <c r="N196" i="4"/>
  <c r="O196" i="4"/>
  <c r="P196" i="4"/>
  <c r="N197" i="4"/>
  <c r="O197" i="4"/>
  <c r="P197" i="4"/>
  <c r="N198" i="4"/>
  <c r="O198" i="4"/>
  <c r="P198" i="4"/>
  <c r="N199" i="4"/>
  <c r="O199" i="4"/>
  <c r="P199" i="4"/>
  <c r="N200" i="4"/>
  <c r="O200" i="4"/>
  <c r="P200" i="4"/>
  <c r="N19" i="4"/>
  <c r="P19" i="4"/>
  <c r="N20" i="4"/>
  <c r="P20" i="4"/>
  <c r="K41" i="4"/>
  <c r="K210" i="4" s="1"/>
  <c r="G41" i="4"/>
  <c r="H41" i="4"/>
  <c r="H210" i="4" s="1"/>
  <c r="I200" i="4"/>
  <c r="I199" i="4"/>
  <c r="I198" i="4"/>
  <c r="I197" i="4"/>
  <c r="I196" i="4"/>
  <c r="L195" i="4"/>
  <c r="K195" i="4"/>
  <c r="O195" i="4" s="1"/>
  <c r="I193" i="4"/>
  <c r="I192" i="4"/>
  <c r="I191" i="4"/>
  <c r="M191" i="4" s="1"/>
  <c r="I190" i="4"/>
  <c r="I189" i="4"/>
  <c r="L188" i="4"/>
  <c r="K188" i="4"/>
  <c r="O188" i="4" s="1"/>
  <c r="I187" i="4"/>
  <c r="I185" i="4"/>
  <c r="I184" i="4"/>
  <c r="M184" i="4" s="1"/>
  <c r="I181" i="4"/>
  <c r="I180" i="4"/>
  <c r="I179" i="4"/>
  <c r="I178" i="4"/>
  <c r="M178" i="4" s="1"/>
  <c r="I177" i="4"/>
  <c r="I176" i="4"/>
  <c r="I175" i="4"/>
  <c r="I174" i="4"/>
  <c r="L173" i="4"/>
  <c r="L172" i="4" s="1"/>
  <c r="K173" i="4"/>
  <c r="K172" i="4" s="1"/>
  <c r="J173" i="4"/>
  <c r="M171" i="4"/>
  <c r="I170" i="4"/>
  <c r="I169" i="4"/>
  <c r="M169" i="4" s="1"/>
  <c r="I168" i="4"/>
  <c r="I167" i="4"/>
  <c r="I166" i="4"/>
  <c r="I165" i="4"/>
  <c r="M165" i="4" s="1"/>
  <c r="I164" i="4"/>
  <c r="I163" i="4"/>
  <c r="I162" i="4"/>
  <c r="L161" i="4"/>
  <c r="L160" i="4" s="1"/>
  <c r="K161" i="4"/>
  <c r="K160" i="4" s="1"/>
  <c r="J161" i="4"/>
  <c r="I159" i="4"/>
  <c r="I158" i="4"/>
  <c r="M158" i="4" s="1"/>
  <c r="I157" i="4"/>
  <c r="I156" i="4"/>
  <c r="M156" i="4" s="1"/>
  <c r="I155" i="4"/>
  <c r="I154" i="4"/>
  <c r="I153" i="4"/>
  <c r="I151" i="4"/>
  <c r="I150" i="4"/>
  <c r="M150" i="4" s="1"/>
  <c r="I149" i="4"/>
  <c r="I148" i="4"/>
  <c r="I147" i="4"/>
  <c r="I146" i="4"/>
  <c r="M146" i="4" s="1"/>
  <c r="I145" i="4"/>
  <c r="I144" i="4"/>
  <c r="I143" i="4"/>
  <c r="M141" i="4"/>
  <c r="I140" i="4"/>
  <c r="L139" i="4"/>
  <c r="L138" i="4" s="1"/>
  <c r="K139" i="4"/>
  <c r="K138" i="4" s="1"/>
  <c r="J139" i="4"/>
  <c r="N139" i="4" s="1"/>
  <c r="I137" i="4"/>
  <c r="I136" i="4"/>
  <c r="I135" i="4"/>
  <c r="I134" i="4"/>
  <c r="M134" i="4" s="1"/>
  <c r="I133" i="4"/>
  <c r="I132" i="4"/>
  <c r="M132" i="4" s="1"/>
  <c r="I131" i="4"/>
  <c r="L130" i="4"/>
  <c r="L129" i="4" s="1"/>
  <c r="K130" i="4"/>
  <c r="J130" i="4"/>
  <c r="J129" i="4" s="1"/>
  <c r="N129" i="4" s="1"/>
  <c r="I128" i="4"/>
  <c r="I127" i="4"/>
  <c r="I126" i="4"/>
  <c r="I125" i="4"/>
  <c r="I124" i="4"/>
  <c r="I123" i="4"/>
  <c r="M123" i="4" s="1"/>
  <c r="I122" i="4"/>
  <c r="I121" i="4"/>
  <c r="M121" i="4" s="1"/>
  <c r="I120" i="4"/>
  <c r="L119" i="4"/>
  <c r="L118" i="4" s="1"/>
  <c r="P118" i="4" s="1"/>
  <c r="K119" i="4"/>
  <c r="K118" i="4" s="1"/>
  <c r="J119" i="4"/>
  <c r="J118" i="4" s="1"/>
  <c r="N118" i="4" s="1"/>
  <c r="I117" i="4"/>
  <c r="I116" i="4"/>
  <c r="I115" i="4"/>
  <c r="J114" i="4"/>
  <c r="J113" i="4" s="1"/>
  <c r="N113" i="4" s="1"/>
  <c r="I112" i="4"/>
  <c r="I111" i="4"/>
  <c r="M111" i="4" s="1"/>
  <c r="I110" i="4"/>
  <c r="J109" i="4"/>
  <c r="I109" i="4" s="1"/>
  <c r="I108" i="4"/>
  <c r="I107" i="4"/>
  <c r="I105" i="4"/>
  <c r="I104" i="4"/>
  <c r="I103" i="4"/>
  <c r="I102" i="4"/>
  <c r="I101" i="4"/>
  <c r="I100" i="4"/>
  <c r="I98" i="4"/>
  <c r="I97" i="4"/>
  <c r="I96" i="4"/>
  <c r="I95" i="4"/>
  <c r="I94" i="4"/>
  <c r="I93" i="4"/>
  <c r="I92" i="4"/>
  <c r="I91" i="4"/>
  <c r="L90" i="4"/>
  <c r="L89" i="4" s="1"/>
  <c r="K90" i="4"/>
  <c r="K89" i="4" s="1"/>
  <c r="O89" i="4" s="1"/>
  <c r="I88" i="4"/>
  <c r="I87" i="4"/>
  <c r="I86" i="4"/>
  <c r="I85" i="4"/>
  <c r="I84" i="4"/>
  <c r="I83" i="4"/>
  <c r="I82" i="4"/>
  <c r="I77" i="4"/>
  <c r="I76" i="4"/>
  <c r="M76" i="4" s="1"/>
  <c r="I75" i="4"/>
  <c r="I74" i="4"/>
  <c r="M74" i="4" s="1"/>
  <c r="I73" i="4"/>
  <c r="I72" i="4"/>
  <c r="M72" i="4" s="1"/>
  <c r="I71" i="4"/>
  <c r="I70" i="4"/>
  <c r="M70" i="4" s="1"/>
  <c r="I69" i="4"/>
  <c r="I68" i="4"/>
  <c r="M68" i="4" s="1"/>
  <c r="I67" i="4"/>
  <c r="I66" i="4"/>
  <c r="I65" i="4"/>
  <c r="L204" i="4"/>
  <c r="K64" i="4"/>
  <c r="K59" i="4" s="1"/>
  <c r="K58" i="4" s="1"/>
  <c r="J64" i="4"/>
  <c r="I63" i="4"/>
  <c r="I62" i="4"/>
  <c r="M62" i="4" s="1"/>
  <c r="I61" i="4"/>
  <c r="I60" i="4"/>
  <c r="M60" i="4" s="1"/>
  <c r="L59" i="4"/>
  <c r="L58" i="4" s="1"/>
  <c r="M57" i="4"/>
  <c r="I56" i="4"/>
  <c r="I55" i="4"/>
  <c r="I54" i="4"/>
  <c r="I53" i="4"/>
  <c r="I52" i="4"/>
  <c r="I50" i="4"/>
  <c r="I49" i="4"/>
  <c r="I48" i="4"/>
  <c r="I47" i="4"/>
  <c r="M47" i="4" s="1"/>
  <c r="I46" i="4"/>
  <c r="I45" i="4"/>
  <c r="M45" i="4" s="1"/>
  <c r="I44" i="4"/>
  <c r="I43" i="4"/>
  <c r="M43" i="4" s="1"/>
  <c r="I42" i="4"/>
  <c r="J41" i="4"/>
  <c r="I37" i="4"/>
  <c r="M37" i="4" s="1"/>
  <c r="I36" i="4"/>
  <c r="I35" i="4"/>
  <c r="J34" i="4"/>
  <c r="I34" i="4" s="1"/>
  <c r="I33" i="4"/>
  <c r="M33" i="4" s="1"/>
  <c r="I31" i="4"/>
  <c r="I30" i="4"/>
  <c r="I29" i="4"/>
  <c r="J28" i="4"/>
  <c r="I28" i="4" s="1"/>
  <c r="I27" i="4"/>
  <c r="I26" i="4"/>
  <c r="I25" i="4"/>
  <c r="I24" i="4"/>
  <c r="I23" i="4"/>
  <c r="I22" i="4"/>
  <c r="I21" i="4"/>
  <c r="I20" i="4"/>
  <c r="I19" i="4"/>
  <c r="L18" i="4"/>
  <c r="L17" i="4" s="1"/>
  <c r="L16" i="4" s="1"/>
  <c r="K18" i="4"/>
  <c r="J18" i="4"/>
  <c r="G195" i="4"/>
  <c r="H195" i="4"/>
  <c r="H212" i="4" s="1"/>
  <c r="F195" i="4"/>
  <c r="G188" i="4"/>
  <c r="G183" i="4" s="1"/>
  <c r="H188" i="4"/>
  <c r="F188" i="4"/>
  <c r="G173" i="4"/>
  <c r="G172" i="4" s="1"/>
  <c r="H173" i="4"/>
  <c r="P173" i="4" s="1"/>
  <c r="F173" i="4"/>
  <c r="F172" i="4" s="1"/>
  <c r="H172" i="4"/>
  <c r="P172" i="4" s="1"/>
  <c r="G161" i="4"/>
  <c r="G160" i="4" s="1"/>
  <c r="H161" i="4"/>
  <c r="H160" i="4" s="1"/>
  <c r="F161" i="4"/>
  <c r="F160" i="4" s="1"/>
  <c r="G139" i="4"/>
  <c r="G138" i="4" s="1"/>
  <c r="H139" i="4"/>
  <c r="H138" i="4" s="1"/>
  <c r="F139" i="4"/>
  <c r="F138" i="4" s="1"/>
  <c r="G130" i="4"/>
  <c r="G129" i="4" s="1"/>
  <c r="H130" i="4"/>
  <c r="F130" i="4"/>
  <c r="H129" i="4"/>
  <c r="F129" i="4"/>
  <c r="G119" i="4"/>
  <c r="H119" i="4"/>
  <c r="H118" i="4" s="1"/>
  <c r="F119" i="4"/>
  <c r="F118" i="4" s="1"/>
  <c r="F114" i="4"/>
  <c r="F113" i="4" s="1"/>
  <c r="F109" i="4"/>
  <c r="F90" i="4" s="1"/>
  <c r="G90" i="4"/>
  <c r="H90" i="4"/>
  <c r="H89" i="4" s="1"/>
  <c r="G89" i="4"/>
  <c r="G64" i="4"/>
  <c r="G204" i="4" s="1"/>
  <c r="H64" i="4"/>
  <c r="H59" i="4" s="1"/>
  <c r="H58" i="4" s="1"/>
  <c r="F64" i="4"/>
  <c r="K204" i="4"/>
  <c r="K205" i="4"/>
  <c r="L205" i="4"/>
  <c r="J206" i="4"/>
  <c r="K206" i="4"/>
  <c r="L206" i="4"/>
  <c r="J207" i="4"/>
  <c r="K207" i="4"/>
  <c r="L207" i="4"/>
  <c r="J208" i="4"/>
  <c r="K208" i="4"/>
  <c r="L208" i="4"/>
  <c r="K209" i="4"/>
  <c r="L209" i="4"/>
  <c r="L210" i="4"/>
  <c r="J211" i="4"/>
  <c r="K211" i="4"/>
  <c r="O211" i="4" s="1"/>
  <c r="L211" i="4"/>
  <c r="H211" i="4"/>
  <c r="G211" i="4"/>
  <c r="F211" i="4"/>
  <c r="H209" i="4"/>
  <c r="G209" i="4"/>
  <c r="H208" i="4"/>
  <c r="G208" i="4"/>
  <c r="F208" i="4"/>
  <c r="H207" i="4"/>
  <c r="G207" i="4"/>
  <c r="F207" i="4"/>
  <c r="H206" i="4"/>
  <c r="G206" i="4"/>
  <c r="F206" i="4"/>
  <c r="H205" i="4"/>
  <c r="G205" i="4"/>
  <c r="F205" i="4"/>
  <c r="H204" i="4"/>
  <c r="F204" i="4"/>
  <c r="F59" i="4"/>
  <c r="F58" i="4" s="1"/>
  <c r="F41" i="4"/>
  <c r="F34" i="4"/>
  <c r="F209" i="4" s="1"/>
  <c r="F28" i="4"/>
  <c r="G18" i="4"/>
  <c r="G203" i="4" s="1"/>
  <c r="H18" i="4"/>
  <c r="H203" i="4" s="1"/>
  <c r="F18" i="4"/>
  <c r="E18" i="4" s="1"/>
  <c r="E19" i="4"/>
  <c r="E20" i="4"/>
  <c r="M20" i="4" s="1"/>
  <c r="E27" i="4"/>
  <c r="E36" i="4"/>
  <c r="E42" i="4"/>
  <c r="E79" i="4"/>
  <c r="M79" i="4" s="1"/>
  <c r="E80" i="4"/>
  <c r="E87" i="4"/>
  <c r="E88" i="4"/>
  <c r="E92" i="4"/>
  <c r="E100" i="4"/>
  <c r="E101" i="4"/>
  <c r="E123" i="4"/>
  <c r="E207" i="4" s="1"/>
  <c r="E124" i="4"/>
  <c r="E137" i="4"/>
  <c r="E148" i="4"/>
  <c r="E155" i="4"/>
  <c r="E166" i="4"/>
  <c r="E178" i="4"/>
  <c r="E179" i="4"/>
  <c r="E184" i="4"/>
  <c r="E185" i="4"/>
  <c r="E191" i="4"/>
  <c r="E192" i="4"/>
  <c r="E200" i="4"/>
  <c r="E168" i="4"/>
  <c r="E164" i="4"/>
  <c r="E152" i="4"/>
  <c r="M152" i="4" s="1"/>
  <c r="E146" i="4"/>
  <c r="E145" i="4"/>
  <c r="E140" i="4"/>
  <c r="E136" i="4"/>
  <c r="M136" i="4" s="1"/>
  <c r="E132" i="4"/>
  <c r="E127" i="4"/>
  <c r="E122" i="4"/>
  <c r="E120" i="4"/>
  <c r="E116" i="4"/>
  <c r="E105" i="4"/>
  <c r="E104" i="4"/>
  <c r="E97" i="4"/>
  <c r="M97" i="4" s="1"/>
  <c r="E96" i="4"/>
  <c r="E84" i="4"/>
  <c r="E83" i="4"/>
  <c r="E82" i="4"/>
  <c r="E76" i="4"/>
  <c r="E75" i="4"/>
  <c r="E74" i="4"/>
  <c r="E63" i="4"/>
  <c r="E60" i="4"/>
  <c r="E48" i="4"/>
  <c r="M48" i="4" s="1"/>
  <c r="E40" i="4"/>
  <c r="M40" i="4" s="1"/>
  <c r="E39" i="4"/>
  <c r="M39" i="4" s="1"/>
  <c r="E33" i="4"/>
  <c r="E32" i="4"/>
  <c r="M32" i="4" s="1"/>
  <c r="E28" i="4"/>
  <c r="E24" i="4"/>
  <c r="E23" i="4"/>
  <c r="M23" i="4" s="1"/>
  <c r="E21" i="4"/>
  <c r="E22" i="4"/>
  <c r="E25" i="4"/>
  <c r="E29" i="4"/>
  <c r="E30" i="4"/>
  <c r="E31" i="4"/>
  <c r="M31" i="4" s="1"/>
  <c r="E35" i="4"/>
  <c r="E37" i="4"/>
  <c r="E38" i="4"/>
  <c r="M38" i="4" s="1"/>
  <c r="E43" i="4"/>
  <c r="E44" i="4"/>
  <c r="E45" i="4"/>
  <c r="E46" i="4"/>
  <c r="E47" i="4"/>
  <c r="E49" i="4"/>
  <c r="E50" i="4"/>
  <c r="E51" i="4"/>
  <c r="M51" i="4" s="1"/>
  <c r="E52" i="4"/>
  <c r="E53" i="4"/>
  <c r="E54" i="4"/>
  <c r="E55" i="4"/>
  <c r="E57" i="4"/>
  <c r="E61" i="4"/>
  <c r="E62" i="4"/>
  <c r="E65" i="4"/>
  <c r="M65" i="4" s="1"/>
  <c r="E66" i="4"/>
  <c r="E67" i="4"/>
  <c r="E68" i="4"/>
  <c r="E69" i="4"/>
  <c r="E70" i="4"/>
  <c r="E71" i="4"/>
  <c r="E72" i="4"/>
  <c r="E73" i="4"/>
  <c r="M73" i="4" s="1"/>
  <c r="E77" i="4"/>
  <c r="E78" i="4"/>
  <c r="M78" i="4" s="1"/>
  <c r="E81" i="4"/>
  <c r="M81" i="4" s="1"/>
  <c r="E85" i="4"/>
  <c r="E86" i="4"/>
  <c r="E91" i="4"/>
  <c r="E94" i="4"/>
  <c r="E95" i="4"/>
  <c r="E98" i="4"/>
  <c r="E99" i="4"/>
  <c r="M99" i="4" s="1"/>
  <c r="E102" i="4"/>
  <c r="E103" i="4"/>
  <c r="E106" i="4"/>
  <c r="M106" i="4" s="1"/>
  <c r="E107" i="4"/>
  <c r="E108" i="4"/>
  <c r="E110" i="4"/>
  <c r="E111" i="4"/>
  <c r="E112" i="4"/>
  <c r="M112" i="4" s="1"/>
  <c r="E115" i="4"/>
  <c r="E117" i="4"/>
  <c r="E121" i="4"/>
  <c r="E125" i="4"/>
  <c r="E126" i="4"/>
  <c r="E128" i="4"/>
  <c r="E131" i="4"/>
  <c r="E133" i="4"/>
  <c r="E134" i="4"/>
  <c r="E135" i="4"/>
  <c r="E208" i="4" s="1"/>
  <c r="E141" i="4"/>
  <c r="E142" i="4"/>
  <c r="M142" i="4" s="1"/>
  <c r="E143" i="4"/>
  <c r="E144" i="4"/>
  <c r="E147" i="4"/>
  <c r="E149" i="4"/>
  <c r="E150" i="4"/>
  <c r="E151" i="4"/>
  <c r="E153" i="4"/>
  <c r="E154" i="4"/>
  <c r="E156" i="4"/>
  <c r="E157" i="4"/>
  <c r="E158" i="4"/>
  <c r="E159" i="4"/>
  <c r="E162" i="4"/>
  <c r="E163" i="4"/>
  <c r="E165" i="4"/>
  <c r="E167" i="4"/>
  <c r="E169" i="4"/>
  <c r="E170" i="4"/>
  <c r="M170" i="4" s="1"/>
  <c r="E171" i="4"/>
  <c r="E174" i="4"/>
  <c r="M174" i="4" s="1"/>
  <c r="E175" i="4"/>
  <c r="E176" i="4"/>
  <c r="E177" i="4"/>
  <c r="E180" i="4"/>
  <c r="E181" i="4"/>
  <c r="E186" i="4"/>
  <c r="M186" i="4" s="1"/>
  <c r="E187" i="4"/>
  <c r="E189" i="4"/>
  <c r="E190" i="4"/>
  <c r="E193" i="4"/>
  <c r="M193" i="4" s="1"/>
  <c r="E194" i="4"/>
  <c r="M194" i="4" s="1"/>
  <c r="E196" i="4"/>
  <c r="E197" i="4"/>
  <c r="E198" i="4"/>
  <c r="E199" i="4"/>
  <c r="E202" i="4"/>
  <c r="O209" i="4" l="1"/>
  <c r="O208" i="4"/>
  <c r="P207" i="4"/>
  <c r="N207" i="4"/>
  <c r="P205" i="4"/>
  <c r="M35" i="4"/>
  <c r="M49" i="4"/>
  <c r="M53" i="4"/>
  <c r="M55" i="4"/>
  <c r="I64" i="4"/>
  <c r="I204" i="4" s="1"/>
  <c r="J204" i="4"/>
  <c r="M107" i="4"/>
  <c r="M125" i="4"/>
  <c r="M127" i="4"/>
  <c r="M144" i="4"/>
  <c r="M148" i="4"/>
  <c r="M154" i="4"/>
  <c r="M163" i="4"/>
  <c r="M167" i="4"/>
  <c r="M176" i="4"/>
  <c r="M180" i="4"/>
  <c r="M189" i="4"/>
  <c r="E203" i="4"/>
  <c r="M66" i="4"/>
  <c r="F203" i="4"/>
  <c r="N211" i="4"/>
  <c r="P209" i="4"/>
  <c r="N208" i="4"/>
  <c r="E119" i="4"/>
  <c r="E118" i="4" s="1"/>
  <c r="M19" i="4"/>
  <c r="M21" i="4"/>
  <c r="M25" i="4"/>
  <c r="M27" i="4"/>
  <c r="M83" i="4"/>
  <c r="M85" i="4"/>
  <c r="M87" i="4"/>
  <c r="M91" i="4"/>
  <c r="M93" i="4"/>
  <c r="M95" i="4"/>
  <c r="M101" i="4"/>
  <c r="M103" i="4"/>
  <c r="M105" i="4"/>
  <c r="M196" i="4"/>
  <c r="M198" i="4"/>
  <c r="M200" i="4"/>
  <c r="G17" i="4"/>
  <c r="G16" i="4" s="1"/>
  <c r="O207" i="4"/>
  <c r="N206" i="4"/>
  <c r="O205" i="4"/>
  <c r="M22" i="4"/>
  <c r="M24" i="4"/>
  <c r="M28" i="4"/>
  <c r="M30" i="4"/>
  <c r="M36" i="4"/>
  <c r="M42" i="4"/>
  <c r="M46" i="4"/>
  <c r="M50" i="4"/>
  <c r="M54" i="4"/>
  <c r="M61" i="4"/>
  <c r="M63" i="4"/>
  <c r="M67" i="4"/>
  <c r="M69" i="4"/>
  <c r="M71" i="4"/>
  <c r="M75" i="4"/>
  <c r="M77" i="4"/>
  <c r="M82" i="4"/>
  <c r="M84" i="4"/>
  <c r="M86" i="4"/>
  <c r="M88" i="4"/>
  <c r="M92" i="4"/>
  <c r="M94" i="4"/>
  <c r="M96" i="4"/>
  <c r="M98" i="4"/>
  <c r="M100" i="4"/>
  <c r="M102" i="4"/>
  <c r="M104" i="4"/>
  <c r="M108" i="4"/>
  <c r="M120" i="4"/>
  <c r="M122" i="4"/>
  <c r="M124" i="4"/>
  <c r="M126" i="4"/>
  <c r="M128" i="4"/>
  <c r="M131" i="4"/>
  <c r="M133" i="4"/>
  <c r="M137" i="4"/>
  <c r="O138" i="4"/>
  <c r="M140" i="4"/>
  <c r="M143" i="4"/>
  <c r="M145" i="4"/>
  <c r="M147" i="4"/>
  <c r="M149" i="4"/>
  <c r="M151" i="4"/>
  <c r="M153" i="4"/>
  <c r="M155" i="4"/>
  <c r="M157" i="4"/>
  <c r="M159" i="4"/>
  <c r="O160" i="4"/>
  <c r="M162" i="4"/>
  <c r="M164" i="4"/>
  <c r="M166" i="4"/>
  <c r="M168" i="4"/>
  <c r="I173" i="4"/>
  <c r="M173" i="4" s="1"/>
  <c r="M175" i="4"/>
  <c r="M177" i="4"/>
  <c r="M179" i="4"/>
  <c r="M181" i="4"/>
  <c r="M185" i="4"/>
  <c r="P188" i="4"/>
  <c r="M190" i="4"/>
  <c r="M192" i="4"/>
  <c r="P195" i="4"/>
  <c r="M197" i="4"/>
  <c r="M199" i="4"/>
  <c r="M52" i="4"/>
  <c r="M29" i="4"/>
  <c r="H17" i="4"/>
  <c r="H16" i="4" s="1"/>
  <c r="P16" i="4" s="1"/>
  <c r="H183" i="4"/>
  <c r="H182" i="4" s="1"/>
  <c r="P160" i="4"/>
  <c r="P138" i="4"/>
  <c r="P129" i="4"/>
  <c r="M135" i="4"/>
  <c r="P208" i="4"/>
  <c r="M117" i="4"/>
  <c r="O206" i="4"/>
  <c r="M115" i="4"/>
  <c r="M110" i="4"/>
  <c r="M116" i="4"/>
  <c r="P89" i="4"/>
  <c r="P206" i="4"/>
  <c r="E64" i="4"/>
  <c r="P64" i="4"/>
  <c r="O64" i="4"/>
  <c r="G59" i="4"/>
  <c r="G58" i="4" s="1"/>
  <c r="O58" i="4" s="1"/>
  <c r="P204" i="4"/>
  <c r="P58" i="4"/>
  <c r="P211" i="4"/>
  <c r="P41" i="4"/>
  <c r="M44" i="4"/>
  <c r="G210" i="4"/>
  <c r="O41" i="4"/>
  <c r="L203" i="4"/>
  <c r="P203" i="4" s="1"/>
  <c r="O119" i="4"/>
  <c r="K203" i="4"/>
  <c r="I18" i="4"/>
  <c r="M18" i="4" s="1"/>
  <c r="P161" i="4"/>
  <c r="I161" i="4"/>
  <c r="M161" i="4" s="1"/>
  <c r="O161" i="4"/>
  <c r="P130" i="4"/>
  <c r="P119" i="4"/>
  <c r="P90" i="4"/>
  <c r="P59" i="4"/>
  <c r="P139" i="4"/>
  <c r="O139" i="4"/>
  <c r="O90" i="4"/>
  <c r="O59" i="4"/>
  <c r="K17" i="4"/>
  <c r="K16" i="4" s="1"/>
  <c r="O16" i="4" s="1"/>
  <c r="I41" i="4"/>
  <c r="J172" i="4"/>
  <c r="N172" i="4" s="1"/>
  <c r="N173" i="4"/>
  <c r="N161" i="4"/>
  <c r="N130" i="4"/>
  <c r="I130" i="4"/>
  <c r="N119" i="4"/>
  <c r="I114" i="4"/>
  <c r="N114" i="4"/>
  <c r="N109" i="4"/>
  <c r="N64" i="4"/>
  <c r="N41" i="4"/>
  <c r="N34" i="4"/>
  <c r="N28" i="4"/>
  <c r="N18" i="4"/>
  <c r="K183" i="4"/>
  <c r="I195" i="4"/>
  <c r="L212" i="4"/>
  <c r="P212" i="4" s="1"/>
  <c r="I188" i="4"/>
  <c r="K212" i="4"/>
  <c r="L183" i="4"/>
  <c r="J212" i="4"/>
  <c r="I209" i="4"/>
  <c r="I211" i="4"/>
  <c r="I139" i="4"/>
  <c r="J138" i="4"/>
  <c r="I208" i="4"/>
  <c r="M208" i="4" s="1"/>
  <c r="I207" i="4"/>
  <c r="M207" i="4" s="1"/>
  <c r="I119" i="4"/>
  <c r="N204" i="4"/>
  <c r="O204" i="4"/>
  <c r="J59" i="4"/>
  <c r="E41" i="4"/>
  <c r="P210" i="4"/>
  <c r="H213" i="4"/>
  <c r="J209" i="4"/>
  <c r="N209" i="4" s="1"/>
  <c r="I206" i="4"/>
  <c r="J205" i="4"/>
  <c r="N205" i="4" s="1"/>
  <c r="I205" i="4"/>
  <c r="I210" i="4"/>
  <c r="J210" i="4"/>
  <c r="J90" i="4"/>
  <c r="N90" i="4" s="1"/>
  <c r="K129" i="4"/>
  <c r="J183" i="4"/>
  <c r="N183" i="4" s="1"/>
  <c r="J17" i="4"/>
  <c r="J160" i="4"/>
  <c r="J203" i="4"/>
  <c r="N203" i="4" s="1"/>
  <c r="E195" i="4"/>
  <c r="F183" i="4"/>
  <c r="F182" i="4" s="1"/>
  <c r="F212" i="4"/>
  <c r="G182" i="4"/>
  <c r="E182" i="4" s="1"/>
  <c r="E183" i="4"/>
  <c r="E188" i="4"/>
  <c r="G212" i="4"/>
  <c r="E173" i="4"/>
  <c r="E172" i="4"/>
  <c r="E161" i="4"/>
  <c r="E160" i="4"/>
  <c r="E139" i="4"/>
  <c r="E138" i="4"/>
  <c r="E130" i="4"/>
  <c r="E129" i="4"/>
  <c r="G118" i="4"/>
  <c r="O118" i="4" s="1"/>
  <c r="E114" i="4"/>
  <c r="E113" i="4" s="1"/>
  <c r="F89" i="4"/>
  <c r="E90" i="4"/>
  <c r="E89" i="4" s="1"/>
  <c r="E109" i="4"/>
  <c r="M109" i="4" s="1"/>
  <c r="F210" i="4"/>
  <c r="F17" i="4"/>
  <c r="F16" i="4" s="1"/>
  <c r="F201" i="4" s="1"/>
  <c r="E56" i="4"/>
  <c r="M56" i="4" s="1"/>
  <c r="E93" i="4"/>
  <c r="E206" i="4" s="1"/>
  <c r="E26" i="4"/>
  <c r="E205" i="4" s="1"/>
  <c r="E34" i="4"/>
  <c r="E209" i="4" s="1"/>
  <c r="M205" i="4" l="1"/>
  <c r="M206" i="4"/>
  <c r="M26" i="4"/>
  <c r="E211" i="4"/>
  <c r="M211" i="4" s="1"/>
  <c r="E212" i="4"/>
  <c r="N17" i="4"/>
  <c r="I203" i="4"/>
  <c r="M203" i="4" s="1"/>
  <c r="M139" i="4"/>
  <c r="M209" i="4"/>
  <c r="M188" i="4"/>
  <c r="M195" i="4"/>
  <c r="G213" i="4"/>
  <c r="M34" i="4"/>
  <c r="H201" i="4"/>
  <c r="P17" i="4"/>
  <c r="M130" i="4"/>
  <c r="G201" i="4"/>
  <c r="E201" i="4" s="1"/>
  <c r="E59" i="4"/>
  <c r="E58" i="4" s="1"/>
  <c r="E204" i="4"/>
  <c r="M204" i="4" s="1"/>
  <c r="M64" i="4"/>
  <c r="O210" i="4"/>
  <c r="M41" i="4"/>
  <c r="K213" i="4"/>
  <c r="O213" i="4" s="1"/>
  <c r="I129" i="4"/>
  <c r="M129" i="4" s="1"/>
  <c r="O17" i="4"/>
  <c r="O212" i="4"/>
  <c r="L182" i="4"/>
  <c r="P183" i="4"/>
  <c r="L213" i="4"/>
  <c r="P213" i="4" s="1"/>
  <c r="K182" i="4"/>
  <c r="O182" i="4" s="1"/>
  <c r="O183" i="4"/>
  <c r="I172" i="4"/>
  <c r="M172" i="4" s="1"/>
  <c r="I160" i="4"/>
  <c r="M160" i="4" s="1"/>
  <c r="N160" i="4"/>
  <c r="I138" i="4"/>
  <c r="M138" i="4" s="1"/>
  <c r="N138" i="4"/>
  <c r="I118" i="4"/>
  <c r="M118" i="4" s="1"/>
  <c r="M119" i="4"/>
  <c r="I113" i="4"/>
  <c r="M113" i="4" s="1"/>
  <c r="M114" i="4"/>
  <c r="J58" i="4"/>
  <c r="N58" i="4" s="1"/>
  <c r="N59" i="4"/>
  <c r="I212" i="4"/>
  <c r="M212" i="4" s="1"/>
  <c r="N212" i="4"/>
  <c r="I59" i="4"/>
  <c r="E210" i="4"/>
  <c r="N210" i="4"/>
  <c r="I17" i="4"/>
  <c r="J16" i="4"/>
  <c r="N16" i="4" s="1"/>
  <c r="J213" i="4"/>
  <c r="J182" i="4"/>
  <c r="I183" i="4"/>
  <c r="M183" i="4" s="1"/>
  <c r="J89" i="4"/>
  <c r="N89" i="4" s="1"/>
  <c r="I90" i="4"/>
  <c r="F213" i="4"/>
  <c r="E17" i="4"/>
  <c r="E16" i="4" s="1"/>
  <c r="K201" i="4" l="1"/>
  <c r="O201" i="4" s="1"/>
  <c r="E213" i="4"/>
  <c r="L201" i="4"/>
  <c r="P201" i="4" s="1"/>
  <c r="P182" i="4"/>
  <c r="I213" i="4"/>
  <c r="I182" i="4"/>
  <c r="M182" i="4" s="1"/>
  <c r="N182" i="4"/>
  <c r="I89" i="4"/>
  <c r="M89" i="4" s="1"/>
  <c r="M90" i="4"/>
  <c r="I58" i="4"/>
  <c r="M58" i="4" s="1"/>
  <c r="M59" i="4"/>
  <c r="I16" i="4"/>
  <c r="M16" i="4" s="1"/>
  <c r="M17" i="4"/>
  <c r="Q17" i="4" s="1"/>
  <c r="J201" i="4"/>
  <c r="M210" i="4"/>
  <c r="N213" i="4"/>
  <c r="M213" i="4" l="1"/>
  <c r="I201" i="4"/>
  <c r="M201" i="4" s="1"/>
  <c r="N201" i="4"/>
</calcChain>
</file>

<file path=xl/sharedStrings.xml><?xml version="1.0" encoding="utf-8"?>
<sst xmlns="http://schemas.openxmlformats.org/spreadsheetml/2006/main" count="673" uniqueCount="430">
  <si>
    <t>бюджет розвитку</t>
  </si>
  <si>
    <t>РАЗОМ</t>
  </si>
  <si>
    <t>0111</t>
  </si>
  <si>
    <t>1090</t>
  </si>
  <si>
    <t>0320</t>
  </si>
  <si>
    <t>0133</t>
  </si>
  <si>
    <t>0470</t>
  </si>
  <si>
    <t>Заходи з енергозбереження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</si>
  <si>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</si>
  <si>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</si>
  <si>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</si>
  <si>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</si>
  <si>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</si>
  <si>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</si>
  <si>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</si>
  <si>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</si>
  <si>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</si>
  <si>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0950</t>
  </si>
  <si>
    <t>0990</t>
  </si>
  <si>
    <t>1040</t>
  </si>
  <si>
    <t>0810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</si>
  <si>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</si>
  <si>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</si>
  <si>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</si>
  <si>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</si>
  <si>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</si>
  <si>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</si>
  <si>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</si>
  <si>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</si>
  <si>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</si>
  <si>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</si>
  <si>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</si>
  <si>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</si>
  <si>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</si>
  <si>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3112</t>
  </si>
  <si>
    <t>4060</t>
  </si>
  <si>
    <t>0824</t>
  </si>
  <si>
    <t>0828</t>
  </si>
  <si>
    <t>0829</t>
  </si>
  <si>
    <t>6030</t>
  </si>
  <si>
    <t>0456</t>
  </si>
  <si>
    <t>0540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</si>
  <si>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</si>
  <si>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</si>
  <si>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</si>
  <si>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</si>
  <si>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</si>
  <si>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</si>
  <si>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1115061</t>
  </si>
  <si>
    <t>5061</t>
  </si>
  <si>
    <t>0150</t>
  </si>
  <si>
    <t>2100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</si>
  <si>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</si>
  <si>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</si>
  <si>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</si>
  <si>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</si>
  <si>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</si>
  <si>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</si>
  <si>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</si>
  <si>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</si>
  <si>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</si>
  <si>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</si>
  <si>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</si>
  <si>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</si>
  <si>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</si>
  <si>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</si>
  <si>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</si>
  <si>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</si>
  <si>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</si>
  <si>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</si>
  <si>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</si>
  <si>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</si>
  <si>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</si>
  <si>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</si>
  <si>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</si>
  <si>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</si>
  <si>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</si>
  <si>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</si>
  <si>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</si>
  <si>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1014060</t>
  </si>
  <si>
    <t>1110160</t>
  </si>
  <si>
    <t>3123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</si>
  <si>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</si>
  <si>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</si>
  <si>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</si>
  <si>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</si>
  <si>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</si>
  <si>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</si>
  <si>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</si>
  <si>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</si>
  <si>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</si>
  <si>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</si>
  <si>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</si>
  <si>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</si>
  <si>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</si>
  <si>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</si>
  <si>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</si>
  <si>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Експлуатація та технічне обслуговування житлового фонду</t>
  </si>
  <si>
    <t>3110180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</si>
  <si>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</si>
  <si>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</si>
  <si>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</si>
  <si>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</si>
  <si>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</si>
  <si>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</si>
  <si>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</si>
  <si>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</si>
  <si>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</si>
  <si>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7680</t>
  </si>
  <si>
    <t>0217680</t>
  </si>
  <si>
    <t>Членські внески до асоціацій органів місцевого самоврядування</t>
  </si>
  <si>
    <t>0210180</t>
  </si>
  <si>
    <t>3104</t>
  </si>
  <si>
    <t>0813104</t>
  </si>
  <si>
    <t>1050</t>
  </si>
  <si>
    <t>Організація та проведення громадських робіт</t>
  </si>
  <si>
    <t>6015</t>
  </si>
  <si>
    <t>1216015</t>
  </si>
  <si>
    <t>Забезпечення надійної та безперебійної експлуатації ліфтів</t>
  </si>
  <si>
    <t>1217461</t>
  </si>
  <si>
    <t>Реалізація інших заходів щодо соціально-економічного розвитку територій</t>
  </si>
  <si>
    <t>0443</t>
  </si>
  <si>
    <t>0218340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</si>
  <si>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</si>
  <si>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</si>
  <si>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</si>
  <si>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</si>
  <si>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</si>
  <si>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</si>
  <si>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Природоохоронні заходи за рахунок цільових фондів</t>
  </si>
  <si>
    <t>7693</t>
  </si>
  <si>
    <t>Заходи із запобігання та ліквідації надзвичайних ситуацій та наслідків стихійного лиха</t>
  </si>
  <si>
    <t>3210</t>
  </si>
  <si>
    <t>1213210</t>
  </si>
  <si>
    <t>0813160</t>
  </si>
  <si>
    <t>3160</t>
  </si>
  <si>
    <t>0813180</t>
  </si>
  <si>
    <t>3180</t>
  </si>
  <si>
    <t>0813192</t>
  </si>
  <si>
    <t>3192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</si>
  <si>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</si>
  <si>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</si>
  <si>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</si>
  <si>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</si>
  <si>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</si>
  <si>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</si>
  <si>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</si>
  <si>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</si>
  <si>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</si>
  <si>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Багатопрофільна стаціонарна медична допомога населенню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</si>
  <si>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</si>
  <si>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Інші субвенції з місцевого бюджету</t>
  </si>
  <si>
    <t>0810180</t>
  </si>
  <si>
    <t>0380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</si>
  <si>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</si>
  <si>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</si>
  <si>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</si>
  <si>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</si>
  <si>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</si>
  <si>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</si>
  <si>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</si>
  <si>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</si>
  <si>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</si>
  <si>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</si>
  <si>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</si>
  <si>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</si>
  <si>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</si>
  <si>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</si>
  <si>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ЗВІТ</t>
  </si>
  <si>
    <t>в  тому  числі</t>
  </si>
  <si>
    <t>в  тому   числі</t>
  </si>
  <si>
    <t>загальний фонд</t>
  </si>
  <si>
    <t>спеціальний фонд</t>
  </si>
  <si>
    <t>загальний  фонд</t>
  </si>
  <si>
    <t xml:space="preserve">з них </t>
  </si>
  <si>
    <t>0218210</t>
  </si>
  <si>
    <t>8210</t>
  </si>
  <si>
    <t>Муніципальні формування з охорони громадського порядку</t>
  </si>
  <si>
    <t>3116017</t>
  </si>
  <si>
    <t>2152</t>
  </si>
  <si>
    <t>1210170</t>
  </si>
  <si>
    <t>0611021</t>
  </si>
  <si>
    <t>1021</t>
  </si>
  <si>
    <t>0611022</t>
  </si>
  <si>
    <t>1022</t>
  </si>
  <si>
    <t>0611031</t>
  </si>
  <si>
    <t>1031</t>
  </si>
  <si>
    <t>0611032</t>
  </si>
  <si>
    <t>1032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</si>
  <si>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</si>
  <si>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</si>
  <si>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</si>
  <si>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Підвищення кваліфікації, перепідготовка кадрів закладами післядипломної освіти</t>
  </si>
  <si>
    <t>0611141</t>
  </si>
  <si>
    <t>1141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</si>
  <si>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</si>
  <si>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</si>
  <si>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</si>
  <si>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</si>
  <si>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</si>
  <si>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1011080</t>
  </si>
  <si>
    <t>1080</t>
  </si>
  <si>
    <t>3718710</t>
  </si>
  <si>
    <t>8710</t>
  </si>
  <si>
    <t>Олександрівська селищна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</si>
  <si>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</si>
  <si>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</si>
  <si>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(код бюджету)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</si>
  <si>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</si>
  <si>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</si>
  <si>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</si>
  <si>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</si>
  <si>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</si>
  <si>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</si>
  <si>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</si>
  <si>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</si>
  <si>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</si>
  <si>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</si>
  <si>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</si>
  <si>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</si>
  <si>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</si>
  <si>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</si>
  <si>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Субвенція з місцевого бюджету державному бюджету на виконання програм соціально-економічного розвитку регіонів</t>
  </si>
  <si>
    <t/>
  </si>
  <si>
    <t>Виконавчий комiтет Чорноморської мiської ради Одеського району Одеської областi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</si>
  <si>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</si>
  <si>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Стоматологічна допомога населенню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</si>
  <si>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</si>
  <si>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</si>
  <si>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</si>
  <si>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</si>
  <si>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</si>
  <si>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Організація благоустрою населених пунктів</t>
  </si>
  <si>
    <t>0218220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</si>
  <si>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</si>
  <si>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</si>
  <si>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</si>
  <si>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</si>
  <si>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</si>
  <si>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</si>
  <si>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Керівництво і управління у відповідній сфері у містах (місті Києві), селищах, селах, територіальних громадах</t>
  </si>
  <si>
    <t>Управлiння соцiальної полiтики Чорноморської мiської ради Одеського району Одеської областi</t>
  </si>
  <si>
    <t>Надання пільг окремим категоріям громадян з оплати послуг зв`язку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</si>
  <si>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</si>
  <si>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0813123</t>
  </si>
  <si>
    <t>Заходи державної політики з питань сім`ї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</si>
  <si>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</si>
  <si>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</si>
  <si>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</si>
  <si>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Вiддiл культури Чорноморської мiської ради Одеського району Одеської областi</t>
  </si>
  <si>
    <t>Надання спеціалізованої освіти мистецькими школами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</si>
  <si>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</si>
  <si>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</si>
  <si>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Вiддiл комунального господарства та благоустрою Чорноморської мiської ради Одеського району Одеської областi</t>
  </si>
  <si>
    <t>Інша діяльність, пов`язана з експлуатацією об`єктів житлово-комунального господарства</t>
  </si>
  <si>
    <t>Інші заходи, пов`язані з економічною діяльністю</t>
  </si>
  <si>
    <t>Управлiння капiтального будiвництва Чорноморської мiської ради Одеського району Одеської областi</t>
  </si>
  <si>
    <t>Управлiння комунальної власностi та земельних вiдносин Чорноморської мiської ради Одеського району Одеської областi</t>
  </si>
  <si>
    <t>Фiнансове управлiння Чорноморської мiської ради Одеського району Одеської областi</t>
  </si>
  <si>
    <t>Резервний фонд місцевого бюджету</t>
  </si>
  <si>
    <t>X</t>
  </si>
  <si>
    <t>УСЬОГО</t>
  </si>
  <si>
    <t>0813230</t>
  </si>
  <si>
    <t>3118240</t>
  </si>
  <si>
    <t>1518110</t>
  </si>
  <si>
    <t xml:space="preserve"> в тому  числі</t>
  </si>
  <si>
    <t>Виконання (%)</t>
  </si>
  <si>
    <t>0618110</t>
  </si>
  <si>
    <t>0610</t>
  </si>
  <si>
    <t>Ольга ЯКОВЕНКО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</si>
  <si>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</si>
  <si>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</si>
  <si>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</si>
  <si>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</si>
  <si>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</si>
  <si>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</si>
  <si>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3117130</t>
  </si>
  <si>
    <t>7130</t>
  </si>
  <si>
    <t>0421</t>
  </si>
  <si>
    <t>Здійснення заходів із землеустрою</t>
  </si>
  <si>
    <t>7000</t>
  </si>
  <si>
    <t>Економічна діяльність</t>
  </si>
  <si>
    <t>Інша діяльність</t>
  </si>
  <si>
    <t>8000</t>
  </si>
  <si>
    <t>9000</t>
  </si>
  <si>
    <t>Міжбюджетні трансферти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</si>
  <si>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</si>
  <si>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</si>
  <si>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</si>
  <si>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</si>
  <si>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Додаток 3</t>
  </si>
  <si>
    <t xml:space="preserve">до рішення Чорноморської міської ради </t>
  </si>
  <si>
    <t>Розроблення схем планування та забудови територій (містобудівної документації)</t>
  </si>
  <si>
    <t>0900000</t>
  </si>
  <si>
    <t>0910000</t>
  </si>
  <si>
    <t>0910160</t>
  </si>
  <si>
    <t>0913112</t>
  </si>
  <si>
    <t>Затверджено розписом на звітний рік з урахуванням змін, грн</t>
  </si>
  <si>
    <t>0217350</t>
  </si>
  <si>
    <t>7350</t>
  </si>
  <si>
    <t>0218240</t>
  </si>
  <si>
    <t>7368</t>
  </si>
  <si>
    <t>Виконання інвестиційних проектів за рахунок субвенцій з інших бюджетів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</si>
  <si>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</si>
  <si>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0217640</t>
  </si>
  <si>
    <t>Будівництво об'єктів житлово-комунального господарства</t>
  </si>
  <si>
    <t>Будівництво освітніх установ та закладів</t>
  </si>
  <si>
    <t>Разом</t>
  </si>
  <si>
    <t>усього</t>
  </si>
  <si>
    <t>Виконано за звітний період, грн</t>
  </si>
  <si>
    <t>2111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</si>
  <si>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</si>
  <si>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</si>
  <si>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</si>
  <si>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0217520</t>
  </si>
  <si>
    <t>7520</t>
  </si>
  <si>
    <t>0460</t>
  </si>
  <si>
    <t>Реалізація Національної програми інформатизації</t>
  </si>
  <si>
    <t>КУ "Муніципальна варта" Чорноморської міської ради Одеського району Одеської області</t>
  </si>
  <si>
    <t>7640</t>
  </si>
  <si>
    <t>0218110</t>
  </si>
  <si>
    <t>8220</t>
  </si>
  <si>
    <t>Управління освіти Чорноморської мiської ради Одеського району Одеської областi</t>
  </si>
  <si>
    <t>в тому числі:</t>
  </si>
  <si>
    <t>комунальні заклади загальної середньої освіти</t>
  </si>
  <si>
    <t>приватний заклад загальної середньої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</si>
  <si>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</si>
  <si>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</si>
  <si>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</si>
  <si>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</si>
  <si>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</si>
  <si>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</si>
  <si>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</si>
  <si>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</si>
  <si>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</si>
  <si>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</si>
  <si>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</si>
  <si>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</si>
  <si>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</si>
  <si>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</si>
  <si>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</si>
  <si>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Розвиток здібностей у дітей та молоді з фізичної культури та спорту комунальними дитячо-юнацькими спортивними школами</t>
  </si>
  <si>
    <t>0617520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</si>
  <si>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</si>
  <si>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0813140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</si>
  <si>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</si>
  <si>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</si>
  <si>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</si>
  <si>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</si>
  <si>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0817520</t>
  </si>
  <si>
    <t>Управління соціальної політики Чорноморської мiської ради Одеського району Одеської областi</t>
  </si>
  <si>
    <t>Комунальна установа "Центр соціальних служб Чорноморської міської ради Одеського району Одеської області"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</si>
  <si>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 Одеської області"</t>
  </si>
  <si>
    <t>Служба у справах дітей Чорноморської міської ради Одеського району Одеської області</t>
  </si>
  <si>
    <t>0917520</t>
  </si>
  <si>
    <t>1013140</t>
  </si>
  <si>
    <t>1017520</t>
  </si>
  <si>
    <t>Вiддiл  молодi та спорту Чорноморської мiської ради Одеського району Одеської областi</t>
  </si>
  <si>
    <t>Забезпечення молодіжними центрами соціального становлення та розвитку молоді та інші заходи у сфері  молодіжної політики</t>
  </si>
  <si>
    <t>1117520</t>
  </si>
  <si>
    <t>0640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</si>
  <si>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</t>
  </si>
  <si>
    <t>1217520</t>
  </si>
  <si>
    <t>1217670</t>
  </si>
  <si>
    <t>7670</t>
  </si>
  <si>
    <t>Внески до статутного капіталу суб'єктів господарювання</t>
  </si>
  <si>
    <t>1217691</t>
  </si>
  <si>
    <t>7691</t>
  </si>
  <si>
    <t>1217693</t>
  </si>
  <si>
    <t>1218110</t>
  </si>
  <si>
    <t>8110</t>
  </si>
  <si>
    <t>1218240</t>
  </si>
  <si>
    <t>1300</t>
  </si>
  <si>
    <t>2171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</si>
  <si>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</si>
  <si>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6091</t>
  </si>
  <si>
    <t>7370</t>
  </si>
  <si>
    <t>1517520</t>
  </si>
  <si>
    <t>3116090</t>
  </si>
  <si>
    <t>Інша діяльність у сфері житлово-комунального господарства</t>
  </si>
  <si>
    <t>3117520</t>
  </si>
  <si>
    <t>3717520</t>
  </si>
  <si>
    <t>Реверсна дотація</t>
  </si>
  <si>
    <t>3719770</t>
  </si>
  <si>
    <t>9770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</si>
  <si>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2025 рік</t>
  </si>
  <si>
    <t>Міська цільова програма фінансової підтримки діяльності  Одеської районної ради Одеської області на 2025 рік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</si>
  <si>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</si>
  <si>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</si>
  <si>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Міська цільова програма підтримки Територіального управління Державного бюро розслідувань, розташованого у місті Миколаєві, на 2025 рік</t>
  </si>
  <si>
    <t>Міська програма "Здоров'я населення Чорноморської міської територіальної громади на 2021-2025 роки"</t>
  </si>
  <si>
    <t>Міська цільова програма "Поліцейський офіцер громади" Чорноморської міської територіальної громади на 2025 рік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</si>
  <si>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</si>
  <si>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</si>
  <si>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</si>
  <si>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</si>
  <si>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0212170</t>
  </si>
  <si>
    <t>Будівництво закладів охорони здоров'я</t>
  </si>
  <si>
    <t>0217330</t>
  </si>
  <si>
    <t>7330</t>
  </si>
  <si>
    <t>Будівництво інших об'єктів комунальної власності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</si>
  <si>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</si>
  <si>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</si>
  <si>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</si>
  <si>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0217693</t>
  </si>
  <si>
    <t>Інші заходи, пов'язані з економічною діяльністю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</si>
  <si>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</si>
  <si>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</si>
  <si>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</si>
  <si>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0611232</t>
  </si>
  <si>
    <t>1232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</si>
  <si>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</si>
  <si>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0611251</t>
  </si>
  <si>
    <t>1251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</si>
  <si>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– шкільні автобуси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</si>
  <si>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</si>
  <si>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</si>
  <si>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</si>
  <si>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</si>
  <si>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</si>
  <si>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Виконання окремих заходів з реалізації соціального проекту "Активні парки - локації здорової України"</t>
  </si>
  <si>
    <t>Забезпечення діяльності місцевих центрів фізичного здоров`я населення "Спорт для всіх" та проведення фізкультурно-масових заходів серед населення регіону</t>
  </si>
  <si>
    <t>1217640</t>
  </si>
  <si>
    <t>Інша субвенція з місцевого бюджету бюджету Великодолинської селищної територіальної громади</t>
  </si>
  <si>
    <t>Інша субвенція Обласному бюджету Одеської області</t>
  </si>
  <si>
    <t>Начальний фінансового управління</t>
  </si>
  <si>
    <t>більше 100%</t>
  </si>
  <si>
    <t>у 2,7 рази</t>
  </si>
  <si>
    <t>від_____.08.2025  №______- VIII</t>
  </si>
  <si>
    <t>Про виконання видатків бюджету  Чорноморської міської територіальної громади  за  1 півріччя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</si>
</sst>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%"/>
    <numFmt numFmtId="166" formatCode="#,##0.00;\-#,##0.00;#,&quot;-&quot;"/>
    <numFmt numFmtId="167" formatCode="#,##0.00_ ;\-#,##0.00\ 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 Cyr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6" fillId="2" borderId="0" xfId="0" applyFont="1" applyFill="1"/>
    <xf numFmtId="0" fontId="5" fillId="2" borderId="0" xfId="0" applyFont="1" applyFill="1"/>
    <xf numFmtId="49" fontId="3" fillId="2" borderId="0" xfId="0" applyNumberFormat="1" applyFont="1" applyFill="1"/>
    <xf numFmtId="0" fontId="9" fillId="2" borderId="0" xfId="0" applyFont="1" applyFill="1"/>
    <xf numFmtId="164" fontId="9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49" fontId="3" fillId="0" borderId="0" xfId="0" applyNumberFormat="1" applyFont="1"/>
    <xf numFmtId="0" fontId="9" fillId="0" borderId="0" xfId="0" applyFont="1" applyAlignment="1">
      <alignment horizontal="left"/>
    </xf>
    <xf numFmtId="0" fontId="3" fillId="0" borderId="0" xfId="2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0" borderId="0" xfId="0" applyFont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/>
    </xf>
    <xf numFmtId="0" fontId="1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0" fillId="0" borderId="0" xfId="0" applyFont="1" applyAlignment="1">
      <alignment horizontal="center" wrapText="1"/>
    </xf>
    <xf numFmtId="0" fontId="3" fillId="0" borderId="0" xfId="2" applyFont="1" applyAlignment="1">
      <alignment wrapText="1"/>
    </xf>
    <xf numFmtId="0" fontId="6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/>
    <xf numFmtId="0" fontId="20" fillId="2" borderId="0" xfId="0" applyFont="1" applyFill="1" applyAlignment="1">
      <alignment vertical="center"/>
    </xf>
    <xf numFmtId="165" fontId="7" fillId="0" borderId="1" xfId="2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165" fontId="5" fillId="0" borderId="1" xfId="2" applyNumberFormat="1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/>
    </xf>
    <xf numFmtId="165" fontId="8" fillId="0" borderId="1" xfId="2" applyNumberFormat="1" applyFont="1" applyBorder="1" applyAlignment="1">
      <alignment vertical="center" wrapText="1"/>
    </xf>
    <xf numFmtId="2" fontId="5" fillId="2" borderId="0" xfId="0" applyNumberFormat="1" applyFont="1" applyFill="1" applyAlignment="1">
      <alignment vertical="center"/>
    </xf>
    <xf numFmtId="164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20" fillId="2" borderId="0" xfId="0" applyNumberFormat="1" applyFont="1" applyFill="1" applyAlignment="1">
      <alignment vertical="center"/>
    </xf>
    <xf numFmtId="0" fontId="15" fillId="2" borderId="1" xfId="0" quotePrefix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49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horizontal="center"/>
    </xf>
    <xf numFmtId="0" fontId="14" fillId="2" borderId="1" xfId="0" quotePrefix="1" applyFont="1" applyFill="1" applyBorder="1" applyAlignment="1">
      <alignment vertical="center" wrapText="1"/>
    </xf>
    <xf numFmtId="166" fontId="14" fillId="2" borderId="1" xfId="0" applyNumberFormat="1" applyFont="1" applyFill="1" applyBorder="1" applyAlignment="1">
      <alignment vertical="center"/>
    </xf>
    <xf numFmtId="0" fontId="16" fillId="2" borderId="1" xfId="0" quotePrefix="1" applyFont="1" applyFill="1" applyBorder="1" applyAlignment="1">
      <alignment vertical="center" wrapText="1"/>
    </xf>
    <xf numFmtId="164" fontId="5" fillId="2" borderId="1" xfId="2" applyNumberFormat="1" applyFont="1" applyFill="1" applyBorder="1" applyAlignment="1">
      <alignment wrapText="1"/>
    </xf>
    <xf numFmtId="167" fontId="15" fillId="2" borderId="1" xfId="0" applyNumberFormat="1" applyFont="1" applyFill="1" applyBorder="1"/>
    <xf numFmtId="0" fontId="1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4" fontId="22" fillId="0" borderId="1" xfId="0" applyNumberFormat="1" applyFont="1" applyBorder="1" applyAlignment="1">
      <alignment vertical="center"/>
    </xf>
    <xf numFmtId="165" fontId="23" fillId="0" borderId="1" xfId="2" applyNumberFormat="1" applyFont="1" applyBorder="1" applyAlignment="1">
      <alignment vertical="center" wrapText="1"/>
    </xf>
    <xf numFmtId="0" fontId="23" fillId="2" borderId="0" xfId="0" applyFont="1" applyFill="1"/>
    <xf numFmtId="0" fontId="21" fillId="2" borderId="1" xfId="0" applyFont="1" applyFill="1" applyBorder="1" applyAlignment="1">
      <alignment wrapText="1"/>
    </xf>
    <xf numFmtId="167" fontId="21" fillId="2" borderId="1" xfId="0" applyNumberFormat="1" applyFont="1" applyFill="1" applyBorder="1"/>
    <xf numFmtId="165" fontId="23" fillId="2" borderId="1" xfId="0" applyNumberFormat="1" applyFont="1" applyFill="1" applyBorder="1" applyAlignment="1">
      <alignment wrapText="1"/>
    </xf>
    <xf numFmtId="0" fontId="8" fillId="2" borderId="0" xfId="0" applyFont="1" applyFill="1"/>
    <xf numFmtId="166" fontId="14" fillId="0" borderId="1" xfId="0" applyNumberFormat="1" applyFont="1" applyBorder="1" applyAlignment="1">
      <alignment vertical="center"/>
    </xf>
    <xf numFmtId="166" fontId="15" fillId="0" borderId="1" xfId="0" applyNumberFormat="1" applyFont="1" applyBorder="1" applyAlignment="1">
      <alignment vertical="center"/>
    </xf>
    <xf numFmtId="166" fontId="16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vertical="center"/>
    </xf>
    <xf numFmtId="167" fontId="15" fillId="0" borderId="1" xfId="0" applyNumberFormat="1" applyFont="1" applyBorder="1"/>
    <xf numFmtId="167" fontId="21" fillId="0" borderId="1" xfId="0" applyNumberFormat="1" applyFont="1" applyBorder="1"/>
    <xf numFmtId="165" fontId="8" fillId="0" borderId="1" xfId="2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7" fontId="21" fillId="0" borderId="1" xfId="0" applyNumberFormat="1" applyFont="1" applyBorder="1" applyAlignment="1">
      <alignment horizontal="right"/>
    </xf>
    <xf numFmtId="165" fontId="5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wrapText="1"/>
    </xf>
    <xf numFmtId="49" fontId="12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1" xr:uid="{00000000-0005-0000-0000-000002000000}"/>
    <cellStyle name="Обычный_дод 3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/>
  <dimension ref="A1:R215"/>
  <sheetViews>
    <sheetView showZeros="0" tabSelected="1" view="pageBreakPreview" zoomScale="50" zoomScaleNormal="50" zoomScaleSheetLayoutView="50" workbookViewId="0">
      <pane xSplit="4" ySplit="15" topLeftCell="H112" activePane="bottomRight" state="frozen"/>
      <selection pane="topRight" activeCell="E1" sqref="E1"/>
      <selection pane="bottomLeft" activeCell="A13" sqref="A13"/>
      <selection pane="bottomRight" activeCell="A6" sqref="A6:P6"/>
    </sheetView>
  </sheetViews>
  <sheetFormatPr defaultColWidth="9.140625" defaultRowHeight="15.75" x14ac:dyDescent="0.25"/>
  <cols>
    <col min="1" max="1" width="18" style="3" customWidth="1"/>
    <col min="2" max="2" width="15.140625" style="3" customWidth="1"/>
    <col min="3" max="3" width="18.42578125" style="3" customWidth="1"/>
    <col min="4" max="4" width="53.5703125" style="1" customWidth="1"/>
    <col min="5" max="5" width="25.85546875" style="9" customWidth="1"/>
    <col min="6" max="6" width="25" style="9" customWidth="1"/>
    <col min="7" max="9" width="22.5703125" style="9" customWidth="1"/>
    <col min="10" max="10" width="23" style="9" customWidth="1"/>
    <col min="11" max="11" width="21.140625" style="9" customWidth="1"/>
    <col min="12" max="12" width="21.42578125" style="9" customWidth="1"/>
    <col min="13" max="13" width="10.7109375" style="29" customWidth="1"/>
    <col min="14" max="14" width="12.28515625" style="29" customWidth="1"/>
    <col min="15" max="15" width="11.42578125" style="29" customWidth="1"/>
    <col min="16" max="16" width="11" style="29" customWidth="1"/>
    <col min="17" max="17" width="12" style="1" hidden="1" customWidth="1"/>
    <col min="18" max="16384" width="9.140625" style="1"/>
  </cols>
  <sheetData>
    <row r="1" spans="1:16" x14ac:dyDescent="0.25">
      <c r="A1" s="5"/>
      <c r="B1" s="6"/>
      <c r="C1" s="6"/>
      <c r="D1" s="7"/>
      <c r="E1" s="8"/>
      <c r="F1" s="8"/>
      <c r="G1" s="8"/>
      <c r="H1" s="8"/>
      <c r="I1" s="8"/>
      <c r="J1" s="8"/>
      <c r="K1" s="8"/>
      <c r="L1" s="8"/>
      <c r="M1" s="84" t="s">
        <v>290</v>
      </c>
      <c r="N1" s="84"/>
      <c r="O1" s="84"/>
      <c r="P1" s="25"/>
    </row>
    <row r="2" spans="1:16" ht="15.6" customHeight="1" x14ac:dyDescent="0.25">
      <c r="A2" s="5"/>
      <c r="B2" s="6"/>
      <c r="C2" s="6"/>
      <c r="D2" s="7"/>
      <c r="E2" s="8"/>
      <c r="F2" s="8"/>
      <c r="G2" s="8"/>
      <c r="H2" s="8"/>
      <c r="I2" s="8"/>
      <c r="J2" s="8"/>
      <c r="K2" s="8"/>
      <c r="L2" s="8"/>
      <c r="M2" s="84" t="s">
        <v>291</v>
      </c>
      <c r="N2" s="84"/>
      <c r="O2" s="84"/>
      <c r="P2" s="84"/>
    </row>
    <row r="3" spans="1:16" ht="15.6" customHeight="1" x14ac:dyDescent="0.25">
      <c r="A3" s="5"/>
      <c r="B3" s="6"/>
      <c r="C3" s="10"/>
      <c r="D3" s="7"/>
      <c r="E3" s="8"/>
      <c r="F3" s="8"/>
      <c r="G3" s="8"/>
      <c r="H3" s="8"/>
      <c r="I3" s="8"/>
      <c r="J3" s="8"/>
      <c r="K3" s="81"/>
      <c r="L3" s="8"/>
      <c r="M3" s="84" t="s">
        <v>428</v>
      </c>
      <c r="N3" s="84"/>
      <c r="O3" s="84"/>
      <c r="P3" s="84"/>
    </row>
    <row r="4" spans="1:16" x14ac:dyDescent="0.25">
      <c r="A4" s="11"/>
      <c r="B4" s="10"/>
      <c r="C4" s="10"/>
      <c r="D4" s="7"/>
      <c r="E4" s="8"/>
      <c r="F4" s="8"/>
      <c r="G4" s="8"/>
      <c r="H4" s="8"/>
      <c r="I4" s="8"/>
      <c r="J4" s="8"/>
      <c r="K4" s="81"/>
      <c r="L4" s="8"/>
      <c r="M4" s="85"/>
      <c r="N4" s="85"/>
      <c r="O4" s="85"/>
      <c r="P4" s="26"/>
    </row>
    <row r="5" spans="1:16" s="4" customFormat="1" x14ac:dyDescent="0.25">
      <c r="A5" s="101" t="s">
        <v>168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16" s="4" customFormat="1" x14ac:dyDescent="0.25">
      <c r="A6" s="102" t="s">
        <v>429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16" s="4" customFormat="1" x14ac:dyDescent="0.25">
      <c r="A7" s="15">
        <v>1558900000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7"/>
      <c r="N7" s="27"/>
      <c r="O7" s="27"/>
      <c r="P7" s="27"/>
    </row>
    <row r="8" spans="1:16" s="4" customFormat="1" x14ac:dyDescent="0.25">
      <c r="A8" s="22" t="s">
        <v>207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7"/>
      <c r="N8" s="27"/>
      <c r="O8" s="27"/>
      <c r="P8" s="27"/>
    </row>
    <row r="9" spans="1:16" x14ac:dyDescent="0.25">
      <c r="A9" s="10"/>
      <c r="B9" s="10"/>
      <c r="C9" s="10"/>
      <c r="D9" s="12"/>
      <c r="E9" s="12"/>
      <c r="F9" s="12"/>
      <c r="G9" s="12"/>
      <c r="H9" s="12"/>
      <c r="I9" s="12"/>
      <c r="J9" s="12"/>
      <c r="K9" s="12"/>
      <c r="L9" s="12"/>
      <c r="M9" s="28"/>
      <c r="N9" s="28"/>
      <c r="O9" s="28"/>
      <c r="P9" s="28"/>
    </row>
    <row r="10" spans="1:16" ht="15.6" customHeight="1" x14ac:dyDescent="0.25">
      <c r="A10" s="87" t="s">
        <v>154</v>
      </c>
      <c r="B10" s="86" t="s">
        <v>155</v>
      </c>
      <c r="C10" s="87" t="s">
        <v>156</v>
      </c>
      <c r="D10" s="88" t="s">
        <v>157</v>
      </c>
      <c r="E10" s="94" t="s">
        <v>297</v>
      </c>
      <c r="F10" s="95"/>
      <c r="G10" s="95"/>
      <c r="H10" s="96"/>
      <c r="I10" s="94" t="s">
        <v>309</v>
      </c>
      <c r="J10" s="95"/>
      <c r="K10" s="95"/>
      <c r="L10" s="96"/>
      <c r="M10" s="94" t="s">
        <v>266</v>
      </c>
      <c r="N10" s="95"/>
      <c r="O10" s="95"/>
      <c r="P10" s="96"/>
    </row>
    <row r="11" spans="1:16" ht="15.6" customHeight="1" x14ac:dyDescent="0.25">
      <c r="A11" s="87"/>
      <c r="B11" s="86"/>
      <c r="C11" s="87"/>
      <c r="D11" s="88"/>
      <c r="E11" s="97" t="s">
        <v>307</v>
      </c>
      <c r="F11" s="91" t="s">
        <v>169</v>
      </c>
      <c r="G11" s="92"/>
      <c r="H11" s="93"/>
      <c r="I11" s="97" t="s">
        <v>307</v>
      </c>
      <c r="J11" s="91" t="s">
        <v>265</v>
      </c>
      <c r="K11" s="92"/>
      <c r="L11" s="93"/>
      <c r="M11" s="97" t="s">
        <v>307</v>
      </c>
      <c r="N11" s="103" t="s">
        <v>170</v>
      </c>
      <c r="O11" s="104"/>
      <c r="P11" s="105"/>
    </row>
    <row r="12" spans="1:16" x14ac:dyDescent="0.25">
      <c r="A12" s="87"/>
      <c r="B12" s="86"/>
      <c r="C12" s="87"/>
      <c r="D12" s="88"/>
      <c r="E12" s="98"/>
      <c r="F12" s="89" t="s">
        <v>171</v>
      </c>
      <c r="G12" s="89" t="s">
        <v>172</v>
      </c>
      <c r="H12" s="89"/>
      <c r="I12" s="98"/>
      <c r="J12" s="89" t="s">
        <v>173</v>
      </c>
      <c r="K12" s="89" t="s">
        <v>172</v>
      </c>
      <c r="L12" s="89"/>
      <c r="M12" s="98"/>
      <c r="N12" s="89" t="s">
        <v>171</v>
      </c>
      <c r="O12" s="89" t="s">
        <v>172</v>
      </c>
      <c r="P12" s="89"/>
    </row>
    <row r="13" spans="1:16" x14ac:dyDescent="0.25">
      <c r="A13" s="87"/>
      <c r="B13" s="86"/>
      <c r="C13" s="87"/>
      <c r="D13" s="88"/>
      <c r="E13" s="98"/>
      <c r="F13" s="90"/>
      <c r="G13" s="100" t="s">
        <v>308</v>
      </c>
      <c r="H13" s="24" t="s">
        <v>174</v>
      </c>
      <c r="I13" s="98"/>
      <c r="J13" s="90"/>
      <c r="K13" s="100" t="s">
        <v>308</v>
      </c>
      <c r="L13" s="24" t="s">
        <v>174</v>
      </c>
      <c r="M13" s="98"/>
      <c r="N13" s="90"/>
      <c r="O13" s="100" t="s">
        <v>308</v>
      </c>
      <c r="P13" s="24" t="s">
        <v>174</v>
      </c>
    </row>
    <row r="14" spans="1:16" ht="42.75" customHeight="1" x14ac:dyDescent="0.25">
      <c r="A14" s="87"/>
      <c r="B14" s="86"/>
      <c r="C14" s="87"/>
      <c r="D14" s="88"/>
      <c r="E14" s="99"/>
      <c r="F14" s="90"/>
      <c r="G14" s="100"/>
      <c r="H14" s="24" t="s">
        <v>0</v>
      </c>
      <c r="I14" s="99"/>
      <c r="J14" s="90"/>
      <c r="K14" s="100"/>
      <c r="L14" s="24" t="s">
        <v>0</v>
      </c>
      <c r="M14" s="99"/>
      <c r="N14" s="90"/>
      <c r="O14" s="100"/>
      <c r="P14" s="24" t="s">
        <v>0</v>
      </c>
    </row>
    <row r="15" spans="1:16" x14ac:dyDescent="0.25">
      <c r="A15" s="13">
        <v>1</v>
      </c>
      <c r="B15" s="13">
        <v>2</v>
      </c>
      <c r="C15" s="13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4">
        <v>15</v>
      </c>
      <c r="P15" s="14">
        <v>16</v>
      </c>
    </row>
    <row r="16" spans="1:16" s="20" customFormat="1" ht="56.25" x14ac:dyDescent="0.25">
      <c r="A16" s="33" t="s">
        <v>59</v>
      </c>
      <c r="B16" s="33" t="s">
        <v>223</v>
      </c>
      <c r="C16" s="33" t="s">
        <v>223</v>
      </c>
      <c r="D16" s="56" t="s">
        <v>224</v>
      </c>
      <c r="E16" s="57">
        <f>E17</f>
        <v>249467818</v>
      </c>
      <c r="F16" s="72">
        <f>F17</f>
        <v>225181878</v>
      </c>
      <c r="G16" s="72">
        <f t="shared" ref="G16:H16" si="0">G17</f>
        <v>24285940</v>
      </c>
      <c r="H16" s="72">
        <f t="shared" si="0"/>
        <v>23268340</v>
      </c>
      <c r="I16" s="72">
        <f>I17</f>
        <v>103272550.91</v>
      </c>
      <c r="J16" s="72">
        <f>J17</f>
        <v>97041051.560000002</v>
      </c>
      <c r="K16" s="72">
        <f t="shared" ref="K16" si="1">K17</f>
        <v>6231499.3499999996</v>
      </c>
      <c r="L16" s="72">
        <f t="shared" ref="L16" si="2">L17</f>
        <v>1509949.34</v>
      </c>
      <c r="M16" s="42">
        <f>I16/E16</f>
        <v>0.41397143622749766</v>
      </c>
      <c r="N16" s="42">
        <f t="shared" ref="N16:P16" si="3">J16/F16</f>
        <v>0.43094520936538244</v>
      </c>
      <c r="O16" s="42">
        <f t="shared" si="3"/>
        <v>0.25658876493971405</v>
      </c>
      <c r="P16" s="42">
        <f t="shared" si="3"/>
        <v>6.4892869022886893E-2</v>
      </c>
    </row>
    <row r="17" spans="1:17" s="20" customFormat="1" ht="56.25" x14ac:dyDescent="0.25">
      <c r="A17" s="33" t="s">
        <v>60</v>
      </c>
      <c r="B17" s="33" t="s">
        <v>223</v>
      </c>
      <c r="C17" s="33" t="s">
        <v>223</v>
      </c>
      <c r="D17" s="56" t="s">
        <v>224</v>
      </c>
      <c r="E17" s="43">
        <f>F17+G17</f>
        <v>249467818</v>
      </c>
      <c r="F17" s="72">
        <f>F18+F23+F24+F25+F26+F27+F28+F32+F33+F34+F38+F39+F40+F41+F49+F50+F51+F52+F53+F54+F55+F56+F57</f>
        <v>225181878</v>
      </c>
      <c r="G17" s="72">
        <f t="shared" ref="G17:H17" si="4">G18+G23+G24+G25+G26+G27+G28+G32+G33+G34+G38+G39+G40+G41+G49+G50+G51+G52+G53+G54+G55+G56+G57</f>
        <v>24285940</v>
      </c>
      <c r="H17" s="72">
        <f t="shared" si="4"/>
        <v>23268340</v>
      </c>
      <c r="I17" s="43">
        <f>J17+K17</f>
        <v>103272550.91</v>
      </c>
      <c r="J17" s="72">
        <f>J18+J23+J24+J25+J26+J27+J28+J32+J33+J34+J38+J39+J40+J41+J49+J50+J51+J52+J53+J54+J55+J56+J57</f>
        <v>97041051.560000002</v>
      </c>
      <c r="K17" s="72">
        <f t="shared" ref="K17" si="5">K18+K23+K24+K25+K26+K27+K28+K32+K33+K34+K38+K39+K40+K41+K49+K50+K51+K52+K53+K54+K55+K56+K57</f>
        <v>6231499.3499999996</v>
      </c>
      <c r="L17" s="72">
        <f t="shared" ref="L17" si="6">L18+L23+L24+L25+L26+L27+L28+L32+L33+L34+L38+L39+L40+L41+L49+L50+L51+L52+L53+L54+L55+L56+L57</f>
        <v>1509949.34</v>
      </c>
      <c r="M17" s="42">
        <f>IF(E17,I17/E17,0)</f>
        <v>0.41397143622749766</v>
      </c>
      <c r="N17" s="42">
        <f t="shared" ref="N17:Q17" si="7">IF(F17,J17/F17,0)</f>
        <v>0.43094520936538244</v>
      </c>
      <c r="O17" s="42">
        <f t="shared" si="7"/>
        <v>0.25658876493971405</v>
      </c>
      <c r="P17" s="42">
        <f t="shared" si="7"/>
        <v>6.4892869022886893E-2</v>
      </c>
      <c r="Q17" s="42">
        <f t="shared" si="7"/>
        <v>4.0085330765990826E-9</v>
      </c>
    </row>
    <row r="18" spans="1:17" s="18" customFormat="1" ht="93.75" x14ac:dyDescent="0.25">
      <c r="A18" s="34" t="s">
        <v>61</v>
      </c>
      <c r="B18" s="34" t="s">
        <v>50</v>
      </c>
      <c r="C18" s="34" t="s">
        <v>2</v>
      </c>
      <c r="D18" s="52" t="s">
        <v>225</v>
      </c>
      <c r="E18" s="44">
        <f t="shared" ref="E18:E81" si="8">F18+G18</f>
        <v>104721000</v>
      </c>
      <c r="F18" s="73">
        <f>F19+F20+F21+F22</f>
        <v>104556400</v>
      </c>
      <c r="G18" s="73">
        <f t="shared" ref="G18:H18" si="9">G19+G20+G21+G22</f>
        <v>164600</v>
      </c>
      <c r="H18" s="73">
        <f t="shared" si="9"/>
        <v>47000</v>
      </c>
      <c r="I18" s="44">
        <f t="shared" ref="I18:I56" si="10">J18+K18</f>
        <v>51590838.380000003</v>
      </c>
      <c r="J18" s="73">
        <f>J19+J20+J21+J22</f>
        <v>46869288.370000005</v>
      </c>
      <c r="K18" s="73">
        <f t="shared" ref="K18" si="11">K19+K20+K21+K22</f>
        <v>4721550.01</v>
      </c>
      <c r="L18" s="73">
        <f t="shared" ref="L18" si="12">L19+L20+L21+L22</f>
        <v>0</v>
      </c>
      <c r="M18" s="45">
        <f t="shared" ref="M18:M21" si="13">IF(E18,I18/E18,0)</f>
        <v>0.49265036029067716</v>
      </c>
      <c r="N18" s="45">
        <f t="shared" ref="N18:N21" si="14">IF(F18,J18/F18,0)</f>
        <v>0.44826800052411908</v>
      </c>
      <c r="O18" s="78" t="s">
        <v>426</v>
      </c>
      <c r="P18" s="45"/>
    </row>
    <row r="19" spans="1:17" s="17" customFormat="1" ht="56.25" x14ac:dyDescent="0.25">
      <c r="A19" s="35"/>
      <c r="B19" s="35"/>
      <c r="C19" s="35"/>
      <c r="D19" s="58" t="s">
        <v>224</v>
      </c>
      <c r="E19" s="46">
        <f t="shared" si="8"/>
        <v>94312198</v>
      </c>
      <c r="F19" s="74">
        <v>94147600</v>
      </c>
      <c r="G19" s="74">
        <v>164598</v>
      </c>
      <c r="H19" s="74">
        <v>47000</v>
      </c>
      <c r="I19" s="46">
        <f t="shared" si="10"/>
        <v>46338200.450000003</v>
      </c>
      <c r="J19" s="74">
        <v>41616841.780000001</v>
      </c>
      <c r="K19" s="74">
        <f>10978.76+4710379.91</f>
        <v>4721358.67</v>
      </c>
      <c r="L19" s="74">
        <v>0</v>
      </c>
      <c r="M19" s="47">
        <f t="shared" si="13"/>
        <v>0.49132775433777931</v>
      </c>
      <c r="N19" s="47">
        <f t="shared" si="14"/>
        <v>0.44203826523458911</v>
      </c>
      <c r="O19" s="78" t="s">
        <v>426</v>
      </c>
      <c r="P19" s="47">
        <f t="shared" ref="P19:P21" si="15">IF(H19,L19/H19,0)</f>
        <v>0</v>
      </c>
    </row>
    <row r="20" spans="1:17" s="17" customFormat="1" ht="56.25" x14ac:dyDescent="0.25">
      <c r="A20" s="35"/>
      <c r="B20" s="35"/>
      <c r="C20" s="35"/>
      <c r="D20" s="58" t="s">
        <v>204</v>
      </c>
      <c r="E20" s="46">
        <f t="shared" si="8"/>
        <v>4133701</v>
      </c>
      <c r="F20" s="74">
        <v>4133700</v>
      </c>
      <c r="G20" s="74">
        <v>1</v>
      </c>
      <c r="H20" s="74">
        <v>0</v>
      </c>
      <c r="I20" s="46">
        <f t="shared" si="10"/>
        <v>2179887.65</v>
      </c>
      <c r="J20" s="74">
        <v>2179696.31</v>
      </c>
      <c r="K20" s="74">
        <v>191.34</v>
      </c>
      <c r="L20" s="74">
        <v>0</v>
      </c>
      <c r="M20" s="47">
        <f t="shared" si="13"/>
        <v>0.52734526517520253</v>
      </c>
      <c r="N20" s="47">
        <f t="shared" si="14"/>
        <v>0.52729910491811216</v>
      </c>
      <c r="O20" s="78" t="s">
        <v>426</v>
      </c>
      <c r="P20" s="47">
        <f t="shared" si="15"/>
        <v>0</v>
      </c>
    </row>
    <row r="21" spans="1:17" s="17" customFormat="1" ht="56.25" x14ac:dyDescent="0.25">
      <c r="A21" s="35"/>
      <c r="B21" s="35"/>
      <c r="C21" s="35"/>
      <c r="D21" s="58" t="s">
        <v>206</v>
      </c>
      <c r="E21" s="46">
        <f t="shared" si="8"/>
        <v>2910600</v>
      </c>
      <c r="F21" s="74">
        <v>2910600</v>
      </c>
      <c r="G21" s="74">
        <v>0</v>
      </c>
      <c r="H21" s="74">
        <v>0</v>
      </c>
      <c r="I21" s="46">
        <f t="shared" si="10"/>
        <v>1466448.44</v>
      </c>
      <c r="J21" s="74">
        <v>1466448.44</v>
      </c>
      <c r="K21" s="74">
        <v>0</v>
      </c>
      <c r="L21" s="74">
        <v>0</v>
      </c>
      <c r="M21" s="47">
        <f t="shared" si="13"/>
        <v>0.50383028928743212</v>
      </c>
      <c r="N21" s="47">
        <f t="shared" si="14"/>
        <v>0.50383028928743212</v>
      </c>
      <c r="O21" s="47">
        <f t="shared" ref="O21" si="16">IF(G21,K21/G21,0)</f>
        <v>0</v>
      </c>
      <c r="P21" s="47">
        <f t="shared" si="15"/>
        <v>0</v>
      </c>
    </row>
    <row r="22" spans="1:17" s="17" customFormat="1" ht="56.25" x14ac:dyDescent="0.25">
      <c r="A22" s="35"/>
      <c r="B22" s="35"/>
      <c r="C22" s="35"/>
      <c r="D22" s="58" t="s">
        <v>205</v>
      </c>
      <c r="E22" s="46">
        <f t="shared" si="8"/>
        <v>3364501</v>
      </c>
      <c r="F22" s="74">
        <v>3364500</v>
      </c>
      <c r="G22" s="74">
        <v>1</v>
      </c>
      <c r="H22" s="74">
        <v>0</v>
      </c>
      <c r="I22" s="46">
        <f t="shared" si="10"/>
        <v>1606301.84</v>
      </c>
      <c r="J22" s="74">
        <v>1606301.84</v>
      </c>
      <c r="K22" s="74">
        <v>0</v>
      </c>
      <c r="L22" s="74">
        <v>0</v>
      </c>
      <c r="M22" s="47">
        <f t="shared" ref="M22:M85" si="17">IF(E22,I22/E22,0)</f>
        <v>0.47742647126572413</v>
      </c>
      <c r="N22" s="47">
        <f t="shared" ref="N22:N85" si="18">IF(F22,J22/F22,0)</f>
        <v>0.47742661316688961</v>
      </c>
      <c r="O22" s="47">
        <f t="shared" ref="O22:O85" si="19">IF(G22,K22/G22,0)</f>
        <v>0</v>
      </c>
      <c r="P22" s="47">
        <f t="shared" ref="P22:P85" si="20">IF(H22,L22/H22,0)</f>
        <v>0</v>
      </c>
    </row>
    <row r="23" spans="1:17" s="17" customFormat="1" ht="56.25" x14ac:dyDescent="0.25">
      <c r="A23" s="34" t="s">
        <v>104</v>
      </c>
      <c r="B23" s="34" t="s">
        <v>105</v>
      </c>
      <c r="C23" s="34" t="s">
        <v>106</v>
      </c>
      <c r="D23" s="52" t="s">
        <v>107</v>
      </c>
      <c r="E23" s="44">
        <f t="shared" si="8"/>
        <v>50000</v>
      </c>
      <c r="F23" s="73">
        <v>50000</v>
      </c>
      <c r="G23" s="73">
        <v>0</v>
      </c>
      <c r="H23" s="73">
        <v>0</v>
      </c>
      <c r="I23" s="44">
        <f t="shared" si="10"/>
        <v>4800</v>
      </c>
      <c r="J23" s="73">
        <v>4800</v>
      </c>
      <c r="K23" s="73">
        <v>0</v>
      </c>
      <c r="L23" s="73">
        <v>0</v>
      </c>
      <c r="M23" s="45">
        <f t="shared" si="17"/>
        <v>9.6000000000000002E-2</v>
      </c>
      <c r="N23" s="45">
        <f t="shared" si="18"/>
        <v>9.6000000000000002E-2</v>
      </c>
      <c r="O23" s="45">
        <f t="shared" si="19"/>
        <v>0</v>
      </c>
      <c r="P23" s="45">
        <f t="shared" si="20"/>
        <v>0</v>
      </c>
    </row>
    <row r="24" spans="1:17" s="18" customFormat="1" ht="37.5" x14ac:dyDescent="0.25">
      <c r="A24" s="34" t="s">
        <v>111</v>
      </c>
      <c r="B24" s="34" t="s">
        <v>9</v>
      </c>
      <c r="C24" s="34" t="s">
        <v>5</v>
      </c>
      <c r="D24" s="52" t="s">
        <v>99</v>
      </c>
      <c r="E24" s="44">
        <f t="shared" si="8"/>
        <v>2515200</v>
      </c>
      <c r="F24" s="73">
        <v>2515200</v>
      </c>
      <c r="G24" s="73">
        <v>0</v>
      </c>
      <c r="H24" s="73">
        <v>0</v>
      </c>
      <c r="I24" s="44">
        <f t="shared" si="10"/>
        <v>740672.87</v>
      </c>
      <c r="J24" s="73">
        <v>740672.87</v>
      </c>
      <c r="K24" s="73">
        <v>0</v>
      </c>
      <c r="L24" s="73">
        <v>0</v>
      </c>
      <c r="M24" s="45">
        <f t="shared" si="17"/>
        <v>0.29447871739821885</v>
      </c>
      <c r="N24" s="45">
        <f t="shared" si="18"/>
        <v>0.29447871739821885</v>
      </c>
      <c r="O24" s="45">
        <f t="shared" si="19"/>
        <v>0</v>
      </c>
      <c r="P24" s="45">
        <f t="shared" si="20"/>
        <v>0</v>
      </c>
    </row>
    <row r="25" spans="1:17" s="18" customFormat="1" ht="37.5" x14ac:dyDescent="0.25">
      <c r="A25" s="34" t="s">
        <v>62</v>
      </c>
      <c r="B25" s="34" t="s">
        <v>29</v>
      </c>
      <c r="C25" s="34" t="s">
        <v>30</v>
      </c>
      <c r="D25" s="52" t="s">
        <v>149</v>
      </c>
      <c r="E25" s="44">
        <f t="shared" si="8"/>
        <v>49373480</v>
      </c>
      <c r="F25" s="73">
        <v>39780340</v>
      </c>
      <c r="G25" s="73">
        <v>9593140</v>
      </c>
      <c r="H25" s="73">
        <v>9593140</v>
      </c>
      <c r="I25" s="44">
        <f t="shared" si="10"/>
        <v>15313174.76</v>
      </c>
      <c r="J25" s="73">
        <v>15313174.76</v>
      </c>
      <c r="K25" s="73">
        <v>0</v>
      </c>
      <c r="L25" s="73">
        <v>0</v>
      </c>
      <c r="M25" s="45">
        <f t="shared" si="17"/>
        <v>0.3101497962063845</v>
      </c>
      <c r="N25" s="45">
        <f t="shared" si="18"/>
        <v>0.38494328504985126</v>
      </c>
      <c r="O25" s="45">
        <f t="shared" si="19"/>
        <v>0</v>
      </c>
      <c r="P25" s="45">
        <f t="shared" si="20"/>
        <v>0</v>
      </c>
    </row>
    <row r="26" spans="1:17" s="18" customFormat="1" ht="18.75" x14ac:dyDescent="0.25">
      <c r="A26" s="34" t="s">
        <v>63</v>
      </c>
      <c r="B26" s="34" t="s">
        <v>51</v>
      </c>
      <c r="C26" s="34" t="s">
        <v>31</v>
      </c>
      <c r="D26" s="52" t="s">
        <v>226</v>
      </c>
      <c r="E26" s="44">
        <f t="shared" si="8"/>
        <v>9663900</v>
      </c>
      <c r="F26" s="73">
        <v>8701800</v>
      </c>
      <c r="G26" s="73">
        <v>962100</v>
      </c>
      <c r="H26" s="73">
        <v>962100</v>
      </c>
      <c r="I26" s="44">
        <f t="shared" si="10"/>
        <v>3843544.29</v>
      </c>
      <c r="J26" s="73">
        <v>3843544.29</v>
      </c>
      <c r="K26" s="73">
        <v>0</v>
      </c>
      <c r="L26" s="73">
        <v>0</v>
      </c>
      <c r="M26" s="45">
        <f t="shared" si="17"/>
        <v>0.39772186073945304</v>
      </c>
      <c r="N26" s="45">
        <f t="shared" si="18"/>
        <v>0.44169531476246293</v>
      </c>
      <c r="O26" s="45">
        <f t="shared" si="19"/>
        <v>0</v>
      </c>
      <c r="P26" s="45">
        <f t="shared" si="20"/>
        <v>0</v>
      </c>
    </row>
    <row r="27" spans="1:17" s="18" customFormat="1" ht="56.25" x14ac:dyDescent="0.25">
      <c r="A27" s="34" t="s">
        <v>227</v>
      </c>
      <c r="B27" s="34" t="s">
        <v>310</v>
      </c>
      <c r="C27" s="34" t="s">
        <v>228</v>
      </c>
      <c r="D27" s="52" t="s">
        <v>229</v>
      </c>
      <c r="E27" s="44">
        <f t="shared" si="8"/>
        <v>6476500</v>
      </c>
      <c r="F27" s="73">
        <v>4713400</v>
      </c>
      <c r="G27" s="73">
        <v>1763100</v>
      </c>
      <c r="H27" s="73">
        <v>1763100</v>
      </c>
      <c r="I27" s="44">
        <f t="shared" si="10"/>
        <v>1479058.23</v>
      </c>
      <c r="J27" s="73">
        <v>1171228.33</v>
      </c>
      <c r="K27" s="73">
        <f>307829.9</f>
        <v>307829.90000000002</v>
      </c>
      <c r="L27" s="73">
        <v>307829.90000000002</v>
      </c>
      <c r="M27" s="45">
        <f t="shared" si="17"/>
        <v>0.22837307650737282</v>
      </c>
      <c r="N27" s="45">
        <f t="shared" si="18"/>
        <v>0.24848905885348158</v>
      </c>
      <c r="O27" s="45">
        <f t="shared" si="19"/>
        <v>0.17459582553456982</v>
      </c>
      <c r="P27" s="45">
        <f t="shared" si="20"/>
        <v>0.17459582553456982</v>
      </c>
    </row>
    <row r="28" spans="1:17" s="18" customFormat="1" ht="37.5" x14ac:dyDescent="0.25">
      <c r="A28" s="34" t="s">
        <v>230</v>
      </c>
      <c r="B28" s="34" t="s">
        <v>179</v>
      </c>
      <c r="C28" s="34" t="s">
        <v>123</v>
      </c>
      <c r="D28" s="52" t="s">
        <v>231</v>
      </c>
      <c r="E28" s="44">
        <f t="shared" si="8"/>
        <v>11385900</v>
      </c>
      <c r="F28" s="73">
        <f>F29+F30+F31</f>
        <v>11385900</v>
      </c>
      <c r="G28" s="73">
        <v>0</v>
      </c>
      <c r="H28" s="73">
        <v>0</v>
      </c>
      <c r="I28" s="44">
        <f t="shared" si="10"/>
        <v>5957369.0999999996</v>
      </c>
      <c r="J28" s="73">
        <f>J29+J30+J31</f>
        <v>5957369.0999999996</v>
      </c>
      <c r="K28" s="73">
        <v>0</v>
      </c>
      <c r="L28" s="73">
        <v>0</v>
      </c>
      <c r="M28" s="45">
        <f t="shared" si="17"/>
        <v>0.52322338155086556</v>
      </c>
      <c r="N28" s="45">
        <f t="shared" si="18"/>
        <v>0.52322338155086556</v>
      </c>
      <c r="O28" s="45">
        <f t="shared" si="19"/>
        <v>0</v>
      </c>
      <c r="P28" s="45">
        <f t="shared" si="20"/>
        <v>0</v>
      </c>
    </row>
    <row r="29" spans="1:17" s="17" customFormat="1" ht="56.25" x14ac:dyDescent="0.25">
      <c r="A29" s="35"/>
      <c r="B29" s="35"/>
      <c r="C29" s="35"/>
      <c r="D29" s="58" t="s">
        <v>311</v>
      </c>
      <c r="E29" s="46">
        <f t="shared" si="8"/>
        <v>718300</v>
      </c>
      <c r="F29" s="74">
        <v>718300</v>
      </c>
      <c r="G29" s="74">
        <v>0</v>
      </c>
      <c r="H29" s="74">
        <v>0</v>
      </c>
      <c r="I29" s="46">
        <f t="shared" si="10"/>
        <v>581076.57999999996</v>
      </c>
      <c r="J29" s="74">
        <v>581076.57999999996</v>
      </c>
      <c r="K29" s="74">
        <v>0</v>
      </c>
      <c r="L29" s="74">
        <v>0</v>
      </c>
      <c r="M29" s="47">
        <f t="shared" si="17"/>
        <v>0.80896085201169421</v>
      </c>
      <c r="N29" s="47">
        <f t="shared" si="18"/>
        <v>0.80896085201169421</v>
      </c>
      <c r="O29" s="47">
        <f t="shared" si="19"/>
        <v>0</v>
      </c>
      <c r="P29" s="47">
        <f t="shared" si="20"/>
        <v>0</v>
      </c>
    </row>
    <row r="30" spans="1:17" s="17" customFormat="1" ht="75" x14ac:dyDescent="0.25">
      <c r="A30" s="35"/>
      <c r="B30" s="35"/>
      <c r="C30" s="35"/>
      <c r="D30" s="58" t="s">
        <v>312</v>
      </c>
      <c r="E30" s="46">
        <f t="shared" si="8"/>
        <v>8857000</v>
      </c>
      <c r="F30" s="74">
        <v>8857000</v>
      </c>
      <c r="G30" s="74">
        <v>0</v>
      </c>
      <c r="H30" s="74">
        <v>0</v>
      </c>
      <c r="I30" s="46">
        <f t="shared" si="10"/>
        <v>4301128.38</v>
      </c>
      <c r="J30" s="74">
        <v>4301128.38</v>
      </c>
      <c r="K30" s="74">
        <v>0</v>
      </c>
      <c r="L30" s="74">
        <v>0</v>
      </c>
      <c r="M30" s="47">
        <f t="shared" si="17"/>
        <v>0.48561910127582703</v>
      </c>
      <c r="N30" s="47">
        <f t="shared" si="18"/>
        <v>0.48561910127582703</v>
      </c>
      <c r="O30" s="47">
        <f t="shared" si="19"/>
        <v>0</v>
      </c>
      <c r="P30" s="47">
        <f t="shared" si="20"/>
        <v>0</v>
      </c>
    </row>
    <row r="31" spans="1:17" s="17" customFormat="1" ht="56.25" x14ac:dyDescent="0.25">
      <c r="A31" s="35"/>
      <c r="B31" s="35"/>
      <c r="C31" s="35"/>
      <c r="D31" s="58" t="s">
        <v>313</v>
      </c>
      <c r="E31" s="46">
        <f t="shared" si="8"/>
        <v>1810600</v>
      </c>
      <c r="F31" s="74">
        <v>1810600</v>
      </c>
      <c r="G31" s="74">
        <v>0</v>
      </c>
      <c r="H31" s="74">
        <v>0</v>
      </c>
      <c r="I31" s="46">
        <f t="shared" si="10"/>
        <v>1075164.1399999999</v>
      </c>
      <c r="J31" s="74">
        <v>1075164.1399999999</v>
      </c>
      <c r="K31" s="74">
        <v>0</v>
      </c>
      <c r="L31" s="74">
        <v>0</v>
      </c>
      <c r="M31" s="47">
        <f t="shared" si="17"/>
        <v>0.59381649177068374</v>
      </c>
      <c r="N31" s="47">
        <f t="shared" si="18"/>
        <v>0.59381649177068374</v>
      </c>
      <c r="O31" s="47">
        <f t="shared" si="19"/>
        <v>0</v>
      </c>
      <c r="P31" s="47">
        <f t="shared" si="20"/>
        <v>0</v>
      </c>
    </row>
    <row r="32" spans="1:17" s="18" customFormat="1" ht="18.75" x14ac:dyDescent="0.25">
      <c r="A32" s="36" t="s">
        <v>396</v>
      </c>
      <c r="B32" s="34">
        <v>2170</v>
      </c>
      <c r="C32" s="36" t="s">
        <v>123</v>
      </c>
      <c r="D32" s="52" t="s">
        <v>397</v>
      </c>
      <c r="E32" s="44">
        <f t="shared" si="8"/>
        <v>197300</v>
      </c>
      <c r="F32" s="73">
        <v>0</v>
      </c>
      <c r="G32" s="73">
        <v>197300</v>
      </c>
      <c r="H32" s="73">
        <v>197300</v>
      </c>
      <c r="I32" s="44">
        <v>0</v>
      </c>
      <c r="J32" s="73">
        <v>0</v>
      </c>
      <c r="K32" s="73">
        <v>0</v>
      </c>
      <c r="L32" s="73">
        <v>0</v>
      </c>
      <c r="M32" s="45">
        <f t="shared" si="17"/>
        <v>0</v>
      </c>
      <c r="N32" s="45">
        <f t="shared" si="18"/>
        <v>0</v>
      </c>
      <c r="O32" s="45">
        <f t="shared" si="19"/>
        <v>0</v>
      </c>
      <c r="P32" s="45">
        <f t="shared" si="20"/>
        <v>0</v>
      </c>
    </row>
    <row r="33" spans="1:18" s="17" customFormat="1" ht="37.5" x14ac:dyDescent="0.25">
      <c r="A33" s="34" t="s">
        <v>142</v>
      </c>
      <c r="B33" s="34" t="s">
        <v>140</v>
      </c>
      <c r="C33" s="34" t="s">
        <v>3</v>
      </c>
      <c r="D33" s="52" t="s">
        <v>141</v>
      </c>
      <c r="E33" s="44">
        <f t="shared" si="8"/>
        <v>5000000</v>
      </c>
      <c r="F33" s="73">
        <v>5000000</v>
      </c>
      <c r="G33" s="73">
        <v>0</v>
      </c>
      <c r="H33" s="73">
        <v>0</v>
      </c>
      <c r="I33" s="44">
        <f t="shared" si="10"/>
        <v>1959900</v>
      </c>
      <c r="J33" s="73">
        <v>1959900</v>
      </c>
      <c r="K33" s="73">
        <v>0</v>
      </c>
      <c r="L33" s="73">
        <v>0</v>
      </c>
      <c r="M33" s="45">
        <f t="shared" si="17"/>
        <v>0.39198</v>
      </c>
      <c r="N33" s="45">
        <f t="shared" si="18"/>
        <v>0.39198</v>
      </c>
      <c r="O33" s="45">
        <f t="shared" si="19"/>
        <v>0</v>
      </c>
      <c r="P33" s="45">
        <f t="shared" si="20"/>
        <v>0</v>
      </c>
    </row>
    <row r="34" spans="1:18" s="17" customFormat="1" ht="18.75" x14ac:dyDescent="0.25">
      <c r="A34" s="34" t="s">
        <v>64</v>
      </c>
      <c r="B34" s="34" t="s">
        <v>39</v>
      </c>
      <c r="C34" s="34" t="s">
        <v>8</v>
      </c>
      <c r="D34" s="52" t="s">
        <v>232</v>
      </c>
      <c r="E34" s="44">
        <f t="shared" si="8"/>
        <v>13023900</v>
      </c>
      <c r="F34" s="73">
        <f>F35+F36+F37</f>
        <v>13023900</v>
      </c>
      <c r="G34" s="73">
        <v>0</v>
      </c>
      <c r="H34" s="73">
        <v>0</v>
      </c>
      <c r="I34" s="44">
        <f t="shared" si="10"/>
        <v>5156792.75</v>
      </c>
      <c r="J34" s="73">
        <f>J35+J36+J37</f>
        <v>5156792.75</v>
      </c>
      <c r="K34" s="73">
        <v>0</v>
      </c>
      <c r="L34" s="73">
        <v>0</v>
      </c>
      <c r="M34" s="45">
        <f t="shared" si="17"/>
        <v>0.39594842942590164</v>
      </c>
      <c r="N34" s="45">
        <f t="shared" si="18"/>
        <v>0.39594842942590164</v>
      </c>
      <c r="O34" s="45">
        <f t="shared" si="19"/>
        <v>0</v>
      </c>
      <c r="P34" s="45">
        <f t="shared" si="20"/>
        <v>0</v>
      </c>
    </row>
    <row r="35" spans="1:18" s="17" customFormat="1" ht="56.25" x14ac:dyDescent="0.25">
      <c r="A35" s="35"/>
      <c r="B35" s="35"/>
      <c r="C35" s="35"/>
      <c r="D35" s="58" t="s">
        <v>204</v>
      </c>
      <c r="E35" s="46">
        <f t="shared" si="8"/>
        <v>7360800</v>
      </c>
      <c r="F35" s="74">
        <v>7360800</v>
      </c>
      <c r="G35" s="74">
        <v>0</v>
      </c>
      <c r="H35" s="74">
        <v>0</v>
      </c>
      <c r="I35" s="46">
        <f t="shared" si="10"/>
        <v>2506095.4</v>
      </c>
      <c r="J35" s="74">
        <v>2506095.4</v>
      </c>
      <c r="K35" s="74">
        <v>0</v>
      </c>
      <c r="L35" s="74">
        <v>0</v>
      </c>
      <c r="M35" s="47">
        <f t="shared" si="17"/>
        <v>0.34046508531681335</v>
      </c>
      <c r="N35" s="47">
        <f t="shared" si="18"/>
        <v>0.34046508531681335</v>
      </c>
      <c r="O35" s="47">
        <f t="shared" si="19"/>
        <v>0</v>
      </c>
      <c r="P35" s="47">
        <f t="shared" si="20"/>
        <v>0</v>
      </c>
    </row>
    <row r="36" spans="1:18" s="17" customFormat="1" ht="56.25" x14ac:dyDescent="0.25">
      <c r="A36" s="35"/>
      <c r="B36" s="35"/>
      <c r="C36" s="35"/>
      <c r="D36" s="58" t="s">
        <v>206</v>
      </c>
      <c r="E36" s="46">
        <f t="shared" si="8"/>
        <v>1888200</v>
      </c>
      <c r="F36" s="74">
        <v>1888200</v>
      </c>
      <c r="G36" s="74">
        <v>0</v>
      </c>
      <c r="H36" s="74">
        <v>0</v>
      </c>
      <c r="I36" s="46">
        <f t="shared" si="10"/>
        <v>998386.2</v>
      </c>
      <c r="J36" s="74">
        <v>998386.2</v>
      </c>
      <c r="K36" s="74">
        <v>0</v>
      </c>
      <c r="L36" s="74">
        <v>0</v>
      </c>
      <c r="M36" s="47">
        <f t="shared" si="17"/>
        <v>0.52875023832221157</v>
      </c>
      <c r="N36" s="47">
        <f t="shared" si="18"/>
        <v>0.52875023832221157</v>
      </c>
      <c r="O36" s="47">
        <f t="shared" si="19"/>
        <v>0</v>
      </c>
      <c r="P36" s="47">
        <f t="shared" si="20"/>
        <v>0</v>
      </c>
    </row>
    <row r="37" spans="1:18" s="17" customFormat="1" ht="56.25" x14ac:dyDescent="0.25">
      <c r="A37" s="35"/>
      <c r="B37" s="35"/>
      <c r="C37" s="35"/>
      <c r="D37" s="58" t="s">
        <v>205</v>
      </c>
      <c r="E37" s="46">
        <f t="shared" si="8"/>
        <v>3774900</v>
      </c>
      <c r="F37" s="74">
        <v>3774900</v>
      </c>
      <c r="G37" s="74">
        <v>0</v>
      </c>
      <c r="H37" s="74">
        <v>0</v>
      </c>
      <c r="I37" s="46">
        <f t="shared" si="10"/>
        <v>1652311.15</v>
      </c>
      <c r="J37" s="74">
        <v>1652311.15</v>
      </c>
      <c r="K37" s="74">
        <v>0</v>
      </c>
      <c r="L37" s="74">
        <v>0</v>
      </c>
      <c r="M37" s="47">
        <f t="shared" si="17"/>
        <v>0.43770991284537336</v>
      </c>
      <c r="N37" s="47">
        <f t="shared" si="18"/>
        <v>0.43770991284537336</v>
      </c>
      <c r="O37" s="47">
        <f t="shared" si="19"/>
        <v>0</v>
      </c>
      <c r="P37" s="47">
        <f t="shared" si="20"/>
        <v>0</v>
      </c>
    </row>
    <row r="38" spans="1:18" s="18" customFormat="1" ht="37.5" x14ac:dyDescent="0.25">
      <c r="A38" s="36" t="s">
        <v>398</v>
      </c>
      <c r="B38" s="36" t="s">
        <v>399</v>
      </c>
      <c r="C38" s="36" t="s">
        <v>121</v>
      </c>
      <c r="D38" s="52" t="s">
        <v>400</v>
      </c>
      <c r="E38" s="44">
        <f t="shared" si="8"/>
        <v>90000</v>
      </c>
      <c r="F38" s="73">
        <v>0</v>
      </c>
      <c r="G38" s="73">
        <v>90000</v>
      </c>
      <c r="H38" s="73">
        <v>90000</v>
      </c>
      <c r="I38" s="73">
        <v>0</v>
      </c>
      <c r="J38" s="73">
        <v>0</v>
      </c>
      <c r="K38" s="73">
        <v>0</v>
      </c>
      <c r="L38" s="73">
        <v>0</v>
      </c>
      <c r="M38" s="45">
        <f t="shared" si="17"/>
        <v>0</v>
      </c>
      <c r="N38" s="45">
        <f t="shared" si="18"/>
        <v>0</v>
      </c>
      <c r="O38" s="45">
        <f t="shared" si="19"/>
        <v>0</v>
      </c>
      <c r="P38" s="45">
        <f t="shared" si="20"/>
        <v>0</v>
      </c>
      <c r="Q38" s="19"/>
    </row>
    <row r="39" spans="1:18" s="17" customFormat="1" ht="37.5" x14ac:dyDescent="0.25">
      <c r="A39" s="36" t="s">
        <v>298</v>
      </c>
      <c r="B39" s="36" t="s">
        <v>299</v>
      </c>
      <c r="C39" s="36" t="s">
        <v>121</v>
      </c>
      <c r="D39" s="52" t="s">
        <v>292</v>
      </c>
      <c r="E39" s="44">
        <f t="shared" si="8"/>
        <v>283400</v>
      </c>
      <c r="F39" s="73">
        <v>0</v>
      </c>
      <c r="G39" s="73">
        <v>283400</v>
      </c>
      <c r="H39" s="73">
        <v>283400</v>
      </c>
      <c r="I39" s="73">
        <v>0</v>
      </c>
      <c r="J39" s="73">
        <v>0</v>
      </c>
      <c r="K39" s="73">
        <v>0</v>
      </c>
      <c r="L39" s="73">
        <v>0</v>
      </c>
      <c r="M39" s="45">
        <f t="shared" si="17"/>
        <v>0</v>
      </c>
      <c r="N39" s="45">
        <f t="shared" si="18"/>
        <v>0</v>
      </c>
      <c r="O39" s="45">
        <f t="shared" si="19"/>
        <v>0</v>
      </c>
      <c r="P39" s="45">
        <f t="shared" si="20"/>
        <v>0</v>
      </c>
      <c r="Q39" s="49"/>
    </row>
    <row r="40" spans="1:18" s="17" customFormat="1" ht="56.25" x14ac:dyDescent="0.25">
      <c r="A40" s="36" t="s">
        <v>401</v>
      </c>
      <c r="B40" s="36" t="s">
        <v>402</v>
      </c>
      <c r="C40" s="36" t="s">
        <v>121</v>
      </c>
      <c r="D40" s="52" t="s">
        <v>403</v>
      </c>
      <c r="E40" s="44">
        <f t="shared" si="8"/>
        <v>7000000</v>
      </c>
      <c r="F40" s="73">
        <v>0</v>
      </c>
      <c r="G40" s="73">
        <v>7000000</v>
      </c>
      <c r="H40" s="73">
        <v>7000000</v>
      </c>
      <c r="I40" s="73">
        <v>0</v>
      </c>
      <c r="J40" s="73">
        <v>0</v>
      </c>
      <c r="K40" s="73">
        <v>0</v>
      </c>
      <c r="L40" s="73">
        <v>0</v>
      </c>
      <c r="M40" s="45">
        <f t="shared" si="17"/>
        <v>0</v>
      </c>
      <c r="N40" s="45">
        <f t="shared" si="18"/>
        <v>0</v>
      </c>
      <c r="O40" s="45">
        <f t="shared" si="19"/>
        <v>0</v>
      </c>
      <c r="P40" s="45">
        <f t="shared" si="20"/>
        <v>0</v>
      </c>
      <c r="Q40" s="49"/>
    </row>
    <row r="41" spans="1:18" s="17" customFormat="1" ht="37.5" x14ac:dyDescent="0.25">
      <c r="A41" s="36" t="s">
        <v>314</v>
      </c>
      <c r="B41" s="36" t="s">
        <v>315</v>
      </c>
      <c r="C41" s="36" t="s">
        <v>316</v>
      </c>
      <c r="D41" s="52" t="s">
        <v>317</v>
      </c>
      <c r="E41" s="44">
        <f t="shared" si="8"/>
        <v>2612440</v>
      </c>
      <c r="F41" s="73">
        <f>F42+F43+F44+F45+F46+F47+F48</f>
        <v>1657840</v>
      </c>
      <c r="G41" s="73">
        <f t="shared" ref="G41:H41" si="21">G42+G43+G44+G45+G46+G47+G48</f>
        <v>954600</v>
      </c>
      <c r="H41" s="73">
        <f t="shared" si="21"/>
        <v>954600</v>
      </c>
      <c r="I41" s="44">
        <f t="shared" si="10"/>
        <v>997771.91999999993</v>
      </c>
      <c r="J41" s="73">
        <f>J42+J43+J44+J45+J46+J47+J48</f>
        <v>463771.92</v>
      </c>
      <c r="K41" s="73">
        <f t="shared" ref="K41:L41" si="22">K42+K43+K44+K45+K46+K47+K48</f>
        <v>534000</v>
      </c>
      <c r="L41" s="73">
        <f t="shared" si="22"/>
        <v>534000</v>
      </c>
      <c r="M41" s="45">
        <f t="shared" si="17"/>
        <v>0.38193103765062542</v>
      </c>
      <c r="N41" s="45">
        <f t="shared" si="18"/>
        <v>0.27974467982434975</v>
      </c>
      <c r="O41" s="45">
        <f t="shared" si="19"/>
        <v>0.55939660590823381</v>
      </c>
      <c r="P41" s="45">
        <f t="shared" si="20"/>
        <v>0.55939660590823381</v>
      </c>
      <c r="Q41" s="49"/>
    </row>
    <row r="42" spans="1:18" s="17" customFormat="1" ht="56.25" x14ac:dyDescent="0.25">
      <c r="A42" s="37"/>
      <c r="B42" s="37"/>
      <c r="C42" s="37"/>
      <c r="D42" s="58" t="s">
        <v>224</v>
      </c>
      <c r="E42" s="46">
        <f t="shared" si="8"/>
        <v>1768200</v>
      </c>
      <c r="F42" s="74">
        <v>1376600</v>
      </c>
      <c r="G42" s="74">
        <v>391600</v>
      </c>
      <c r="H42" s="74">
        <v>391600</v>
      </c>
      <c r="I42" s="46">
        <f t="shared" si="10"/>
        <v>268321.91999999998</v>
      </c>
      <c r="J42" s="74">
        <v>268321.91999999998</v>
      </c>
      <c r="K42" s="74">
        <v>0</v>
      </c>
      <c r="L42" s="74">
        <v>0</v>
      </c>
      <c r="M42" s="47">
        <f t="shared" si="17"/>
        <v>0.15174862572107226</v>
      </c>
      <c r="N42" s="47">
        <f t="shared" si="18"/>
        <v>0.19491640273136712</v>
      </c>
      <c r="O42" s="47">
        <f t="shared" si="19"/>
        <v>0</v>
      </c>
      <c r="P42" s="47">
        <f t="shared" si="20"/>
        <v>0</v>
      </c>
      <c r="R42" s="50"/>
    </row>
    <row r="43" spans="1:18" s="41" customFormat="1" ht="56.25" x14ac:dyDescent="0.25">
      <c r="A43" s="37"/>
      <c r="B43" s="37"/>
      <c r="C43" s="37"/>
      <c r="D43" s="58" t="s">
        <v>204</v>
      </c>
      <c r="E43" s="46">
        <f t="shared" si="8"/>
        <v>39400</v>
      </c>
      <c r="F43" s="74">
        <v>10400</v>
      </c>
      <c r="G43" s="74">
        <v>29000</v>
      </c>
      <c r="H43" s="74">
        <v>29000</v>
      </c>
      <c r="I43" s="46">
        <f t="shared" si="10"/>
        <v>450</v>
      </c>
      <c r="J43" s="74">
        <v>450</v>
      </c>
      <c r="K43" s="74">
        <v>0</v>
      </c>
      <c r="L43" s="74">
        <v>0</v>
      </c>
      <c r="M43" s="47">
        <f t="shared" si="17"/>
        <v>1.1421319796954314E-2</v>
      </c>
      <c r="N43" s="47">
        <f t="shared" si="18"/>
        <v>4.3269230769230768E-2</v>
      </c>
      <c r="O43" s="47">
        <f t="shared" si="19"/>
        <v>0</v>
      </c>
      <c r="P43" s="47">
        <f t="shared" si="20"/>
        <v>0</v>
      </c>
      <c r="R43" s="51"/>
    </row>
    <row r="44" spans="1:18" s="41" customFormat="1" ht="56.25" x14ac:dyDescent="0.25">
      <c r="A44" s="37"/>
      <c r="B44" s="37"/>
      <c r="C44" s="37"/>
      <c r="D44" s="58" t="s">
        <v>206</v>
      </c>
      <c r="E44" s="46">
        <f t="shared" si="8"/>
        <v>18800</v>
      </c>
      <c r="F44" s="74">
        <v>18800</v>
      </c>
      <c r="G44" s="74">
        <v>0</v>
      </c>
      <c r="H44" s="74">
        <v>0</v>
      </c>
      <c r="I44" s="46">
        <f t="shared" si="10"/>
        <v>4800</v>
      </c>
      <c r="J44" s="74">
        <v>4800</v>
      </c>
      <c r="K44" s="74">
        <v>0</v>
      </c>
      <c r="L44" s="74">
        <v>0</v>
      </c>
      <c r="M44" s="47">
        <f t="shared" si="17"/>
        <v>0.25531914893617019</v>
      </c>
      <c r="N44" s="47">
        <f t="shared" si="18"/>
        <v>0.25531914893617019</v>
      </c>
      <c r="O44" s="47">
        <f t="shared" si="19"/>
        <v>0</v>
      </c>
      <c r="P44" s="47">
        <f t="shared" si="20"/>
        <v>0</v>
      </c>
    </row>
    <row r="45" spans="1:18" s="17" customFormat="1" ht="56.25" x14ac:dyDescent="0.25">
      <c r="A45" s="37"/>
      <c r="B45" s="37"/>
      <c r="C45" s="37"/>
      <c r="D45" s="58" t="s">
        <v>205</v>
      </c>
      <c r="E45" s="46">
        <f t="shared" si="8"/>
        <v>10400</v>
      </c>
      <c r="F45" s="74">
        <v>10400</v>
      </c>
      <c r="G45" s="74">
        <v>0</v>
      </c>
      <c r="H45" s="74">
        <v>0</v>
      </c>
      <c r="I45" s="46">
        <f t="shared" si="10"/>
        <v>450</v>
      </c>
      <c r="J45" s="74">
        <v>450</v>
      </c>
      <c r="K45" s="74">
        <v>0</v>
      </c>
      <c r="L45" s="74">
        <v>0</v>
      </c>
      <c r="M45" s="47">
        <f t="shared" si="17"/>
        <v>4.3269230769230768E-2</v>
      </c>
      <c r="N45" s="47">
        <f t="shared" si="18"/>
        <v>4.3269230769230768E-2</v>
      </c>
      <c r="O45" s="47">
        <f t="shared" si="19"/>
        <v>0</v>
      </c>
      <c r="P45" s="47">
        <f t="shared" si="20"/>
        <v>0</v>
      </c>
    </row>
    <row r="46" spans="1:18" s="17" customFormat="1" ht="75" x14ac:dyDescent="0.25">
      <c r="A46" s="37"/>
      <c r="B46" s="37"/>
      <c r="C46" s="37"/>
      <c r="D46" s="58" t="s">
        <v>312</v>
      </c>
      <c r="E46" s="46">
        <f t="shared" si="8"/>
        <v>145500</v>
      </c>
      <c r="F46" s="74">
        <v>145500</v>
      </c>
      <c r="G46" s="74">
        <v>0</v>
      </c>
      <c r="H46" s="74">
        <v>0</v>
      </c>
      <c r="I46" s="46">
        <f t="shared" si="10"/>
        <v>129000</v>
      </c>
      <c r="J46" s="74">
        <v>129000</v>
      </c>
      <c r="K46" s="74">
        <v>0</v>
      </c>
      <c r="L46" s="74">
        <v>0</v>
      </c>
      <c r="M46" s="47">
        <f t="shared" si="17"/>
        <v>0.88659793814432986</v>
      </c>
      <c r="N46" s="47">
        <f t="shared" si="18"/>
        <v>0.88659793814432986</v>
      </c>
      <c r="O46" s="47">
        <f t="shared" si="19"/>
        <v>0</v>
      </c>
      <c r="P46" s="47">
        <f t="shared" si="20"/>
        <v>0</v>
      </c>
    </row>
    <row r="47" spans="1:18" s="17" customFormat="1" ht="56.25" x14ac:dyDescent="0.25">
      <c r="A47" s="37"/>
      <c r="B47" s="37"/>
      <c r="C47" s="37"/>
      <c r="D47" s="58" t="s">
        <v>311</v>
      </c>
      <c r="E47" s="46">
        <f t="shared" si="8"/>
        <v>534000</v>
      </c>
      <c r="F47" s="74"/>
      <c r="G47" s="74">
        <v>534000</v>
      </c>
      <c r="H47" s="74">
        <v>534000</v>
      </c>
      <c r="I47" s="46">
        <f t="shared" si="10"/>
        <v>534000</v>
      </c>
      <c r="J47" s="74">
        <v>0</v>
      </c>
      <c r="K47" s="74">
        <v>534000</v>
      </c>
      <c r="L47" s="74">
        <v>534000</v>
      </c>
      <c r="M47" s="47">
        <f t="shared" si="17"/>
        <v>1</v>
      </c>
      <c r="N47" s="47">
        <f t="shared" si="18"/>
        <v>0</v>
      </c>
      <c r="O47" s="47">
        <f t="shared" si="19"/>
        <v>1</v>
      </c>
      <c r="P47" s="47">
        <f t="shared" si="20"/>
        <v>1</v>
      </c>
    </row>
    <row r="48" spans="1:18" s="17" customFormat="1" ht="56.25" x14ac:dyDescent="0.25">
      <c r="A48" s="37"/>
      <c r="B48" s="37"/>
      <c r="C48" s="37"/>
      <c r="D48" s="58" t="s">
        <v>318</v>
      </c>
      <c r="E48" s="46">
        <f t="shared" si="8"/>
        <v>96140</v>
      </c>
      <c r="F48" s="74">
        <v>96140</v>
      </c>
      <c r="G48" s="74">
        <v>0</v>
      </c>
      <c r="H48" s="74">
        <v>0</v>
      </c>
      <c r="I48" s="46">
        <f t="shared" si="10"/>
        <v>60750</v>
      </c>
      <c r="J48" s="74">
        <v>60750</v>
      </c>
      <c r="K48" s="74">
        <v>0</v>
      </c>
      <c r="L48" s="74">
        <v>0</v>
      </c>
      <c r="M48" s="47">
        <f t="shared" si="17"/>
        <v>0.63189099230289159</v>
      </c>
      <c r="N48" s="47">
        <f t="shared" si="18"/>
        <v>0.63189099230289159</v>
      </c>
      <c r="O48" s="47">
        <f t="shared" si="19"/>
        <v>0</v>
      </c>
      <c r="P48" s="47">
        <f t="shared" si="20"/>
        <v>0</v>
      </c>
    </row>
    <row r="49" spans="1:16" s="18" customFormat="1" ht="18.75" x14ac:dyDescent="0.25">
      <c r="A49" s="36" t="s">
        <v>304</v>
      </c>
      <c r="B49" s="36" t="s">
        <v>319</v>
      </c>
      <c r="C49" s="36" t="s">
        <v>6</v>
      </c>
      <c r="D49" s="52" t="s">
        <v>7</v>
      </c>
      <c r="E49" s="44">
        <f t="shared" si="8"/>
        <v>1500000</v>
      </c>
      <c r="F49" s="73">
        <v>0</v>
      </c>
      <c r="G49" s="73">
        <v>1500000</v>
      </c>
      <c r="H49" s="73">
        <v>1500000</v>
      </c>
      <c r="I49" s="44">
        <f t="shared" si="10"/>
        <v>116613.84</v>
      </c>
      <c r="J49" s="73">
        <v>0</v>
      </c>
      <c r="K49" s="73">
        <v>116613.84</v>
      </c>
      <c r="L49" s="73">
        <v>116613.84</v>
      </c>
      <c r="M49" s="45">
        <f t="shared" si="17"/>
        <v>7.7742560000000002E-2</v>
      </c>
      <c r="N49" s="45">
        <f t="shared" si="18"/>
        <v>0</v>
      </c>
      <c r="O49" s="45">
        <f t="shared" si="19"/>
        <v>7.7742560000000002E-2</v>
      </c>
      <c r="P49" s="45">
        <f t="shared" si="20"/>
        <v>7.7742560000000002E-2</v>
      </c>
    </row>
    <row r="50" spans="1:16" s="18" customFormat="1" ht="37.5" x14ac:dyDescent="0.25">
      <c r="A50" s="34" t="s">
        <v>109</v>
      </c>
      <c r="B50" s="34" t="s">
        <v>108</v>
      </c>
      <c r="C50" s="34" t="s">
        <v>21</v>
      </c>
      <c r="D50" s="52" t="s">
        <v>110</v>
      </c>
      <c r="E50" s="44">
        <f t="shared" si="8"/>
        <v>110588</v>
      </c>
      <c r="F50" s="73">
        <v>110588</v>
      </c>
      <c r="G50" s="73">
        <v>0</v>
      </c>
      <c r="H50" s="73">
        <v>0</v>
      </c>
      <c r="I50" s="44">
        <f t="shared" si="10"/>
        <v>110578</v>
      </c>
      <c r="J50" s="73">
        <v>110578</v>
      </c>
      <c r="K50" s="74">
        <v>0</v>
      </c>
      <c r="L50" s="74">
        <v>0</v>
      </c>
      <c r="M50" s="45">
        <f t="shared" si="17"/>
        <v>0.99990957427568994</v>
      </c>
      <c r="N50" s="45">
        <f t="shared" si="18"/>
        <v>0.99990957427568994</v>
      </c>
      <c r="O50" s="45">
        <f t="shared" si="19"/>
        <v>0</v>
      </c>
      <c r="P50" s="45">
        <f t="shared" si="20"/>
        <v>0</v>
      </c>
    </row>
    <row r="51" spans="1:16" s="18" customFormat="1" ht="37.5" x14ac:dyDescent="0.25">
      <c r="A51" s="36" t="s">
        <v>404</v>
      </c>
      <c r="B51" s="34">
        <v>7693</v>
      </c>
      <c r="C51" s="34" t="s">
        <v>21</v>
      </c>
      <c r="D51" s="52" t="s">
        <v>405</v>
      </c>
      <c r="E51" s="44">
        <f t="shared" si="8"/>
        <v>600000</v>
      </c>
      <c r="F51" s="73">
        <v>600000</v>
      </c>
      <c r="G51" s="73">
        <v>0</v>
      </c>
      <c r="H51" s="73">
        <v>0</v>
      </c>
      <c r="I51" s="73">
        <v>0</v>
      </c>
      <c r="J51" s="73">
        <v>0</v>
      </c>
      <c r="K51" s="74">
        <v>0</v>
      </c>
      <c r="L51" s="74">
        <v>0</v>
      </c>
      <c r="M51" s="45">
        <f t="shared" si="17"/>
        <v>0</v>
      </c>
      <c r="N51" s="45">
        <f t="shared" si="18"/>
        <v>0</v>
      </c>
      <c r="O51" s="45">
        <f t="shared" si="19"/>
        <v>0</v>
      </c>
      <c r="P51" s="45">
        <f t="shared" si="20"/>
        <v>0</v>
      </c>
    </row>
    <row r="52" spans="1:16" s="18" customFormat="1" ht="56.25" x14ac:dyDescent="0.25">
      <c r="A52" s="36" t="s">
        <v>320</v>
      </c>
      <c r="B52" s="36">
        <v>8110</v>
      </c>
      <c r="C52" s="36" t="s">
        <v>4</v>
      </c>
      <c r="D52" s="52" t="s">
        <v>131</v>
      </c>
      <c r="E52" s="44">
        <f t="shared" si="8"/>
        <v>85000</v>
      </c>
      <c r="F52" s="73">
        <v>85000</v>
      </c>
      <c r="G52" s="73">
        <v>0</v>
      </c>
      <c r="H52" s="73">
        <v>0</v>
      </c>
      <c r="I52" s="44">
        <f t="shared" si="10"/>
        <v>34462.479999999996</v>
      </c>
      <c r="J52" s="73">
        <f>21886.43+12576.05</f>
        <v>34462.479999999996</v>
      </c>
      <c r="K52" s="74">
        <v>0</v>
      </c>
      <c r="L52" s="74">
        <v>0</v>
      </c>
      <c r="M52" s="45">
        <f t="shared" si="17"/>
        <v>0.40544094117647056</v>
      </c>
      <c r="N52" s="45">
        <f t="shared" si="18"/>
        <v>0.40544094117647056</v>
      </c>
      <c r="O52" s="45">
        <f t="shared" si="19"/>
        <v>0</v>
      </c>
      <c r="P52" s="45">
        <f t="shared" si="20"/>
        <v>0</v>
      </c>
    </row>
    <row r="53" spans="1:16" s="18" customFormat="1" ht="37.5" x14ac:dyDescent="0.25">
      <c r="A53" s="34" t="s">
        <v>175</v>
      </c>
      <c r="B53" s="34" t="s">
        <v>176</v>
      </c>
      <c r="C53" s="34" t="s">
        <v>153</v>
      </c>
      <c r="D53" s="52" t="s">
        <v>177</v>
      </c>
      <c r="E53" s="44">
        <f t="shared" si="8"/>
        <v>26836110</v>
      </c>
      <c r="F53" s="73">
        <v>26836110</v>
      </c>
      <c r="G53" s="73">
        <v>0</v>
      </c>
      <c r="H53" s="73">
        <v>0</v>
      </c>
      <c r="I53" s="44">
        <f t="shared" si="10"/>
        <v>12915054.689999999</v>
      </c>
      <c r="J53" s="73">
        <v>12915054.689999999</v>
      </c>
      <c r="K53" s="74">
        <v>0</v>
      </c>
      <c r="L53" s="74">
        <v>0</v>
      </c>
      <c r="M53" s="45">
        <f t="shared" si="17"/>
        <v>0.4812565863681435</v>
      </c>
      <c r="N53" s="45">
        <f t="shared" si="18"/>
        <v>0.4812565863681435</v>
      </c>
      <c r="O53" s="45">
        <f t="shared" si="19"/>
        <v>0</v>
      </c>
      <c r="P53" s="45">
        <f t="shared" si="20"/>
        <v>0</v>
      </c>
    </row>
    <row r="54" spans="1:16" s="20" customFormat="1" ht="37.5" x14ac:dyDescent="0.25">
      <c r="A54" s="34" t="s">
        <v>233</v>
      </c>
      <c r="B54" s="34" t="s">
        <v>321</v>
      </c>
      <c r="C54" s="34" t="s">
        <v>153</v>
      </c>
      <c r="D54" s="52" t="s">
        <v>234</v>
      </c>
      <c r="E54" s="44">
        <f t="shared" si="8"/>
        <v>2083400</v>
      </c>
      <c r="F54" s="73">
        <v>2083400</v>
      </c>
      <c r="G54" s="73">
        <v>0</v>
      </c>
      <c r="H54" s="73">
        <v>0</v>
      </c>
      <c r="I54" s="44">
        <f t="shared" si="10"/>
        <v>129600</v>
      </c>
      <c r="J54" s="73">
        <v>129600</v>
      </c>
      <c r="K54" s="74">
        <v>0</v>
      </c>
      <c r="L54" s="74">
        <v>0</v>
      </c>
      <c r="M54" s="45">
        <f t="shared" si="17"/>
        <v>6.2206009407698951E-2</v>
      </c>
      <c r="N54" s="45">
        <f t="shared" si="18"/>
        <v>6.2206009407698951E-2</v>
      </c>
      <c r="O54" s="45">
        <f t="shared" si="19"/>
        <v>0</v>
      </c>
      <c r="P54" s="45">
        <f t="shared" si="20"/>
        <v>0</v>
      </c>
    </row>
    <row r="55" spans="1:16" s="20" customFormat="1" ht="37.5" x14ac:dyDescent="0.25">
      <c r="A55" s="34" t="s">
        <v>235</v>
      </c>
      <c r="B55" s="34" t="s">
        <v>236</v>
      </c>
      <c r="C55" s="34" t="s">
        <v>153</v>
      </c>
      <c r="D55" s="52" t="s">
        <v>237</v>
      </c>
      <c r="E55" s="44">
        <f t="shared" si="8"/>
        <v>4272700</v>
      </c>
      <c r="F55" s="73">
        <v>3451700</v>
      </c>
      <c r="G55" s="73">
        <v>821000</v>
      </c>
      <c r="H55" s="73">
        <v>821000</v>
      </c>
      <c r="I55" s="44">
        <f t="shared" si="10"/>
        <v>2737897.6</v>
      </c>
      <c r="J55" s="73">
        <v>2243047.6</v>
      </c>
      <c r="K55" s="73">
        <v>494850</v>
      </c>
      <c r="L55" s="73">
        <v>494850</v>
      </c>
      <c r="M55" s="45">
        <f t="shared" si="17"/>
        <v>0.6407886348210734</v>
      </c>
      <c r="N55" s="45">
        <f t="shared" si="18"/>
        <v>0.64983851435524531</v>
      </c>
      <c r="O55" s="45">
        <f t="shared" si="19"/>
        <v>0.60274056029232648</v>
      </c>
      <c r="P55" s="45">
        <f t="shared" si="20"/>
        <v>0.60274056029232648</v>
      </c>
    </row>
    <row r="56" spans="1:16" s="18" customFormat="1" ht="18.75" x14ac:dyDescent="0.25">
      <c r="A56" s="36" t="s">
        <v>300</v>
      </c>
      <c r="B56" s="34">
        <v>8240</v>
      </c>
      <c r="C56" s="36" t="s">
        <v>153</v>
      </c>
      <c r="D56" s="52" t="s">
        <v>239</v>
      </c>
      <c r="E56" s="44">
        <f t="shared" si="8"/>
        <v>687000</v>
      </c>
      <c r="F56" s="73">
        <v>630300</v>
      </c>
      <c r="G56" s="73">
        <v>56700</v>
      </c>
      <c r="H56" s="73">
        <v>56700</v>
      </c>
      <c r="I56" s="44">
        <f t="shared" si="10"/>
        <v>184422</v>
      </c>
      <c r="J56" s="73">
        <v>127766.39999999999</v>
      </c>
      <c r="K56" s="73">
        <v>56655.6</v>
      </c>
      <c r="L56" s="73">
        <v>56655.6</v>
      </c>
      <c r="M56" s="45">
        <f t="shared" si="17"/>
        <v>0.26844541484716156</v>
      </c>
      <c r="N56" s="45">
        <f t="shared" si="18"/>
        <v>0.20270728224654924</v>
      </c>
      <c r="O56" s="45">
        <f t="shared" si="19"/>
        <v>0.99921693121693123</v>
      </c>
      <c r="P56" s="45">
        <f t="shared" si="20"/>
        <v>0.99921693121693123</v>
      </c>
    </row>
    <row r="57" spans="1:16" s="18" customFormat="1" ht="37.5" x14ac:dyDescent="0.25">
      <c r="A57" s="36" t="s">
        <v>122</v>
      </c>
      <c r="B57" s="34">
        <v>8340</v>
      </c>
      <c r="C57" s="34" t="s">
        <v>41</v>
      </c>
      <c r="D57" s="52" t="s">
        <v>129</v>
      </c>
      <c r="E57" s="44">
        <f t="shared" si="8"/>
        <v>900000</v>
      </c>
      <c r="F57" s="73">
        <v>0</v>
      </c>
      <c r="G57" s="73">
        <v>900000</v>
      </c>
      <c r="H57" s="74">
        <v>0</v>
      </c>
      <c r="I57" s="74">
        <v>0</v>
      </c>
      <c r="J57" s="73">
        <v>0</v>
      </c>
      <c r="K57" s="74">
        <v>0</v>
      </c>
      <c r="L57" s="74">
        <v>0</v>
      </c>
      <c r="M57" s="45">
        <f t="shared" si="17"/>
        <v>0</v>
      </c>
      <c r="N57" s="45">
        <f t="shared" si="18"/>
        <v>0</v>
      </c>
      <c r="O57" s="45">
        <f t="shared" si="19"/>
        <v>0</v>
      </c>
      <c r="P57" s="45">
        <f t="shared" si="20"/>
        <v>0</v>
      </c>
    </row>
    <row r="58" spans="1:16" s="20" customFormat="1" ht="56.25" x14ac:dyDescent="0.25">
      <c r="A58" s="33" t="s">
        <v>52</v>
      </c>
      <c r="B58" s="33" t="s">
        <v>223</v>
      </c>
      <c r="C58" s="33" t="s">
        <v>223</v>
      </c>
      <c r="D58" s="56" t="s">
        <v>322</v>
      </c>
      <c r="E58" s="43">
        <f>E59</f>
        <v>446651682</v>
      </c>
      <c r="F58" s="43">
        <f t="shared" ref="F58:H58" si="23">F59</f>
        <v>408937506</v>
      </c>
      <c r="G58" s="43">
        <f t="shared" si="23"/>
        <v>37714176</v>
      </c>
      <c r="H58" s="43">
        <f t="shared" si="23"/>
        <v>20708676</v>
      </c>
      <c r="I58" s="43">
        <f>I59</f>
        <v>253675650.63</v>
      </c>
      <c r="J58" s="43">
        <f t="shared" ref="J58" si="24">J59</f>
        <v>237492820.03999999</v>
      </c>
      <c r="K58" s="43">
        <f t="shared" ref="K58" si="25">K59</f>
        <v>16182830.590000002</v>
      </c>
      <c r="L58" s="43">
        <f t="shared" ref="L58" si="26">L59</f>
        <v>5654665.1500000004</v>
      </c>
      <c r="M58" s="42">
        <f t="shared" si="17"/>
        <v>0.5679496145499795</v>
      </c>
      <c r="N58" s="42">
        <f t="shared" si="18"/>
        <v>0.58075577944176138</v>
      </c>
      <c r="O58" s="42">
        <f t="shared" si="19"/>
        <v>0.42909145330392479</v>
      </c>
      <c r="P58" s="42">
        <f t="shared" si="20"/>
        <v>0.27305778264143976</v>
      </c>
    </row>
    <row r="59" spans="1:16" s="41" customFormat="1" ht="56.25" x14ac:dyDescent="0.25">
      <c r="A59" s="33" t="s">
        <v>53</v>
      </c>
      <c r="B59" s="33" t="s">
        <v>223</v>
      </c>
      <c r="C59" s="33" t="s">
        <v>223</v>
      </c>
      <c r="D59" s="56" t="s">
        <v>322</v>
      </c>
      <c r="E59" s="43">
        <f t="shared" si="8"/>
        <v>446651682</v>
      </c>
      <c r="F59" s="72">
        <f>F60+F61+F62+F63+F64+F68+F69+F70+F71+F72+F73+F74+F75+F76+F77+F78+F79+F80+F81+F82+F83+F84+F85+F86+F87+F88</f>
        <v>408937506</v>
      </c>
      <c r="G59" s="72">
        <f t="shared" ref="G59:H59" si="27">G60+G61+G62+G63+G64+G68+G69+G70+G71+G72+G73+G74+G75+G76+G77+G78+G79+G80+G81+G82+G83+G84+G85+G86+G87+G88</f>
        <v>37714176</v>
      </c>
      <c r="H59" s="72">
        <f t="shared" si="27"/>
        <v>20708676</v>
      </c>
      <c r="I59" s="43">
        <f t="shared" ref="I59:I88" si="28">J59+K59</f>
        <v>253675650.63</v>
      </c>
      <c r="J59" s="72">
        <f>J60+J61+J62+J63+J64+J68+J69+J70+J71+J72+J73+J74+J75+J76+J77+J78+J79+J80+J81+J82+J83+J84+J85+J86+J87+J88</f>
        <v>237492820.03999999</v>
      </c>
      <c r="K59" s="72">
        <f t="shared" ref="K59" si="29">K60+K61+K62+K63+K64+K68+K69+K70+K71+K72+K73+K74+K75+K76+K77+K78+K79+K80+K81+K82+K83+K84+K85+K86+K87+K88</f>
        <v>16182830.590000002</v>
      </c>
      <c r="L59" s="72">
        <f t="shared" ref="L59" si="30">L60+L61+L62+L63+L64+L68+L69+L70+L71+L72+L73+L74+L75+L76+L77+L78+L79+L80+L81+L82+L83+L84+L85+L86+L87+L88</f>
        <v>5654665.1500000004</v>
      </c>
      <c r="M59" s="42">
        <f t="shared" si="17"/>
        <v>0.5679496145499795</v>
      </c>
      <c r="N59" s="42">
        <f t="shared" si="18"/>
        <v>0.58075577944176138</v>
      </c>
      <c r="O59" s="42">
        <f t="shared" si="19"/>
        <v>0.42909145330392479</v>
      </c>
      <c r="P59" s="42">
        <f t="shared" si="20"/>
        <v>0.27305778264143976</v>
      </c>
    </row>
    <row r="60" spans="1:16" s="18" customFormat="1" ht="56.25" x14ac:dyDescent="0.25">
      <c r="A60" s="34" t="s">
        <v>55</v>
      </c>
      <c r="B60" s="34" t="s">
        <v>54</v>
      </c>
      <c r="C60" s="34" t="s">
        <v>2</v>
      </c>
      <c r="D60" s="52" t="s">
        <v>240</v>
      </c>
      <c r="E60" s="44">
        <f t="shared" si="8"/>
        <v>5954600</v>
      </c>
      <c r="F60" s="73">
        <v>5954600</v>
      </c>
      <c r="G60" s="73">
        <v>0</v>
      </c>
      <c r="H60" s="73">
        <v>0</v>
      </c>
      <c r="I60" s="44">
        <f t="shared" si="28"/>
        <v>3081990.94</v>
      </c>
      <c r="J60" s="73">
        <v>3081990.94</v>
      </c>
      <c r="K60" s="73">
        <v>0</v>
      </c>
      <c r="L60" s="74">
        <v>0</v>
      </c>
      <c r="M60" s="45">
        <f t="shared" si="17"/>
        <v>0.51758152352802878</v>
      </c>
      <c r="N60" s="45">
        <f t="shared" si="18"/>
        <v>0.51758152352802878</v>
      </c>
      <c r="O60" s="45">
        <f t="shared" si="19"/>
        <v>0</v>
      </c>
      <c r="P60" s="45">
        <f t="shared" si="20"/>
        <v>0</v>
      </c>
    </row>
    <row r="61" spans="1:16" s="17" customFormat="1" ht="18.75" x14ac:dyDescent="0.25">
      <c r="A61" s="34" t="s">
        <v>56</v>
      </c>
      <c r="B61" s="34" t="s">
        <v>10</v>
      </c>
      <c r="C61" s="34" t="s">
        <v>11</v>
      </c>
      <c r="D61" s="52" t="s">
        <v>57</v>
      </c>
      <c r="E61" s="44">
        <f t="shared" si="8"/>
        <v>111419507</v>
      </c>
      <c r="F61" s="73">
        <v>99681820</v>
      </c>
      <c r="G61" s="73">
        <v>11737687</v>
      </c>
      <c r="H61" s="73">
        <v>2350037</v>
      </c>
      <c r="I61" s="44">
        <f t="shared" si="28"/>
        <v>45889120.670000002</v>
      </c>
      <c r="J61" s="73">
        <v>44446889.259999998</v>
      </c>
      <c r="K61" s="73">
        <f>1344566.78+97664.63</f>
        <v>1442231.4100000001</v>
      </c>
      <c r="L61" s="74">
        <v>0</v>
      </c>
      <c r="M61" s="45">
        <f t="shared" si="17"/>
        <v>0.41185894557943076</v>
      </c>
      <c r="N61" s="45">
        <f t="shared" si="18"/>
        <v>0.44588761782238723</v>
      </c>
      <c r="O61" s="45">
        <f t="shared" si="19"/>
        <v>0.12287185797338097</v>
      </c>
      <c r="P61" s="45">
        <f t="shared" si="20"/>
        <v>0</v>
      </c>
    </row>
    <row r="62" spans="1:16" s="41" customFormat="1" ht="56.25" x14ac:dyDescent="0.25">
      <c r="A62" s="34" t="s">
        <v>181</v>
      </c>
      <c r="B62" s="34" t="s">
        <v>182</v>
      </c>
      <c r="C62" s="34" t="s">
        <v>13</v>
      </c>
      <c r="D62" s="52" t="s">
        <v>286</v>
      </c>
      <c r="E62" s="44">
        <f t="shared" si="8"/>
        <v>103746631</v>
      </c>
      <c r="F62" s="73">
        <v>100676692</v>
      </c>
      <c r="G62" s="73">
        <v>3069939</v>
      </c>
      <c r="H62" s="73">
        <v>2862250</v>
      </c>
      <c r="I62" s="44">
        <f t="shared" si="28"/>
        <v>53061246.380000003</v>
      </c>
      <c r="J62" s="73">
        <v>50857188.600000001</v>
      </c>
      <c r="K62" s="73">
        <f>138583.19+2065474.59</f>
        <v>2204057.7800000003</v>
      </c>
      <c r="L62" s="74">
        <v>0</v>
      </c>
      <c r="M62" s="45">
        <f t="shared" si="17"/>
        <v>0.51145030801048375</v>
      </c>
      <c r="N62" s="45">
        <f t="shared" si="18"/>
        <v>0.50515355232370962</v>
      </c>
      <c r="O62" s="45">
        <f t="shared" si="19"/>
        <v>0.71794839571730917</v>
      </c>
      <c r="P62" s="45">
        <f t="shared" si="20"/>
        <v>0</v>
      </c>
    </row>
    <row r="63" spans="1:16" s="41" customFormat="1" ht="112.5" x14ac:dyDescent="0.25">
      <c r="A63" s="34" t="s">
        <v>183</v>
      </c>
      <c r="B63" s="34" t="s">
        <v>184</v>
      </c>
      <c r="C63" s="34" t="s">
        <v>15</v>
      </c>
      <c r="D63" s="52" t="s">
        <v>287</v>
      </c>
      <c r="E63" s="44">
        <f t="shared" si="8"/>
        <v>15484500</v>
      </c>
      <c r="F63" s="73">
        <v>15475400</v>
      </c>
      <c r="G63" s="73">
        <v>9100</v>
      </c>
      <c r="H63" s="73">
        <v>9100</v>
      </c>
      <c r="I63" s="44">
        <f t="shared" si="28"/>
        <v>6858880.1299999999</v>
      </c>
      <c r="J63" s="73">
        <v>6676720.0099999998</v>
      </c>
      <c r="K63" s="73">
        <f>182160.12</f>
        <v>182160.12</v>
      </c>
      <c r="L63" s="74">
        <v>0</v>
      </c>
      <c r="M63" s="45">
        <f t="shared" si="17"/>
        <v>0.44295134683070164</v>
      </c>
      <c r="N63" s="45">
        <f t="shared" si="18"/>
        <v>0.43144086808741616</v>
      </c>
      <c r="O63" s="78" t="s">
        <v>426</v>
      </c>
      <c r="P63" s="45">
        <f t="shared" si="20"/>
        <v>0</v>
      </c>
    </row>
    <row r="64" spans="1:16" s="18" customFormat="1" ht="56.25" x14ac:dyDescent="0.25">
      <c r="A64" s="34" t="s">
        <v>185</v>
      </c>
      <c r="B64" s="34" t="s">
        <v>186</v>
      </c>
      <c r="C64" s="34" t="s">
        <v>13</v>
      </c>
      <c r="D64" s="52" t="s">
        <v>288</v>
      </c>
      <c r="E64" s="44">
        <f t="shared" si="8"/>
        <v>92648774</v>
      </c>
      <c r="F64" s="73">
        <f>F66+F67</f>
        <v>92648774</v>
      </c>
      <c r="G64" s="73">
        <f t="shared" ref="G64:H64" si="31">G66+G67</f>
        <v>0</v>
      </c>
      <c r="H64" s="73">
        <f t="shared" si="31"/>
        <v>0</v>
      </c>
      <c r="I64" s="44">
        <f t="shared" si="28"/>
        <v>84382352.870000005</v>
      </c>
      <c r="J64" s="73">
        <f>J66+J67</f>
        <v>84382352.870000005</v>
      </c>
      <c r="K64" s="73">
        <f t="shared" ref="K64" si="32">K66+K67</f>
        <v>0</v>
      </c>
      <c r="L64" s="74">
        <v>0</v>
      </c>
      <c r="M64" s="45">
        <f t="shared" si="17"/>
        <v>0.91077678880024904</v>
      </c>
      <c r="N64" s="45">
        <f t="shared" si="18"/>
        <v>0.91077678880024904</v>
      </c>
      <c r="O64" s="45">
        <f t="shared" si="19"/>
        <v>0</v>
      </c>
      <c r="P64" s="45">
        <f t="shared" si="20"/>
        <v>0</v>
      </c>
    </row>
    <row r="65" spans="1:16" s="17" customFormat="1" ht="18.75" x14ac:dyDescent="0.25">
      <c r="A65" s="35"/>
      <c r="B65" s="35"/>
      <c r="C65" s="35"/>
      <c r="D65" s="58" t="s">
        <v>323</v>
      </c>
      <c r="E65" s="46">
        <f t="shared" si="8"/>
        <v>0</v>
      </c>
      <c r="F65" s="74"/>
      <c r="G65" s="74">
        <v>0</v>
      </c>
      <c r="H65" s="74">
        <v>0</v>
      </c>
      <c r="I65" s="46">
        <f t="shared" si="28"/>
        <v>0</v>
      </c>
      <c r="J65" s="74"/>
      <c r="K65" s="74">
        <v>0</v>
      </c>
      <c r="L65" s="74">
        <v>0</v>
      </c>
      <c r="M65" s="47">
        <f t="shared" si="17"/>
        <v>0</v>
      </c>
      <c r="N65" s="47">
        <f t="shared" si="18"/>
        <v>0</v>
      </c>
      <c r="O65" s="47">
        <f t="shared" si="19"/>
        <v>0</v>
      </c>
      <c r="P65" s="47">
        <f t="shared" si="20"/>
        <v>0</v>
      </c>
    </row>
    <row r="66" spans="1:16" s="17" customFormat="1" ht="37.5" x14ac:dyDescent="0.25">
      <c r="A66" s="35"/>
      <c r="B66" s="35"/>
      <c r="C66" s="35"/>
      <c r="D66" s="58" t="s">
        <v>324</v>
      </c>
      <c r="E66" s="46">
        <f t="shared" si="8"/>
        <v>92366200</v>
      </c>
      <c r="F66" s="74">
        <v>92366200</v>
      </c>
      <c r="G66" s="74">
        <v>0</v>
      </c>
      <c r="H66" s="74">
        <v>0</v>
      </c>
      <c r="I66" s="46">
        <f t="shared" si="28"/>
        <v>84215819.870000005</v>
      </c>
      <c r="J66" s="74">
        <v>84215819.870000005</v>
      </c>
      <c r="K66" s="74">
        <v>0</v>
      </c>
      <c r="L66" s="74">
        <v>0</v>
      </c>
      <c r="M66" s="47">
        <f t="shared" si="17"/>
        <v>0.91176014462000177</v>
      </c>
      <c r="N66" s="47">
        <f t="shared" si="18"/>
        <v>0.91176014462000177</v>
      </c>
      <c r="O66" s="47">
        <f t="shared" si="19"/>
        <v>0</v>
      </c>
      <c r="P66" s="47">
        <f t="shared" si="20"/>
        <v>0</v>
      </c>
    </row>
    <row r="67" spans="1:16" s="17" customFormat="1" ht="37.5" x14ac:dyDescent="0.25">
      <c r="A67" s="35"/>
      <c r="B67" s="35"/>
      <c r="C67" s="35"/>
      <c r="D67" s="58" t="s">
        <v>325</v>
      </c>
      <c r="E67" s="46">
        <f t="shared" si="8"/>
        <v>282574</v>
      </c>
      <c r="F67" s="74">
        <v>282574</v>
      </c>
      <c r="G67" s="74">
        <v>0</v>
      </c>
      <c r="H67" s="74">
        <v>0</v>
      </c>
      <c r="I67" s="46">
        <f t="shared" si="28"/>
        <v>166533</v>
      </c>
      <c r="J67" s="74">
        <v>166533</v>
      </c>
      <c r="K67" s="74">
        <v>0</v>
      </c>
      <c r="L67" s="74">
        <v>0</v>
      </c>
      <c r="M67" s="47">
        <f t="shared" si="17"/>
        <v>0.58934296856752566</v>
      </c>
      <c r="N67" s="47">
        <f t="shared" si="18"/>
        <v>0.58934296856752566</v>
      </c>
      <c r="O67" s="47">
        <f t="shared" si="19"/>
        <v>0</v>
      </c>
      <c r="P67" s="47">
        <f t="shared" si="20"/>
        <v>0</v>
      </c>
    </row>
    <row r="68" spans="1:16" s="18" customFormat="1" ht="93.75" x14ac:dyDescent="0.25">
      <c r="A68" s="34" t="s">
        <v>187</v>
      </c>
      <c r="B68" s="34" t="s">
        <v>188</v>
      </c>
      <c r="C68" s="34" t="s">
        <v>15</v>
      </c>
      <c r="D68" s="52" t="s">
        <v>289</v>
      </c>
      <c r="E68" s="44">
        <f t="shared" si="8"/>
        <v>10645300</v>
      </c>
      <c r="F68" s="73">
        <v>10645300</v>
      </c>
      <c r="G68" s="73">
        <v>0</v>
      </c>
      <c r="H68" s="73">
        <v>0</v>
      </c>
      <c r="I68" s="44">
        <f t="shared" si="28"/>
        <v>7891029.2199999997</v>
      </c>
      <c r="J68" s="73">
        <v>7891029.2199999997</v>
      </c>
      <c r="K68" s="74">
        <v>0</v>
      </c>
      <c r="L68" s="74">
        <v>0</v>
      </c>
      <c r="M68" s="45">
        <f t="shared" si="17"/>
        <v>0.74126884352719036</v>
      </c>
      <c r="N68" s="45">
        <f t="shared" si="18"/>
        <v>0.74126884352719036</v>
      </c>
      <c r="O68" s="45">
        <f t="shared" si="19"/>
        <v>0</v>
      </c>
      <c r="P68" s="45">
        <f t="shared" si="20"/>
        <v>0</v>
      </c>
    </row>
    <row r="69" spans="1:16" s="18" customFormat="1" ht="56.25" x14ac:dyDescent="0.25">
      <c r="A69" s="34" t="s">
        <v>58</v>
      </c>
      <c r="B69" s="34" t="s">
        <v>33</v>
      </c>
      <c r="C69" s="34" t="s">
        <v>16</v>
      </c>
      <c r="D69" s="52" t="s">
        <v>189</v>
      </c>
      <c r="E69" s="44">
        <f t="shared" si="8"/>
        <v>23592810</v>
      </c>
      <c r="F69" s="73">
        <v>23399450</v>
      </c>
      <c r="G69" s="73">
        <v>193360</v>
      </c>
      <c r="H69" s="73">
        <v>4000</v>
      </c>
      <c r="I69" s="44">
        <f t="shared" si="28"/>
        <v>11163155.109999999</v>
      </c>
      <c r="J69" s="73">
        <v>11110634.51</v>
      </c>
      <c r="K69" s="73">
        <f>43569+8951.6</f>
        <v>52520.6</v>
      </c>
      <c r="L69" s="74">
        <v>0</v>
      </c>
      <c r="M69" s="45">
        <f t="shared" si="17"/>
        <v>0.47315920019700913</v>
      </c>
      <c r="N69" s="45">
        <f t="shared" si="18"/>
        <v>0.47482460100557916</v>
      </c>
      <c r="O69" s="45">
        <f t="shared" si="19"/>
        <v>0.27162081092263135</v>
      </c>
      <c r="P69" s="45">
        <f t="shared" si="20"/>
        <v>0</v>
      </c>
    </row>
    <row r="70" spans="1:16" s="18" customFormat="1" ht="37.5" x14ac:dyDescent="0.25">
      <c r="A70" s="34" t="s">
        <v>190</v>
      </c>
      <c r="B70" s="34" t="s">
        <v>191</v>
      </c>
      <c r="C70" s="34" t="s">
        <v>17</v>
      </c>
      <c r="D70" s="52" t="s">
        <v>192</v>
      </c>
      <c r="E70" s="44">
        <f t="shared" si="8"/>
        <v>15000</v>
      </c>
      <c r="F70" s="73">
        <v>15000</v>
      </c>
      <c r="G70" s="73">
        <v>0</v>
      </c>
      <c r="H70" s="73">
        <v>0</v>
      </c>
      <c r="I70" s="44">
        <f t="shared" si="28"/>
        <v>13000</v>
      </c>
      <c r="J70" s="73">
        <v>13000</v>
      </c>
      <c r="K70" s="74">
        <v>0</v>
      </c>
      <c r="L70" s="74">
        <v>0</v>
      </c>
      <c r="M70" s="45">
        <f t="shared" si="17"/>
        <v>0.8666666666666667</v>
      </c>
      <c r="N70" s="45">
        <f t="shared" si="18"/>
        <v>0.8666666666666667</v>
      </c>
      <c r="O70" s="45">
        <f t="shared" si="19"/>
        <v>0</v>
      </c>
      <c r="P70" s="45">
        <f t="shared" si="20"/>
        <v>0</v>
      </c>
    </row>
    <row r="71" spans="1:16" s="18" customFormat="1" ht="37.5" x14ac:dyDescent="0.25">
      <c r="A71" s="34" t="s">
        <v>193</v>
      </c>
      <c r="B71" s="34" t="s">
        <v>194</v>
      </c>
      <c r="C71" s="34" t="s">
        <v>18</v>
      </c>
      <c r="D71" s="52" t="s">
        <v>146</v>
      </c>
      <c r="E71" s="44">
        <f t="shared" si="8"/>
        <v>21828401</v>
      </c>
      <c r="F71" s="73">
        <v>21828400</v>
      </c>
      <c r="G71" s="73">
        <v>1</v>
      </c>
      <c r="H71" s="73">
        <v>0</v>
      </c>
      <c r="I71" s="44">
        <f t="shared" si="28"/>
        <v>8774038.4299999997</v>
      </c>
      <c r="J71" s="73">
        <v>8774038.4299999997</v>
      </c>
      <c r="K71" s="74">
        <v>0</v>
      </c>
      <c r="L71" s="74">
        <v>0</v>
      </c>
      <c r="M71" s="45">
        <f t="shared" si="17"/>
        <v>0.40195516061849879</v>
      </c>
      <c r="N71" s="45">
        <f t="shared" si="18"/>
        <v>0.40195517903281963</v>
      </c>
      <c r="O71" s="45">
        <f t="shared" si="19"/>
        <v>0</v>
      </c>
      <c r="P71" s="45">
        <f t="shared" si="20"/>
        <v>0</v>
      </c>
    </row>
    <row r="72" spans="1:16" s="18" customFormat="1" ht="56.25" x14ac:dyDescent="0.25">
      <c r="A72" s="34" t="s">
        <v>195</v>
      </c>
      <c r="B72" s="34" t="s">
        <v>196</v>
      </c>
      <c r="C72" s="34" t="s">
        <v>18</v>
      </c>
      <c r="D72" s="52" t="s">
        <v>197</v>
      </c>
      <c r="E72" s="44">
        <f t="shared" si="8"/>
        <v>909000</v>
      </c>
      <c r="F72" s="73">
        <v>909000</v>
      </c>
      <c r="G72" s="73">
        <v>0</v>
      </c>
      <c r="H72" s="73">
        <v>0</v>
      </c>
      <c r="I72" s="44">
        <f t="shared" si="28"/>
        <v>227868.48</v>
      </c>
      <c r="J72" s="73">
        <v>227868.48</v>
      </c>
      <c r="K72" s="74">
        <v>0</v>
      </c>
      <c r="L72" s="74">
        <v>0</v>
      </c>
      <c r="M72" s="45">
        <f t="shared" si="17"/>
        <v>0.25068039603960396</v>
      </c>
      <c r="N72" s="45">
        <f t="shared" si="18"/>
        <v>0.25068039603960396</v>
      </c>
      <c r="O72" s="45">
        <f t="shared" si="19"/>
        <v>0</v>
      </c>
      <c r="P72" s="45">
        <f t="shared" si="20"/>
        <v>0</v>
      </c>
    </row>
    <row r="73" spans="1:16" s="18" customFormat="1" ht="56.25" x14ac:dyDescent="0.25">
      <c r="A73" s="36" t="s">
        <v>198</v>
      </c>
      <c r="B73" s="34">
        <v>1152</v>
      </c>
      <c r="C73" s="34" t="s">
        <v>18</v>
      </c>
      <c r="D73" s="52" t="s">
        <v>199</v>
      </c>
      <c r="E73" s="44">
        <f t="shared" si="8"/>
        <v>1387870</v>
      </c>
      <c r="F73" s="73">
        <v>1387870</v>
      </c>
      <c r="G73" s="74">
        <v>0</v>
      </c>
      <c r="H73" s="74">
        <v>0</v>
      </c>
      <c r="I73" s="44">
        <f t="shared" si="28"/>
        <v>1006501.24</v>
      </c>
      <c r="J73" s="73">
        <v>1006501.24</v>
      </c>
      <c r="K73" s="74">
        <v>0</v>
      </c>
      <c r="L73" s="74">
        <v>0</v>
      </c>
      <c r="M73" s="45">
        <f t="shared" si="17"/>
        <v>0.7252129089900351</v>
      </c>
      <c r="N73" s="45">
        <f t="shared" si="18"/>
        <v>0.7252129089900351</v>
      </c>
      <c r="O73" s="45">
        <f t="shared" si="19"/>
        <v>0</v>
      </c>
      <c r="P73" s="45">
        <f t="shared" si="20"/>
        <v>0</v>
      </c>
    </row>
    <row r="74" spans="1:16" s="18" customFormat="1" ht="56.25" x14ac:dyDescent="0.25">
      <c r="A74" s="34" t="s">
        <v>270</v>
      </c>
      <c r="B74" s="34" t="s">
        <v>271</v>
      </c>
      <c r="C74" s="34" t="s">
        <v>18</v>
      </c>
      <c r="D74" s="52" t="s">
        <v>272</v>
      </c>
      <c r="E74" s="44">
        <f t="shared" si="8"/>
        <v>5071100</v>
      </c>
      <c r="F74" s="73">
        <v>5071100</v>
      </c>
      <c r="G74" s="73">
        <v>0</v>
      </c>
      <c r="H74" s="73">
        <v>0</v>
      </c>
      <c r="I74" s="44">
        <f t="shared" si="28"/>
        <v>2230972.88</v>
      </c>
      <c r="J74" s="73">
        <v>2230972.88</v>
      </c>
      <c r="K74" s="74">
        <v>0</v>
      </c>
      <c r="L74" s="74">
        <v>0</v>
      </c>
      <c r="M74" s="45">
        <f t="shared" si="17"/>
        <v>0.43993864841947505</v>
      </c>
      <c r="N74" s="45">
        <f t="shared" si="18"/>
        <v>0.43993864841947505</v>
      </c>
      <c r="O74" s="45">
        <f t="shared" si="19"/>
        <v>0</v>
      </c>
      <c r="P74" s="45">
        <f t="shared" si="20"/>
        <v>0</v>
      </c>
    </row>
    <row r="75" spans="1:16" s="18" customFormat="1" ht="131.25" x14ac:dyDescent="0.25">
      <c r="A75" s="36" t="s">
        <v>326</v>
      </c>
      <c r="B75" s="36" t="s">
        <v>327</v>
      </c>
      <c r="C75" s="36" t="s">
        <v>18</v>
      </c>
      <c r="D75" s="52" t="s">
        <v>328</v>
      </c>
      <c r="E75" s="44">
        <f t="shared" si="8"/>
        <v>1304329</v>
      </c>
      <c r="F75" s="73">
        <v>0</v>
      </c>
      <c r="G75" s="73">
        <v>1304329</v>
      </c>
      <c r="H75" s="73">
        <v>1304329</v>
      </c>
      <c r="I75" s="44">
        <f t="shared" si="28"/>
        <v>1275000</v>
      </c>
      <c r="J75" s="73">
        <v>0</v>
      </c>
      <c r="K75" s="73">
        <v>1275000</v>
      </c>
      <c r="L75" s="73">
        <v>1275000</v>
      </c>
      <c r="M75" s="45">
        <f t="shared" si="17"/>
        <v>0.9775141087869702</v>
      </c>
      <c r="N75" s="45">
        <f t="shared" si="18"/>
        <v>0</v>
      </c>
      <c r="O75" s="45">
        <f t="shared" si="19"/>
        <v>0.9775141087869702</v>
      </c>
      <c r="P75" s="45">
        <f t="shared" si="20"/>
        <v>0.9775141087869702</v>
      </c>
    </row>
    <row r="76" spans="1:16" s="18" customFormat="1" ht="131.25" x14ac:dyDescent="0.25">
      <c r="A76" s="36" t="s">
        <v>329</v>
      </c>
      <c r="B76" s="36" t="s">
        <v>330</v>
      </c>
      <c r="C76" s="36" t="s">
        <v>18</v>
      </c>
      <c r="D76" s="52" t="s">
        <v>331</v>
      </c>
      <c r="E76" s="44">
        <f t="shared" si="8"/>
        <v>3043200</v>
      </c>
      <c r="F76" s="73">
        <v>0</v>
      </c>
      <c r="G76" s="73">
        <v>3043200</v>
      </c>
      <c r="H76" s="73">
        <v>3043200</v>
      </c>
      <c r="I76" s="44">
        <f t="shared" si="28"/>
        <v>1530000</v>
      </c>
      <c r="J76" s="73">
        <v>0</v>
      </c>
      <c r="K76" s="73">
        <v>1530000</v>
      </c>
      <c r="L76" s="73">
        <v>1530000</v>
      </c>
      <c r="M76" s="45">
        <f t="shared" si="17"/>
        <v>0.50276025236593058</v>
      </c>
      <c r="N76" s="45">
        <f t="shared" si="18"/>
        <v>0</v>
      </c>
      <c r="O76" s="45">
        <f t="shared" si="19"/>
        <v>0.50276025236593058</v>
      </c>
      <c r="P76" s="45">
        <f t="shared" si="20"/>
        <v>0.50276025236593058</v>
      </c>
    </row>
    <row r="77" spans="1:16" s="18" customFormat="1" ht="112.5" x14ac:dyDescent="0.25">
      <c r="A77" s="36" t="s">
        <v>332</v>
      </c>
      <c r="B77" s="36" t="s">
        <v>333</v>
      </c>
      <c r="C77" s="36" t="s">
        <v>18</v>
      </c>
      <c r="D77" s="52" t="s">
        <v>334</v>
      </c>
      <c r="E77" s="44">
        <f t="shared" si="8"/>
        <v>330900</v>
      </c>
      <c r="F77" s="73">
        <v>330900</v>
      </c>
      <c r="G77" s="73">
        <v>0</v>
      </c>
      <c r="H77" s="74">
        <v>0</v>
      </c>
      <c r="I77" s="44">
        <f t="shared" si="28"/>
        <v>198162.83</v>
      </c>
      <c r="J77" s="73">
        <v>198162.83</v>
      </c>
      <c r="K77" s="74">
        <v>0</v>
      </c>
      <c r="L77" s="74">
        <v>0</v>
      </c>
      <c r="M77" s="45">
        <f t="shared" si="17"/>
        <v>0.59886016923541852</v>
      </c>
      <c r="N77" s="45">
        <f t="shared" si="18"/>
        <v>0.59886016923541852</v>
      </c>
      <c r="O77" s="45">
        <f t="shared" si="19"/>
        <v>0</v>
      </c>
      <c r="P77" s="45">
        <f t="shared" si="20"/>
        <v>0</v>
      </c>
    </row>
    <row r="78" spans="1:16" s="18" customFormat="1" ht="187.5" x14ac:dyDescent="0.25">
      <c r="A78" s="36" t="s">
        <v>406</v>
      </c>
      <c r="B78" s="36" t="s">
        <v>407</v>
      </c>
      <c r="C78" s="36" t="s">
        <v>18</v>
      </c>
      <c r="D78" s="52" t="s">
        <v>408</v>
      </c>
      <c r="E78" s="44">
        <f t="shared" si="8"/>
        <v>50000</v>
      </c>
      <c r="F78" s="73">
        <v>0</v>
      </c>
      <c r="G78" s="73">
        <v>50000</v>
      </c>
      <c r="H78" s="73">
        <v>50000</v>
      </c>
      <c r="I78" s="74">
        <v>0</v>
      </c>
      <c r="J78" s="73">
        <v>0</v>
      </c>
      <c r="K78" s="74">
        <v>0</v>
      </c>
      <c r="L78" s="74">
        <v>0</v>
      </c>
      <c r="M78" s="45">
        <f t="shared" si="17"/>
        <v>0</v>
      </c>
      <c r="N78" s="45">
        <f t="shared" si="18"/>
        <v>0</v>
      </c>
      <c r="O78" s="45">
        <f t="shared" si="19"/>
        <v>0</v>
      </c>
      <c r="P78" s="45">
        <f t="shared" si="20"/>
        <v>0</v>
      </c>
    </row>
    <row r="79" spans="1:16" s="18" customFormat="1" ht="187.5" x14ac:dyDescent="0.25">
      <c r="A79" s="36" t="s">
        <v>409</v>
      </c>
      <c r="B79" s="36" t="s">
        <v>410</v>
      </c>
      <c r="C79" s="36" t="s">
        <v>18</v>
      </c>
      <c r="D79" s="52" t="s">
        <v>411</v>
      </c>
      <c r="E79" s="44">
        <f t="shared" si="8"/>
        <v>50000</v>
      </c>
      <c r="F79" s="73">
        <v>0</v>
      </c>
      <c r="G79" s="73">
        <v>50000</v>
      </c>
      <c r="H79" s="73">
        <v>50000</v>
      </c>
      <c r="I79" s="74">
        <v>0</v>
      </c>
      <c r="J79" s="74">
        <v>0</v>
      </c>
      <c r="K79" s="74">
        <v>0</v>
      </c>
      <c r="L79" s="74">
        <v>0</v>
      </c>
      <c r="M79" s="45">
        <f t="shared" si="17"/>
        <v>0</v>
      </c>
      <c r="N79" s="45">
        <f t="shared" si="18"/>
        <v>0</v>
      </c>
      <c r="O79" s="45">
        <f t="shared" si="19"/>
        <v>0</v>
      </c>
      <c r="P79" s="45">
        <f t="shared" si="20"/>
        <v>0</v>
      </c>
    </row>
    <row r="80" spans="1:16" s="18" customFormat="1" ht="112.5" x14ac:dyDescent="0.25">
      <c r="A80" s="36" t="s">
        <v>412</v>
      </c>
      <c r="B80" s="36" t="s">
        <v>413</v>
      </c>
      <c r="C80" s="36" t="s">
        <v>18</v>
      </c>
      <c r="D80" s="52" t="s">
        <v>414</v>
      </c>
      <c r="E80" s="44">
        <f t="shared" si="8"/>
        <v>1500000</v>
      </c>
      <c r="F80" s="73">
        <v>0</v>
      </c>
      <c r="G80" s="73">
        <v>1500000</v>
      </c>
      <c r="H80" s="73">
        <v>1500000</v>
      </c>
      <c r="I80" s="74">
        <v>0</v>
      </c>
      <c r="J80" s="74">
        <v>0</v>
      </c>
      <c r="K80" s="74">
        <v>0</v>
      </c>
      <c r="L80" s="74">
        <v>0</v>
      </c>
      <c r="M80" s="45">
        <f t="shared" si="17"/>
        <v>0</v>
      </c>
      <c r="N80" s="45">
        <f t="shared" si="18"/>
        <v>0</v>
      </c>
      <c r="O80" s="45">
        <f t="shared" si="19"/>
        <v>0</v>
      </c>
      <c r="P80" s="45">
        <f t="shared" si="20"/>
        <v>0</v>
      </c>
    </row>
    <row r="81" spans="1:16" s="20" customFormat="1" ht="93.75" x14ac:dyDescent="0.25">
      <c r="A81" s="36" t="s">
        <v>415</v>
      </c>
      <c r="B81" s="36" t="s">
        <v>416</v>
      </c>
      <c r="C81" s="36" t="s">
        <v>18</v>
      </c>
      <c r="D81" s="52" t="s">
        <v>417</v>
      </c>
      <c r="E81" s="44">
        <f t="shared" si="8"/>
        <v>1400000</v>
      </c>
      <c r="F81" s="73">
        <v>0</v>
      </c>
      <c r="G81" s="73">
        <v>1400000</v>
      </c>
      <c r="H81" s="73">
        <v>1400000</v>
      </c>
      <c r="I81" s="74">
        <v>0</v>
      </c>
      <c r="J81" s="74">
        <v>0</v>
      </c>
      <c r="K81" s="74">
        <v>0</v>
      </c>
      <c r="L81" s="74">
        <v>0</v>
      </c>
      <c r="M81" s="45">
        <f t="shared" si="17"/>
        <v>0</v>
      </c>
      <c r="N81" s="45">
        <f t="shared" si="18"/>
        <v>0</v>
      </c>
      <c r="O81" s="45">
        <f t="shared" si="19"/>
        <v>0</v>
      </c>
      <c r="P81" s="45">
        <f t="shared" si="20"/>
        <v>0</v>
      </c>
    </row>
    <row r="82" spans="1:16" s="20" customFormat="1" ht="75" x14ac:dyDescent="0.25">
      <c r="A82" s="36" t="s">
        <v>335</v>
      </c>
      <c r="B82" s="36" t="s">
        <v>336</v>
      </c>
      <c r="C82" s="36" t="s">
        <v>18</v>
      </c>
      <c r="D82" s="52" t="s">
        <v>337</v>
      </c>
      <c r="E82" s="44">
        <f t="shared" ref="E82:E145" si="33">F82+G82</f>
        <v>7220800</v>
      </c>
      <c r="F82" s="73">
        <v>0</v>
      </c>
      <c r="G82" s="73">
        <v>7220800</v>
      </c>
      <c r="H82" s="74">
        <v>0</v>
      </c>
      <c r="I82" s="44">
        <f t="shared" si="28"/>
        <v>6597205.5300000003</v>
      </c>
      <c r="J82" s="73">
        <v>0</v>
      </c>
      <c r="K82" s="73">
        <v>6597205.5300000003</v>
      </c>
      <c r="L82" s="73">
        <v>0</v>
      </c>
      <c r="M82" s="45">
        <f t="shared" si="17"/>
        <v>0.91363914386217593</v>
      </c>
      <c r="N82" s="45">
        <f t="shared" si="18"/>
        <v>0</v>
      </c>
      <c r="O82" s="45">
        <f t="shared" si="19"/>
        <v>0.91363914386217593</v>
      </c>
      <c r="P82" s="45">
        <f t="shared" si="20"/>
        <v>0</v>
      </c>
    </row>
    <row r="83" spans="1:16" s="18" customFormat="1" ht="75" x14ac:dyDescent="0.25">
      <c r="A83" s="36" t="s">
        <v>338</v>
      </c>
      <c r="B83" s="36" t="s">
        <v>339</v>
      </c>
      <c r="C83" s="36" t="s">
        <v>18</v>
      </c>
      <c r="D83" s="52" t="s">
        <v>340</v>
      </c>
      <c r="E83" s="44">
        <f t="shared" si="33"/>
        <v>7051000</v>
      </c>
      <c r="F83" s="73">
        <v>7051000</v>
      </c>
      <c r="G83" s="73">
        <v>0</v>
      </c>
      <c r="H83" s="74">
        <v>0</v>
      </c>
      <c r="I83" s="44">
        <f t="shared" si="28"/>
        <v>6921053.5999999996</v>
      </c>
      <c r="J83" s="73">
        <v>6921053.5999999996</v>
      </c>
      <c r="K83" s="74">
        <v>0</v>
      </c>
      <c r="L83" s="74">
        <v>0</v>
      </c>
      <c r="M83" s="45">
        <f t="shared" si="17"/>
        <v>0.98157050063820728</v>
      </c>
      <c r="N83" s="45">
        <f t="shared" si="18"/>
        <v>0.98157050063820728</v>
      </c>
      <c r="O83" s="45">
        <f t="shared" si="19"/>
        <v>0</v>
      </c>
      <c r="P83" s="45">
        <f t="shared" si="20"/>
        <v>0</v>
      </c>
    </row>
    <row r="84" spans="1:16" s="18" customFormat="1" ht="93.75" x14ac:dyDescent="0.25">
      <c r="A84" s="34" t="s">
        <v>273</v>
      </c>
      <c r="B84" s="34" t="s">
        <v>274</v>
      </c>
      <c r="C84" s="34" t="s">
        <v>19</v>
      </c>
      <c r="D84" s="52" t="s">
        <v>275</v>
      </c>
      <c r="E84" s="44">
        <f t="shared" si="33"/>
        <v>4138400</v>
      </c>
      <c r="F84" s="73">
        <v>4138400</v>
      </c>
      <c r="G84" s="73">
        <v>0</v>
      </c>
      <c r="H84" s="73">
        <v>0</v>
      </c>
      <c r="I84" s="44">
        <f t="shared" si="28"/>
        <v>2123582.04</v>
      </c>
      <c r="J84" s="73">
        <v>2123582.04</v>
      </c>
      <c r="K84" s="74">
        <v>0</v>
      </c>
      <c r="L84" s="74">
        <v>0</v>
      </c>
      <c r="M84" s="45">
        <f t="shared" si="17"/>
        <v>0.51314083703846902</v>
      </c>
      <c r="N84" s="45">
        <f t="shared" si="18"/>
        <v>0.51314083703846902</v>
      </c>
      <c r="O84" s="45">
        <f t="shared" si="19"/>
        <v>0</v>
      </c>
      <c r="P84" s="45">
        <f t="shared" si="20"/>
        <v>0</v>
      </c>
    </row>
    <row r="85" spans="1:16" s="20" customFormat="1" ht="37.5" x14ac:dyDescent="0.25">
      <c r="A85" s="34" t="s">
        <v>143</v>
      </c>
      <c r="B85" s="34" t="s">
        <v>140</v>
      </c>
      <c r="C85" s="34" t="s">
        <v>3</v>
      </c>
      <c r="D85" s="52" t="s">
        <v>141</v>
      </c>
      <c r="E85" s="44">
        <f t="shared" si="33"/>
        <v>4101000</v>
      </c>
      <c r="F85" s="73">
        <v>4101000</v>
      </c>
      <c r="G85" s="73">
        <v>0</v>
      </c>
      <c r="H85" s="73">
        <v>0</v>
      </c>
      <c r="I85" s="44">
        <f t="shared" si="28"/>
        <v>1976809.12</v>
      </c>
      <c r="J85" s="73">
        <v>1976809.12</v>
      </c>
      <c r="K85" s="74">
        <v>0</v>
      </c>
      <c r="L85" s="74">
        <v>0</v>
      </c>
      <c r="M85" s="45">
        <f t="shared" si="17"/>
        <v>0.48203099731772742</v>
      </c>
      <c r="N85" s="45">
        <f t="shared" si="18"/>
        <v>0.48203099731772742</v>
      </c>
      <c r="O85" s="45">
        <f t="shared" si="19"/>
        <v>0</v>
      </c>
      <c r="P85" s="45">
        <f t="shared" si="20"/>
        <v>0</v>
      </c>
    </row>
    <row r="86" spans="1:16" s="20" customFormat="1" ht="56.25" x14ac:dyDescent="0.25">
      <c r="A86" s="34" t="s">
        <v>65</v>
      </c>
      <c r="B86" s="34" t="s">
        <v>47</v>
      </c>
      <c r="C86" s="34" t="s">
        <v>20</v>
      </c>
      <c r="D86" s="52" t="s">
        <v>341</v>
      </c>
      <c r="E86" s="44">
        <f t="shared" si="33"/>
        <v>13879800</v>
      </c>
      <c r="F86" s="73">
        <v>13569800</v>
      </c>
      <c r="G86" s="73">
        <v>310000</v>
      </c>
      <c r="H86" s="73">
        <v>310000</v>
      </c>
      <c r="I86" s="44">
        <f t="shared" si="28"/>
        <v>5720710.0099999998</v>
      </c>
      <c r="J86" s="73">
        <v>5366450.01</v>
      </c>
      <c r="K86" s="73">
        <f>304270+49990</f>
        <v>354260</v>
      </c>
      <c r="L86" s="73">
        <v>304270</v>
      </c>
      <c r="M86" s="45">
        <f t="shared" ref="M86:M149" si="34">IF(E86,I86/E86,0)</f>
        <v>0.41216083877289295</v>
      </c>
      <c r="N86" s="45">
        <f t="shared" ref="N86:N149" si="35">IF(F86,J86/F86,0)</f>
        <v>0.39547008872643663</v>
      </c>
      <c r="O86" s="45">
        <f t="shared" ref="O86:O149" si="36">IF(G86,K86/G86,0)</f>
        <v>1.1427741935483871</v>
      </c>
      <c r="P86" s="45">
        <f t="shared" ref="P86:P149" si="37">IF(H86,L86/H86,0)</f>
        <v>0.98151612903225804</v>
      </c>
    </row>
    <row r="87" spans="1:16" s="18" customFormat="1" ht="37.5" x14ac:dyDescent="0.25">
      <c r="A87" s="36" t="s">
        <v>342</v>
      </c>
      <c r="B87" s="36" t="s">
        <v>315</v>
      </c>
      <c r="C87" s="36" t="s">
        <v>316</v>
      </c>
      <c r="D87" s="52" t="s">
        <v>317</v>
      </c>
      <c r="E87" s="44">
        <f t="shared" si="33"/>
        <v>1273000</v>
      </c>
      <c r="F87" s="73">
        <v>1273000</v>
      </c>
      <c r="G87" s="73">
        <v>0</v>
      </c>
      <c r="H87" s="74">
        <v>0</v>
      </c>
      <c r="I87" s="44">
        <f t="shared" si="28"/>
        <v>207576</v>
      </c>
      <c r="J87" s="73">
        <v>207576</v>
      </c>
      <c r="K87" s="74">
        <v>0</v>
      </c>
      <c r="L87" s="74">
        <v>0</v>
      </c>
      <c r="M87" s="45">
        <f t="shared" si="34"/>
        <v>0.16306048703849174</v>
      </c>
      <c r="N87" s="45">
        <f t="shared" si="35"/>
        <v>0.16306048703849174</v>
      </c>
      <c r="O87" s="45">
        <f t="shared" si="36"/>
        <v>0</v>
      </c>
      <c r="P87" s="45">
        <f t="shared" si="37"/>
        <v>0</v>
      </c>
    </row>
    <row r="88" spans="1:16" s="18" customFormat="1" ht="56.25" x14ac:dyDescent="0.25">
      <c r="A88" s="36" t="s">
        <v>267</v>
      </c>
      <c r="B88" s="36">
        <v>8110</v>
      </c>
      <c r="C88" s="36" t="s">
        <v>4</v>
      </c>
      <c r="D88" s="52" t="s">
        <v>131</v>
      </c>
      <c r="E88" s="44">
        <f t="shared" si="33"/>
        <v>8605760</v>
      </c>
      <c r="F88" s="73">
        <v>780000</v>
      </c>
      <c r="G88" s="73">
        <v>7825760</v>
      </c>
      <c r="H88" s="73">
        <v>7825760</v>
      </c>
      <c r="I88" s="44">
        <f t="shared" si="28"/>
        <v>2545395.15</v>
      </c>
      <c r="J88" s="73">
        <v>0</v>
      </c>
      <c r="K88" s="73">
        <v>2545395.15</v>
      </c>
      <c r="L88" s="73">
        <v>2545395.15</v>
      </c>
      <c r="M88" s="45">
        <f t="shared" si="34"/>
        <v>0.29577807770609449</v>
      </c>
      <c r="N88" s="45">
        <f t="shared" si="35"/>
        <v>0</v>
      </c>
      <c r="O88" s="45">
        <f t="shared" si="36"/>
        <v>0.32525852441168651</v>
      </c>
      <c r="P88" s="45">
        <f t="shared" si="37"/>
        <v>0.32525852441168651</v>
      </c>
    </row>
    <row r="89" spans="1:16" s="20" customFormat="1" ht="56.25" x14ac:dyDescent="0.25">
      <c r="A89" s="33" t="s">
        <v>66</v>
      </c>
      <c r="B89" s="33" t="s">
        <v>223</v>
      </c>
      <c r="C89" s="33" t="s">
        <v>223</v>
      </c>
      <c r="D89" s="56" t="s">
        <v>241</v>
      </c>
      <c r="E89" s="43">
        <f>E90</f>
        <v>127782946.87</v>
      </c>
      <c r="F89" s="43">
        <f t="shared" ref="F89:H89" si="38">F90</f>
        <v>119960647.87</v>
      </c>
      <c r="G89" s="43">
        <f t="shared" si="38"/>
        <v>7822299</v>
      </c>
      <c r="H89" s="43">
        <f t="shared" si="38"/>
        <v>7640299</v>
      </c>
      <c r="I89" s="43">
        <f>I90</f>
        <v>50022737.820000008</v>
      </c>
      <c r="J89" s="43">
        <f t="shared" ref="J89" si="39">J90</f>
        <v>49755920.63000001</v>
      </c>
      <c r="K89" s="43">
        <f t="shared" ref="K89" si="40">K90</f>
        <v>266817.19</v>
      </c>
      <c r="L89" s="43">
        <f t="shared" ref="L89" si="41">L90</f>
        <v>134796.19</v>
      </c>
      <c r="M89" s="42">
        <f t="shared" si="34"/>
        <v>0.39146645969035793</v>
      </c>
      <c r="N89" s="42">
        <f t="shared" si="35"/>
        <v>0.41476868884469464</v>
      </c>
      <c r="O89" s="42">
        <f t="shared" si="36"/>
        <v>3.4109817331196363E-2</v>
      </c>
      <c r="P89" s="42">
        <f t="shared" si="37"/>
        <v>1.7642789896049879E-2</v>
      </c>
    </row>
    <row r="90" spans="1:16" s="20" customFormat="1" ht="56.25" x14ac:dyDescent="0.25">
      <c r="A90" s="33" t="s">
        <v>67</v>
      </c>
      <c r="B90" s="33" t="s">
        <v>223</v>
      </c>
      <c r="C90" s="33" t="s">
        <v>223</v>
      </c>
      <c r="D90" s="56" t="s">
        <v>241</v>
      </c>
      <c r="E90" s="43">
        <f t="shared" si="33"/>
        <v>127782946.87</v>
      </c>
      <c r="F90" s="72">
        <f>F91+F92+F93+F94+F95+F96+F97+F98+F99+F100+F101+F102+F103+F104+F105+F106+F107+F108+F109</f>
        <v>119960647.87</v>
      </c>
      <c r="G90" s="72">
        <f t="shared" ref="G90:H90" si="42">G91+G92+G93+G94+G95+G96+G97+G98+G99+G100+G101+G102+G103+G104+G105+G106+G107+G108+G109</f>
        <v>7822299</v>
      </c>
      <c r="H90" s="72">
        <f t="shared" si="42"/>
        <v>7640299</v>
      </c>
      <c r="I90" s="43">
        <f t="shared" ref="I90:I112" si="43">J90+K90</f>
        <v>50022737.820000008</v>
      </c>
      <c r="J90" s="72">
        <f>J91+J92+J93+J94+J95+J96+J97+J98+J99+J100+J101+J102+J103+J104+J105+J106+J107+J108+J109</f>
        <v>49755920.63000001</v>
      </c>
      <c r="K90" s="72">
        <f t="shared" ref="K90" si="44">K91+K92+K93+K94+K95+K96+K97+K98+K99+K100+K101+K102+K103+K104+K105+K106+K107+K108+K109</f>
        <v>266817.19</v>
      </c>
      <c r="L90" s="72">
        <f t="shared" ref="L90" si="45">L91+L92+L93+L94+L95+L96+L97+L98+L99+L100+L101+L102+L103+L104+L105+L106+L107+L108+L109</f>
        <v>134796.19</v>
      </c>
      <c r="M90" s="42">
        <f t="shared" si="34"/>
        <v>0.39146645969035793</v>
      </c>
      <c r="N90" s="42">
        <f t="shared" si="35"/>
        <v>0.41476868884469464</v>
      </c>
      <c r="O90" s="42">
        <f t="shared" si="36"/>
        <v>3.4109817331196363E-2</v>
      </c>
      <c r="P90" s="42">
        <f t="shared" si="37"/>
        <v>1.7642789896049879E-2</v>
      </c>
    </row>
    <row r="91" spans="1:16" s="18" customFormat="1" ht="56.25" x14ac:dyDescent="0.25">
      <c r="A91" s="34" t="s">
        <v>68</v>
      </c>
      <c r="B91" s="34" t="s">
        <v>54</v>
      </c>
      <c r="C91" s="34" t="s">
        <v>2</v>
      </c>
      <c r="D91" s="52" t="s">
        <v>240</v>
      </c>
      <c r="E91" s="44">
        <f t="shared" si="33"/>
        <v>22512700</v>
      </c>
      <c r="F91" s="73">
        <v>22512700</v>
      </c>
      <c r="G91" s="73">
        <v>0</v>
      </c>
      <c r="H91" s="73">
        <v>0</v>
      </c>
      <c r="I91" s="44">
        <f t="shared" si="43"/>
        <v>10718436.24</v>
      </c>
      <c r="J91" s="73">
        <v>10718436.24</v>
      </c>
      <c r="K91" s="74">
        <v>0</v>
      </c>
      <c r="L91" s="74">
        <v>0</v>
      </c>
      <c r="M91" s="45">
        <f t="shared" si="34"/>
        <v>0.47610620849564911</v>
      </c>
      <c r="N91" s="45">
        <f t="shared" si="35"/>
        <v>0.47610620849564911</v>
      </c>
      <c r="O91" s="45">
        <f t="shared" si="36"/>
        <v>0</v>
      </c>
      <c r="P91" s="45">
        <f t="shared" si="37"/>
        <v>0</v>
      </c>
    </row>
    <row r="92" spans="1:16" s="18" customFormat="1" ht="37.5" x14ac:dyDescent="0.25">
      <c r="A92" s="34" t="s">
        <v>152</v>
      </c>
      <c r="B92" s="34" t="s">
        <v>9</v>
      </c>
      <c r="C92" s="34" t="s">
        <v>5</v>
      </c>
      <c r="D92" s="52" t="s">
        <v>99</v>
      </c>
      <c r="E92" s="44">
        <f t="shared" si="33"/>
        <v>105000</v>
      </c>
      <c r="F92" s="73">
        <v>105000</v>
      </c>
      <c r="G92" s="73">
        <v>0</v>
      </c>
      <c r="H92" s="73">
        <v>0</v>
      </c>
      <c r="I92" s="44">
        <f t="shared" si="43"/>
        <v>19140</v>
      </c>
      <c r="J92" s="73">
        <v>19140</v>
      </c>
      <c r="K92" s="74">
        <v>0</v>
      </c>
      <c r="L92" s="74">
        <v>0</v>
      </c>
      <c r="M92" s="45">
        <f t="shared" si="34"/>
        <v>0.18228571428571427</v>
      </c>
      <c r="N92" s="45">
        <f t="shared" si="35"/>
        <v>0.18228571428571427</v>
      </c>
      <c r="O92" s="45">
        <f t="shared" si="36"/>
        <v>0</v>
      </c>
      <c r="P92" s="45">
        <f t="shared" si="37"/>
        <v>0</v>
      </c>
    </row>
    <row r="93" spans="1:16" s="18" customFormat="1" ht="37.5" x14ac:dyDescent="0.25">
      <c r="A93" s="34" t="s">
        <v>101</v>
      </c>
      <c r="B93" s="34" t="s">
        <v>32</v>
      </c>
      <c r="C93" s="34" t="s">
        <v>14</v>
      </c>
      <c r="D93" s="52" t="s">
        <v>100</v>
      </c>
      <c r="E93" s="44">
        <f t="shared" si="33"/>
        <v>3161000</v>
      </c>
      <c r="F93" s="73">
        <v>3161000</v>
      </c>
      <c r="G93" s="73">
        <v>0</v>
      </c>
      <c r="H93" s="73">
        <v>0</v>
      </c>
      <c r="I93" s="44">
        <f t="shared" si="43"/>
        <v>352424.67</v>
      </c>
      <c r="J93" s="73">
        <v>352424.67</v>
      </c>
      <c r="K93" s="74">
        <v>0</v>
      </c>
      <c r="L93" s="74">
        <v>0</v>
      </c>
      <c r="M93" s="45">
        <f t="shared" si="34"/>
        <v>0.11149151217968997</v>
      </c>
      <c r="N93" s="45">
        <f t="shared" si="35"/>
        <v>0.11149151217968997</v>
      </c>
      <c r="O93" s="45">
        <f t="shared" si="36"/>
        <v>0</v>
      </c>
      <c r="P93" s="45">
        <f t="shared" si="37"/>
        <v>0</v>
      </c>
    </row>
    <row r="94" spans="1:16" s="18" customFormat="1" ht="37.5" x14ac:dyDescent="0.25">
      <c r="A94" s="34" t="s">
        <v>102</v>
      </c>
      <c r="B94" s="34" t="s">
        <v>103</v>
      </c>
      <c r="C94" s="34" t="s">
        <v>33</v>
      </c>
      <c r="D94" s="52" t="s">
        <v>242</v>
      </c>
      <c r="E94" s="44">
        <f t="shared" si="33"/>
        <v>5000</v>
      </c>
      <c r="F94" s="73">
        <v>5000</v>
      </c>
      <c r="G94" s="73">
        <v>0</v>
      </c>
      <c r="H94" s="73">
        <v>0</v>
      </c>
      <c r="I94" s="44">
        <f t="shared" si="43"/>
        <v>2168.71</v>
      </c>
      <c r="J94" s="73">
        <v>2168.71</v>
      </c>
      <c r="K94" s="74">
        <v>0</v>
      </c>
      <c r="L94" s="74">
        <v>0</v>
      </c>
      <c r="M94" s="45">
        <f t="shared" si="34"/>
        <v>0.43374200000000002</v>
      </c>
      <c r="N94" s="45">
        <f t="shared" si="35"/>
        <v>0.43374200000000002</v>
      </c>
      <c r="O94" s="45">
        <f t="shared" si="36"/>
        <v>0</v>
      </c>
      <c r="P94" s="45">
        <f t="shared" si="37"/>
        <v>0</v>
      </c>
    </row>
    <row r="95" spans="1:16" s="18" customFormat="1" ht="56.25" x14ac:dyDescent="0.25">
      <c r="A95" s="34" t="s">
        <v>160</v>
      </c>
      <c r="B95" s="34" t="s">
        <v>158</v>
      </c>
      <c r="C95" s="34" t="s">
        <v>33</v>
      </c>
      <c r="D95" s="52" t="s">
        <v>159</v>
      </c>
      <c r="E95" s="44">
        <f t="shared" si="33"/>
        <v>444119</v>
      </c>
      <c r="F95" s="73">
        <v>444119</v>
      </c>
      <c r="G95" s="73">
        <v>0</v>
      </c>
      <c r="H95" s="73">
        <v>0</v>
      </c>
      <c r="I95" s="44">
        <f t="shared" si="43"/>
        <v>191511.64</v>
      </c>
      <c r="J95" s="73">
        <v>191511.64</v>
      </c>
      <c r="K95" s="74">
        <v>0</v>
      </c>
      <c r="L95" s="74">
        <v>0</v>
      </c>
      <c r="M95" s="45">
        <f t="shared" si="34"/>
        <v>0.43121694861062015</v>
      </c>
      <c r="N95" s="45">
        <f t="shared" si="35"/>
        <v>0.43121694861062015</v>
      </c>
      <c r="O95" s="45">
        <f t="shared" si="36"/>
        <v>0</v>
      </c>
      <c r="P95" s="45">
        <f t="shared" si="37"/>
        <v>0</v>
      </c>
    </row>
    <row r="96" spans="1:16" s="20" customFormat="1" ht="37.5" x14ac:dyDescent="0.25">
      <c r="A96" s="34" t="s">
        <v>161</v>
      </c>
      <c r="B96" s="34" t="s">
        <v>162</v>
      </c>
      <c r="C96" s="34" t="s">
        <v>14</v>
      </c>
      <c r="D96" s="52" t="s">
        <v>163</v>
      </c>
      <c r="E96" s="44">
        <f t="shared" si="33"/>
        <v>83516</v>
      </c>
      <c r="F96" s="73">
        <v>83516</v>
      </c>
      <c r="G96" s="73">
        <v>0</v>
      </c>
      <c r="H96" s="73">
        <v>0</v>
      </c>
      <c r="I96" s="44">
        <f t="shared" si="43"/>
        <v>24050</v>
      </c>
      <c r="J96" s="73">
        <v>24050</v>
      </c>
      <c r="K96" s="74">
        <v>0</v>
      </c>
      <c r="L96" s="74">
        <v>0</v>
      </c>
      <c r="M96" s="45">
        <f t="shared" si="34"/>
        <v>0.28796877245078789</v>
      </c>
      <c r="N96" s="45">
        <f t="shared" si="35"/>
        <v>0.28796877245078789</v>
      </c>
      <c r="O96" s="45">
        <f t="shared" si="36"/>
        <v>0</v>
      </c>
      <c r="P96" s="45">
        <f t="shared" si="37"/>
        <v>0</v>
      </c>
    </row>
    <row r="97" spans="1:16" s="20" customFormat="1" ht="75" x14ac:dyDescent="0.25">
      <c r="A97" s="34" t="s">
        <v>113</v>
      </c>
      <c r="B97" s="34" t="s">
        <v>112</v>
      </c>
      <c r="C97" s="34" t="s">
        <v>12</v>
      </c>
      <c r="D97" s="52" t="s">
        <v>243</v>
      </c>
      <c r="E97" s="44">
        <f t="shared" si="33"/>
        <v>19037774.870000001</v>
      </c>
      <c r="F97" s="73">
        <v>18855774.870000001</v>
      </c>
      <c r="G97" s="73">
        <v>182000</v>
      </c>
      <c r="H97" s="73">
        <v>0</v>
      </c>
      <c r="I97" s="44">
        <f t="shared" si="43"/>
        <v>8165326.96</v>
      </c>
      <c r="J97" s="73">
        <v>8093330.96</v>
      </c>
      <c r="K97" s="73">
        <f>71996</f>
        <v>71996</v>
      </c>
      <c r="L97" s="74">
        <v>0</v>
      </c>
      <c r="M97" s="45">
        <f t="shared" si="34"/>
        <v>0.42890132989580831</v>
      </c>
      <c r="N97" s="45">
        <f t="shared" si="35"/>
        <v>0.4292229312133275</v>
      </c>
      <c r="O97" s="45">
        <f t="shared" si="36"/>
        <v>0.39558241758241758</v>
      </c>
      <c r="P97" s="45">
        <f t="shared" si="37"/>
        <v>0</v>
      </c>
    </row>
    <row r="98" spans="1:16" s="18" customFormat="1" ht="131.25" x14ac:dyDescent="0.25">
      <c r="A98" s="34" t="s">
        <v>70</v>
      </c>
      <c r="B98" s="34" t="s">
        <v>69</v>
      </c>
      <c r="C98" s="34" t="s">
        <v>19</v>
      </c>
      <c r="D98" s="52" t="s">
        <v>343</v>
      </c>
      <c r="E98" s="44">
        <f t="shared" si="33"/>
        <v>11285825</v>
      </c>
      <c r="F98" s="73">
        <v>10294200</v>
      </c>
      <c r="G98" s="73">
        <v>991625</v>
      </c>
      <c r="H98" s="73">
        <v>991625</v>
      </c>
      <c r="I98" s="44">
        <f t="shared" si="43"/>
        <v>5228967.7</v>
      </c>
      <c r="J98" s="73">
        <v>5094171.51</v>
      </c>
      <c r="K98" s="73">
        <v>134796.19</v>
      </c>
      <c r="L98" s="73">
        <v>134796.19</v>
      </c>
      <c r="M98" s="45">
        <f t="shared" si="34"/>
        <v>0.46332170665414357</v>
      </c>
      <c r="N98" s="45">
        <f t="shared" si="35"/>
        <v>0.49485841638981171</v>
      </c>
      <c r="O98" s="45">
        <f t="shared" si="36"/>
        <v>0.13593464263204336</v>
      </c>
      <c r="P98" s="45">
        <f t="shared" si="37"/>
        <v>0.13593464263204336</v>
      </c>
    </row>
    <row r="99" spans="1:16" s="18" customFormat="1" ht="18.75" x14ac:dyDescent="0.25">
      <c r="A99" s="34" t="s">
        <v>244</v>
      </c>
      <c r="B99" s="34" t="s">
        <v>81</v>
      </c>
      <c r="C99" s="34" t="s">
        <v>19</v>
      </c>
      <c r="D99" s="52" t="s">
        <v>245</v>
      </c>
      <c r="E99" s="44">
        <f t="shared" si="33"/>
        <v>652500</v>
      </c>
      <c r="F99" s="73">
        <v>652500</v>
      </c>
      <c r="G99" s="73">
        <v>0</v>
      </c>
      <c r="H99" s="73">
        <v>0</v>
      </c>
      <c r="I99" s="73">
        <v>0</v>
      </c>
      <c r="J99" s="73">
        <v>0</v>
      </c>
      <c r="K99" s="74">
        <v>0</v>
      </c>
      <c r="L99" s="74">
        <v>0</v>
      </c>
      <c r="M99" s="45">
        <f t="shared" si="34"/>
        <v>0</v>
      </c>
      <c r="N99" s="45">
        <f t="shared" si="35"/>
        <v>0</v>
      </c>
      <c r="O99" s="45">
        <f t="shared" si="36"/>
        <v>0</v>
      </c>
      <c r="P99" s="45">
        <f t="shared" si="37"/>
        <v>0</v>
      </c>
    </row>
    <row r="100" spans="1:16" s="18" customFormat="1" ht="93.75" x14ac:dyDescent="0.25">
      <c r="A100" s="36" t="s">
        <v>344</v>
      </c>
      <c r="B100" s="34" t="s">
        <v>274</v>
      </c>
      <c r="C100" s="34" t="s">
        <v>19</v>
      </c>
      <c r="D100" s="52" t="s">
        <v>275</v>
      </c>
      <c r="E100" s="44">
        <f t="shared" si="33"/>
        <v>912700</v>
      </c>
      <c r="F100" s="73">
        <v>912700</v>
      </c>
      <c r="G100" s="73">
        <v>0</v>
      </c>
      <c r="H100" s="73">
        <v>0</v>
      </c>
      <c r="I100" s="44">
        <f t="shared" si="43"/>
        <v>0</v>
      </c>
      <c r="J100" s="73">
        <v>0</v>
      </c>
      <c r="K100" s="74">
        <v>0</v>
      </c>
      <c r="L100" s="74">
        <v>0</v>
      </c>
      <c r="M100" s="45">
        <f t="shared" si="34"/>
        <v>0</v>
      </c>
      <c r="N100" s="45">
        <f t="shared" si="35"/>
        <v>0</v>
      </c>
      <c r="O100" s="45">
        <f t="shared" si="36"/>
        <v>0</v>
      </c>
      <c r="P100" s="45">
        <f t="shared" si="37"/>
        <v>0</v>
      </c>
    </row>
    <row r="101" spans="1:16" s="17" customFormat="1" ht="112.5" x14ac:dyDescent="0.25">
      <c r="A101" s="34" t="s">
        <v>134</v>
      </c>
      <c r="B101" s="34" t="s">
        <v>135</v>
      </c>
      <c r="C101" s="34" t="s">
        <v>10</v>
      </c>
      <c r="D101" s="52" t="s">
        <v>246</v>
      </c>
      <c r="E101" s="44">
        <f t="shared" si="33"/>
        <v>3300000</v>
      </c>
      <c r="F101" s="73">
        <v>3300000</v>
      </c>
      <c r="G101" s="73">
        <v>0</v>
      </c>
      <c r="H101" s="73">
        <v>0</v>
      </c>
      <c r="I101" s="44">
        <f t="shared" si="43"/>
        <v>1185940.33</v>
      </c>
      <c r="J101" s="73">
        <v>1185940.33</v>
      </c>
      <c r="K101" s="74">
        <v>0</v>
      </c>
      <c r="L101" s="74">
        <v>0</v>
      </c>
      <c r="M101" s="45">
        <f t="shared" si="34"/>
        <v>0.35937585757575757</v>
      </c>
      <c r="N101" s="45">
        <f t="shared" si="35"/>
        <v>0.35937585757575757</v>
      </c>
      <c r="O101" s="45">
        <f t="shared" si="36"/>
        <v>0</v>
      </c>
      <c r="P101" s="45">
        <f t="shared" si="37"/>
        <v>0</v>
      </c>
    </row>
    <row r="102" spans="1:16" s="17" customFormat="1" ht="75" x14ac:dyDescent="0.25">
      <c r="A102" s="34" t="s">
        <v>164</v>
      </c>
      <c r="B102" s="34" t="s">
        <v>165</v>
      </c>
      <c r="C102" s="34" t="s">
        <v>10</v>
      </c>
      <c r="D102" s="52" t="s">
        <v>166</v>
      </c>
      <c r="E102" s="44">
        <f t="shared" si="33"/>
        <v>28720</v>
      </c>
      <c r="F102" s="73">
        <v>28720</v>
      </c>
      <c r="G102" s="73">
        <v>0</v>
      </c>
      <c r="H102" s="73">
        <v>0</v>
      </c>
      <c r="I102" s="44">
        <f t="shared" si="43"/>
        <v>5426.28</v>
      </c>
      <c r="J102" s="73">
        <v>5426.28</v>
      </c>
      <c r="K102" s="74">
        <v>0</v>
      </c>
      <c r="L102" s="74">
        <v>0</v>
      </c>
      <c r="M102" s="45">
        <f t="shared" si="34"/>
        <v>0.18893732590529247</v>
      </c>
      <c r="N102" s="45">
        <f t="shared" si="35"/>
        <v>0.18893732590529247</v>
      </c>
      <c r="O102" s="45">
        <f t="shared" si="36"/>
        <v>0</v>
      </c>
      <c r="P102" s="45">
        <f t="shared" si="37"/>
        <v>0</v>
      </c>
    </row>
    <row r="103" spans="1:16" s="41" customFormat="1" ht="112.5" x14ac:dyDescent="0.25">
      <c r="A103" s="34" t="s">
        <v>136</v>
      </c>
      <c r="B103" s="34" t="s">
        <v>137</v>
      </c>
      <c r="C103" s="34" t="s">
        <v>28</v>
      </c>
      <c r="D103" s="52" t="s">
        <v>247</v>
      </c>
      <c r="E103" s="44">
        <f t="shared" si="33"/>
        <v>1000000</v>
      </c>
      <c r="F103" s="73">
        <v>1000000</v>
      </c>
      <c r="G103" s="73">
        <v>0</v>
      </c>
      <c r="H103" s="73">
        <v>0</v>
      </c>
      <c r="I103" s="44">
        <f t="shared" si="43"/>
        <v>389372.41</v>
      </c>
      <c r="J103" s="73">
        <v>389372.41</v>
      </c>
      <c r="K103" s="74">
        <v>0</v>
      </c>
      <c r="L103" s="74">
        <v>0</v>
      </c>
      <c r="M103" s="45">
        <f t="shared" si="34"/>
        <v>0.38937241</v>
      </c>
      <c r="N103" s="45">
        <f t="shared" si="35"/>
        <v>0.38937241</v>
      </c>
      <c r="O103" s="45">
        <f t="shared" si="36"/>
        <v>0</v>
      </c>
      <c r="P103" s="45">
        <f t="shared" si="37"/>
        <v>0</v>
      </c>
    </row>
    <row r="104" spans="1:16" s="20" customFormat="1" ht="75" x14ac:dyDescent="0.25">
      <c r="A104" s="34" t="s">
        <v>138</v>
      </c>
      <c r="B104" s="34" t="s">
        <v>139</v>
      </c>
      <c r="C104" s="34" t="s">
        <v>14</v>
      </c>
      <c r="D104" s="52" t="s">
        <v>248</v>
      </c>
      <c r="E104" s="44">
        <f t="shared" si="33"/>
        <v>71000</v>
      </c>
      <c r="F104" s="73">
        <v>71000</v>
      </c>
      <c r="G104" s="73">
        <v>0</v>
      </c>
      <c r="H104" s="73">
        <v>0</v>
      </c>
      <c r="I104" s="44">
        <f t="shared" si="43"/>
        <v>24004.91</v>
      </c>
      <c r="J104" s="73">
        <v>24004.91</v>
      </c>
      <c r="K104" s="74">
        <v>0</v>
      </c>
      <c r="L104" s="74">
        <v>0</v>
      </c>
      <c r="M104" s="45">
        <f t="shared" si="34"/>
        <v>0.33809732394366199</v>
      </c>
      <c r="N104" s="45">
        <f t="shared" si="35"/>
        <v>0.33809732394366199</v>
      </c>
      <c r="O104" s="45">
        <f t="shared" si="36"/>
        <v>0</v>
      </c>
      <c r="P104" s="45">
        <f t="shared" si="37"/>
        <v>0</v>
      </c>
    </row>
    <row r="105" spans="1:16" s="20" customFormat="1" ht="112.5" x14ac:dyDescent="0.25">
      <c r="A105" s="36" t="s">
        <v>345</v>
      </c>
      <c r="B105" s="34">
        <v>3193</v>
      </c>
      <c r="C105" s="34">
        <v>1030</v>
      </c>
      <c r="D105" s="52" t="s">
        <v>346</v>
      </c>
      <c r="E105" s="44">
        <f t="shared" si="33"/>
        <v>604618</v>
      </c>
      <c r="F105" s="73">
        <v>604618</v>
      </c>
      <c r="G105" s="73">
        <v>0</v>
      </c>
      <c r="H105" s="74">
        <v>0</v>
      </c>
      <c r="I105" s="44">
        <f t="shared" si="43"/>
        <v>237436.09</v>
      </c>
      <c r="J105" s="73">
        <v>237436.09</v>
      </c>
      <c r="K105" s="74">
        <v>0</v>
      </c>
      <c r="L105" s="74">
        <v>0</v>
      </c>
      <c r="M105" s="45">
        <f t="shared" si="34"/>
        <v>0.39270430255136302</v>
      </c>
      <c r="N105" s="45">
        <f t="shared" si="35"/>
        <v>0.39270430255136302</v>
      </c>
      <c r="O105" s="45">
        <f t="shared" si="36"/>
        <v>0</v>
      </c>
      <c r="P105" s="45">
        <f t="shared" si="37"/>
        <v>0</v>
      </c>
    </row>
    <row r="106" spans="1:16" s="18" customFormat="1" ht="409.5" x14ac:dyDescent="0.25">
      <c r="A106" s="36" t="s">
        <v>418</v>
      </c>
      <c r="B106" s="34">
        <v>3225</v>
      </c>
      <c r="C106" s="34">
        <v>1060</v>
      </c>
      <c r="D106" s="52" t="s">
        <v>419</v>
      </c>
      <c r="E106" s="44">
        <f t="shared" si="33"/>
        <v>6648674</v>
      </c>
      <c r="F106" s="73">
        <v>0</v>
      </c>
      <c r="G106" s="73">
        <v>6648674</v>
      </c>
      <c r="H106" s="73">
        <v>6648674</v>
      </c>
      <c r="I106" s="74">
        <v>0</v>
      </c>
      <c r="J106" s="73">
        <v>0</v>
      </c>
      <c r="K106" s="74">
        <v>0</v>
      </c>
      <c r="L106" s="74">
        <v>0</v>
      </c>
      <c r="M106" s="45">
        <f t="shared" si="34"/>
        <v>0</v>
      </c>
      <c r="N106" s="45">
        <f t="shared" si="35"/>
        <v>0</v>
      </c>
      <c r="O106" s="45">
        <f t="shared" si="36"/>
        <v>0</v>
      </c>
      <c r="P106" s="45">
        <f t="shared" si="37"/>
        <v>0</v>
      </c>
    </row>
    <row r="107" spans="1:16" s="18" customFormat="1" ht="75" x14ac:dyDescent="0.25">
      <c r="A107" s="34" t="s">
        <v>262</v>
      </c>
      <c r="B107" s="34" t="s">
        <v>347</v>
      </c>
      <c r="C107" s="34" t="s">
        <v>33</v>
      </c>
      <c r="D107" s="52" t="s">
        <v>348</v>
      </c>
      <c r="E107" s="44">
        <f t="shared" si="33"/>
        <v>497600</v>
      </c>
      <c r="F107" s="73">
        <v>497600</v>
      </c>
      <c r="G107" s="73">
        <v>0</v>
      </c>
      <c r="H107" s="73">
        <v>0</v>
      </c>
      <c r="I107" s="44">
        <f t="shared" si="43"/>
        <v>12.5</v>
      </c>
      <c r="J107" s="73">
        <v>0</v>
      </c>
      <c r="K107" s="73">
        <v>12.5</v>
      </c>
      <c r="L107" s="73">
        <v>0</v>
      </c>
      <c r="M107" s="45">
        <f t="shared" si="34"/>
        <v>2.5120578778135048E-5</v>
      </c>
      <c r="N107" s="45">
        <f t="shared" si="35"/>
        <v>0</v>
      </c>
      <c r="O107" s="78" t="s">
        <v>426</v>
      </c>
      <c r="P107" s="45">
        <f t="shared" si="37"/>
        <v>0</v>
      </c>
    </row>
    <row r="108" spans="1:16" s="18" customFormat="1" ht="37.5" x14ac:dyDescent="0.25">
      <c r="A108" s="34" t="s">
        <v>144</v>
      </c>
      <c r="B108" s="34" t="s">
        <v>140</v>
      </c>
      <c r="C108" s="34" t="s">
        <v>3</v>
      </c>
      <c r="D108" s="52" t="s">
        <v>141</v>
      </c>
      <c r="E108" s="44">
        <f t="shared" si="33"/>
        <v>57048400</v>
      </c>
      <c r="F108" s="73">
        <v>57048400</v>
      </c>
      <c r="G108" s="73">
        <v>0</v>
      </c>
      <c r="H108" s="73">
        <v>0</v>
      </c>
      <c r="I108" s="44">
        <f t="shared" si="43"/>
        <v>23319345.380000003</v>
      </c>
      <c r="J108" s="73">
        <f>23081679.51+177653.37</f>
        <v>23259332.880000003</v>
      </c>
      <c r="K108" s="73">
        <v>60012.5</v>
      </c>
      <c r="L108" s="74">
        <v>0</v>
      </c>
      <c r="M108" s="45">
        <f t="shared" si="34"/>
        <v>0.40876423142454482</v>
      </c>
      <c r="N108" s="45">
        <f t="shared" si="35"/>
        <v>0.40771227378857255</v>
      </c>
      <c r="O108" s="78" t="s">
        <v>426</v>
      </c>
      <c r="P108" s="45">
        <f t="shared" si="37"/>
        <v>0</v>
      </c>
    </row>
    <row r="109" spans="1:16" s="20" customFormat="1" ht="37.5" x14ac:dyDescent="0.25">
      <c r="A109" s="36" t="s">
        <v>349</v>
      </c>
      <c r="B109" s="36" t="s">
        <v>315</v>
      </c>
      <c r="C109" s="36" t="s">
        <v>316</v>
      </c>
      <c r="D109" s="52" t="s">
        <v>317</v>
      </c>
      <c r="E109" s="44">
        <f t="shared" si="33"/>
        <v>383800</v>
      </c>
      <c r="F109" s="73">
        <f>F110+F111+F112</f>
        <v>383800</v>
      </c>
      <c r="G109" s="73">
        <v>0</v>
      </c>
      <c r="H109" s="74">
        <v>0</v>
      </c>
      <c r="I109" s="44">
        <f t="shared" si="43"/>
        <v>159174</v>
      </c>
      <c r="J109" s="73">
        <f>J110+J111+J112</f>
        <v>159174</v>
      </c>
      <c r="K109" s="74">
        <v>0</v>
      </c>
      <c r="L109" s="74">
        <v>0</v>
      </c>
      <c r="M109" s="45">
        <f t="shared" si="34"/>
        <v>0.41473163105784261</v>
      </c>
      <c r="N109" s="45">
        <f t="shared" si="35"/>
        <v>0.41473163105784261</v>
      </c>
      <c r="O109" s="45">
        <f t="shared" si="36"/>
        <v>0</v>
      </c>
      <c r="P109" s="45">
        <f t="shared" si="37"/>
        <v>0</v>
      </c>
    </row>
    <row r="110" spans="1:16" s="41" customFormat="1" ht="56.25" x14ac:dyDescent="0.25">
      <c r="A110" s="37"/>
      <c r="B110" s="37"/>
      <c r="C110" s="37"/>
      <c r="D110" s="58" t="s">
        <v>350</v>
      </c>
      <c r="E110" s="46">
        <f t="shared" si="33"/>
        <v>96200</v>
      </c>
      <c r="F110" s="74">
        <v>96200</v>
      </c>
      <c r="G110" s="74">
        <v>0</v>
      </c>
      <c r="H110" s="74">
        <v>0</v>
      </c>
      <c r="I110" s="46">
        <f t="shared" si="43"/>
        <v>27616</v>
      </c>
      <c r="J110" s="74">
        <v>27616</v>
      </c>
      <c r="K110" s="74">
        <v>0</v>
      </c>
      <c r="L110" s="74">
        <v>0</v>
      </c>
      <c r="M110" s="47">
        <f t="shared" si="34"/>
        <v>0.2870686070686071</v>
      </c>
      <c r="N110" s="47">
        <f t="shared" si="35"/>
        <v>0.2870686070686071</v>
      </c>
      <c r="O110" s="47">
        <f t="shared" si="36"/>
        <v>0</v>
      </c>
      <c r="P110" s="47">
        <f t="shared" si="37"/>
        <v>0</v>
      </c>
    </row>
    <row r="111" spans="1:16" s="17" customFormat="1" ht="56.25" x14ac:dyDescent="0.25">
      <c r="A111" s="37"/>
      <c r="B111" s="37"/>
      <c r="C111" s="37"/>
      <c r="D111" s="58" t="s">
        <v>351</v>
      </c>
      <c r="E111" s="46">
        <f t="shared" si="33"/>
        <v>232200</v>
      </c>
      <c r="F111" s="74">
        <v>232200</v>
      </c>
      <c r="G111" s="74">
        <v>0</v>
      </c>
      <c r="H111" s="74">
        <v>0</v>
      </c>
      <c r="I111" s="46">
        <f t="shared" si="43"/>
        <v>121672</v>
      </c>
      <c r="J111" s="74">
        <v>121672</v>
      </c>
      <c r="K111" s="74">
        <v>0</v>
      </c>
      <c r="L111" s="74">
        <v>0</v>
      </c>
      <c r="M111" s="47">
        <f t="shared" si="34"/>
        <v>0.52399655469422912</v>
      </c>
      <c r="N111" s="47">
        <f t="shared" si="35"/>
        <v>0.52399655469422912</v>
      </c>
      <c r="O111" s="47">
        <f t="shared" si="36"/>
        <v>0</v>
      </c>
      <c r="P111" s="47">
        <f t="shared" si="37"/>
        <v>0</v>
      </c>
    </row>
    <row r="112" spans="1:16" s="17" customFormat="1" ht="75" x14ac:dyDescent="0.25">
      <c r="A112" s="37"/>
      <c r="B112" s="37"/>
      <c r="C112" s="37"/>
      <c r="D112" s="58" t="s">
        <v>352</v>
      </c>
      <c r="E112" s="46">
        <f t="shared" si="33"/>
        <v>55400</v>
      </c>
      <c r="F112" s="74">
        <v>55400</v>
      </c>
      <c r="G112" s="74">
        <v>0</v>
      </c>
      <c r="H112" s="74">
        <v>0</v>
      </c>
      <c r="I112" s="46">
        <f t="shared" si="43"/>
        <v>9886</v>
      </c>
      <c r="J112" s="74">
        <v>9886</v>
      </c>
      <c r="K112" s="74">
        <v>0</v>
      </c>
      <c r="L112" s="74">
        <v>0</v>
      </c>
      <c r="M112" s="47">
        <f t="shared" si="34"/>
        <v>0.17844765342960289</v>
      </c>
      <c r="N112" s="47">
        <f t="shared" si="35"/>
        <v>0.17844765342960289</v>
      </c>
      <c r="O112" s="47">
        <f t="shared" si="36"/>
        <v>0</v>
      </c>
      <c r="P112" s="47">
        <f t="shared" si="37"/>
        <v>0</v>
      </c>
    </row>
    <row r="113" spans="1:18" s="20" customFormat="1" ht="56.25" x14ac:dyDescent="0.25">
      <c r="A113" s="33" t="s">
        <v>293</v>
      </c>
      <c r="B113" s="33" t="s">
        <v>223</v>
      </c>
      <c r="C113" s="33" t="s">
        <v>223</v>
      </c>
      <c r="D113" s="56" t="s">
        <v>353</v>
      </c>
      <c r="E113" s="43">
        <f>E114</f>
        <v>3720800</v>
      </c>
      <c r="F113" s="43">
        <f t="shared" ref="F113" si="46">F114</f>
        <v>3720800</v>
      </c>
      <c r="G113" s="74">
        <v>0</v>
      </c>
      <c r="H113" s="74">
        <v>0</v>
      </c>
      <c r="I113" s="43">
        <f>I114</f>
        <v>1748771.73</v>
      </c>
      <c r="J113" s="43">
        <f t="shared" ref="J113" si="47">J114</f>
        <v>1748771.73</v>
      </c>
      <c r="K113" s="74">
        <v>0</v>
      </c>
      <c r="L113" s="74">
        <v>0</v>
      </c>
      <c r="M113" s="42">
        <f t="shared" si="34"/>
        <v>0.46999885239733391</v>
      </c>
      <c r="N113" s="42">
        <f t="shared" si="35"/>
        <v>0.46999885239733391</v>
      </c>
      <c r="O113" s="42">
        <f t="shared" si="36"/>
        <v>0</v>
      </c>
      <c r="P113" s="42">
        <f t="shared" si="37"/>
        <v>0</v>
      </c>
    </row>
    <row r="114" spans="1:18" s="20" customFormat="1" ht="56.25" x14ac:dyDescent="0.25">
      <c r="A114" s="33" t="s">
        <v>294</v>
      </c>
      <c r="B114" s="33" t="s">
        <v>223</v>
      </c>
      <c r="C114" s="33" t="s">
        <v>223</v>
      </c>
      <c r="D114" s="56" t="s">
        <v>353</v>
      </c>
      <c r="E114" s="43">
        <f t="shared" si="33"/>
        <v>3720800</v>
      </c>
      <c r="F114" s="72">
        <f>F115+F116+F117</f>
        <v>3720800</v>
      </c>
      <c r="G114" s="74">
        <v>0</v>
      </c>
      <c r="H114" s="74">
        <v>0</v>
      </c>
      <c r="I114" s="43">
        <f t="shared" ref="I114:I117" si="48">J114+K114</f>
        <v>1748771.73</v>
      </c>
      <c r="J114" s="72">
        <f>J115+J116+J117</f>
        <v>1748771.73</v>
      </c>
      <c r="K114" s="74">
        <v>0</v>
      </c>
      <c r="L114" s="74">
        <v>0</v>
      </c>
      <c r="M114" s="42">
        <f t="shared" si="34"/>
        <v>0.46999885239733391</v>
      </c>
      <c r="N114" s="42">
        <f t="shared" si="35"/>
        <v>0.46999885239733391</v>
      </c>
      <c r="O114" s="42">
        <f t="shared" si="36"/>
        <v>0</v>
      </c>
      <c r="P114" s="42">
        <f t="shared" si="37"/>
        <v>0</v>
      </c>
    </row>
    <row r="115" spans="1:18" s="18" customFormat="1" ht="56.25" x14ac:dyDescent="0.25">
      <c r="A115" s="34" t="s">
        <v>295</v>
      </c>
      <c r="B115" s="34" t="s">
        <v>54</v>
      </c>
      <c r="C115" s="34" t="s">
        <v>2</v>
      </c>
      <c r="D115" s="52" t="s">
        <v>240</v>
      </c>
      <c r="E115" s="44">
        <f t="shared" si="33"/>
        <v>3342500</v>
      </c>
      <c r="F115" s="73">
        <v>3342500</v>
      </c>
      <c r="G115" s="74">
        <v>0</v>
      </c>
      <c r="H115" s="74">
        <v>0</v>
      </c>
      <c r="I115" s="44">
        <f t="shared" si="48"/>
        <v>1545291.73</v>
      </c>
      <c r="J115" s="73">
        <v>1545291.73</v>
      </c>
      <c r="K115" s="74">
        <v>0</v>
      </c>
      <c r="L115" s="74">
        <v>0</v>
      </c>
      <c r="M115" s="45">
        <f t="shared" si="34"/>
        <v>0.46231614958863126</v>
      </c>
      <c r="N115" s="45">
        <f t="shared" si="35"/>
        <v>0.46231614958863126</v>
      </c>
      <c r="O115" s="45">
        <f t="shared" si="36"/>
        <v>0</v>
      </c>
      <c r="P115" s="45">
        <f t="shared" si="37"/>
        <v>0</v>
      </c>
    </row>
    <row r="116" spans="1:18" s="18" customFormat="1" ht="37.5" x14ac:dyDescent="0.25">
      <c r="A116" s="34" t="s">
        <v>296</v>
      </c>
      <c r="B116" s="34" t="s">
        <v>34</v>
      </c>
      <c r="C116" s="34" t="s">
        <v>19</v>
      </c>
      <c r="D116" s="52" t="s">
        <v>43</v>
      </c>
      <c r="E116" s="44">
        <f t="shared" si="33"/>
        <v>278000</v>
      </c>
      <c r="F116" s="73">
        <v>278000</v>
      </c>
      <c r="G116" s="74">
        <v>0</v>
      </c>
      <c r="H116" s="74">
        <v>0</v>
      </c>
      <c r="I116" s="44">
        <f t="shared" si="48"/>
        <v>114080</v>
      </c>
      <c r="J116" s="73">
        <v>114080</v>
      </c>
      <c r="K116" s="74">
        <v>0</v>
      </c>
      <c r="L116" s="74">
        <v>0</v>
      </c>
      <c r="M116" s="45">
        <f t="shared" si="34"/>
        <v>0.41035971223021583</v>
      </c>
      <c r="N116" s="45">
        <f t="shared" si="35"/>
        <v>0.41035971223021583</v>
      </c>
      <c r="O116" s="45">
        <f t="shared" si="36"/>
        <v>0</v>
      </c>
      <c r="P116" s="45">
        <f t="shared" si="37"/>
        <v>0</v>
      </c>
    </row>
    <row r="117" spans="1:18" s="20" customFormat="1" ht="37.5" x14ac:dyDescent="0.25">
      <c r="A117" s="36" t="s">
        <v>354</v>
      </c>
      <c r="B117" s="36" t="s">
        <v>315</v>
      </c>
      <c r="C117" s="36" t="s">
        <v>316</v>
      </c>
      <c r="D117" s="52" t="s">
        <v>317</v>
      </c>
      <c r="E117" s="44">
        <f t="shared" si="33"/>
        <v>100300</v>
      </c>
      <c r="F117" s="73">
        <v>100300</v>
      </c>
      <c r="G117" s="74">
        <v>0</v>
      </c>
      <c r="H117" s="74">
        <v>0</v>
      </c>
      <c r="I117" s="44">
        <f t="shared" si="48"/>
        <v>89400</v>
      </c>
      <c r="J117" s="73">
        <v>89400</v>
      </c>
      <c r="K117" s="74">
        <v>0</v>
      </c>
      <c r="L117" s="74">
        <v>0</v>
      </c>
      <c r="M117" s="45">
        <f t="shared" si="34"/>
        <v>0.89132602193419741</v>
      </c>
      <c r="N117" s="45">
        <f t="shared" si="35"/>
        <v>0.89132602193419741</v>
      </c>
      <c r="O117" s="45">
        <f t="shared" si="36"/>
        <v>0</v>
      </c>
      <c r="P117" s="45">
        <f t="shared" si="37"/>
        <v>0</v>
      </c>
    </row>
    <row r="118" spans="1:18" s="20" customFormat="1" ht="56.25" x14ac:dyDescent="0.25">
      <c r="A118" s="33" t="s">
        <v>71</v>
      </c>
      <c r="B118" s="33" t="s">
        <v>223</v>
      </c>
      <c r="C118" s="33" t="s">
        <v>223</v>
      </c>
      <c r="D118" s="56" t="s">
        <v>249</v>
      </c>
      <c r="E118" s="43">
        <f>E119</f>
        <v>59733100</v>
      </c>
      <c r="F118" s="43">
        <f t="shared" ref="F118:H118" si="49">F119</f>
        <v>57867000</v>
      </c>
      <c r="G118" s="43">
        <f t="shared" si="49"/>
        <v>1866100</v>
      </c>
      <c r="H118" s="43">
        <f t="shared" si="49"/>
        <v>500100</v>
      </c>
      <c r="I118" s="43">
        <f>I119</f>
        <v>29293461.739999998</v>
      </c>
      <c r="J118" s="43">
        <f t="shared" ref="J118" si="50">J119</f>
        <v>28564143.399999999</v>
      </c>
      <c r="K118" s="43">
        <f t="shared" ref="K118" si="51">K119</f>
        <v>729318.34</v>
      </c>
      <c r="L118" s="43">
        <f t="shared" ref="L118" si="52">L119</f>
        <v>230000</v>
      </c>
      <c r="M118" s="42">
        <f t="shared" si="34"/>
        <v>0.49040585102731982</v>
      </c>
      <c r="N118" s="42">
        <f t="shared" si="35"/>
        <v>0.49361714621459551</v>
      </c>
      <c r="O118" s="42">
        <f t="shared" si="36"/>
        <v>0.39082489684368465</v>
      </c>
      <c r="P118" s="42">
        <f t="shared" si="37"/>
        <v>0.45990801839632073</v>
      </c>
    </row>
    <row r="119" spans="1:18" s="20" customFormat="1" ht="56.25" x14ac:dyDescent="0.25">
      <c r="A119" s="33" t="s">
        <v>72</v>
      </c>
      <c r="B119" s="33" t="s">
        <v>223</v>
      </c>
      <c r="C119" s="33" t="s">
        <v>223</v>
      </c>
      <c r="D119" s="56" t="s">
        <v>249</v>
      </c>
      <c r="E119" s="43">
        <f t="shared" si="33"/>
        <v>59733100</v>
      </c>
      <c r="F119" s="72">
        <f>F120+F121+F122+F123+F124+F125+F126+F127+F128</f>
        <v>57867000</v>
      </c>
      <c r="G119" s="72">
        <f t="shared" ref="G119:H119" si="53">G120+G121+G122+G123+G124+G125+G126+G127+G128</f>
        <v>1866100</v>
      </c>
      <c r="H119" s="72">
        <f t="shared" si="53"/>
        <v>500100</v>
      </c>
      <c r="I119" s="43">
        <f t="shared" ref="I119:I182" si="54">J119+K119</f>
        <v>29293461.739999998</v>
      </c>
      <c r="J119" s="72">
        <f>J120+J121+J122+J123+J124+J125+J126+J127+J128</f>
        <v>28564143.399999999</v>
      </c>
      <c r="K119" s="72">
        <f t="shared" ref="K119" si="55">K120+K121+K122+K123+K124+K125+K126+K127+K128</f>
        <v>729318.34</v>
      </c>
      <c r="L119" s="72">
        <f t="shared" ref="L119" si="56">L120+L121+L122+L123+L124+L125+L126+L127+L128</f>
        <v>230000</v>
      </c>
      <c r="M119" s="42">
        <f t="shared" si="34"/>
        <v>0.49040585102731982</v>
      </c>
      <c r="N119" s="42">
        <f t="shared" si="35"/>
        <v>0.49361714621459551</v>
      </c>
      <c r="O119" s="42">
        <f t="shared" si="36"/>
        <v>0.39082489684368465</v>
      </c>
      <c r="P119" s="42">
        <f t="shared" si="37"/>
        <v>0.45990801839632073</v>
      </c>
    </row>
    <row r="120" spans="1:18" s="20" customFormat="1" ht="56.25" x14ac:dyDescent="0.25">
      <c r="A120" s="34" t="s">
        <v>73</v>
      </c>
      <c r="B120" s="34" t="s">
        <v>54</v>
      </c>
      <c r="C120" s="34" t="s">
        <v>2</v>
      </c>
      <c r="D120" s="52" t="s">
        <v>240</v>
      </c>
      <c r="E120" s="44">
        <f t="shared" si="33"/>
        <v>1352500</v>
      </c>
      <c r="F120" s="73">
        <v>1352500</v>
      </c>
      <c r="G120" s="73">
        <v>0</v>
      </c>
      <c r="H120" s="73">
        <v>0</v>
      </c>
      <c r="I120" s="44">
        <f t="shared" si="54"/>
        <v>640077.57999999996</v>
      </c>
      <c r="J120" s="73">
        <v>640077.57999999996</v>
      </c>
      <c r="K120" s="74">
        <v>0</v>
      </c>
      <c r="L120" s="74">
        <v>0</v>
      </c>
      <c r="M120" s="45">
        <f t="shared" si="34"/>
        <v>0.47325514232902033</v>
      </c>
      <c r="N120" s="45">
        <f t="shared" si="35"/>
        <v>0.47325514232902033</v>
      </c>
      <c r="O120" s="45">
        <f t="shared" si="36"/>
        <v>0</v>
      </c>
      <c r="P120" s="45">
        <f t="shared" si="37"/>
        <v>0</v>
      </c>
      <c r="R120" s="21"/>
    </row>
    <row r="121" spans="1:18" s="20" customFormat="1" ht="37.5" x14ac:dyDescent="0.25">
      <c r="A121" s="34" t="s">
        <v>200</v>
      </c>
      <c r="B121" s="34" t="s">
        <v>201</v>
      </c>
      <c r="C121" s="34" t="s">
        <v>16</v>
      </c>
      <c r="D121" s="52" t="s">
        <v>250</v>
      </c>
      <c r="E121" s="44">
        <f t="shared" si="33"/>
        <v>26722400</v>
      </c>
      <c r="F121" s="73">
        <v>25636400</v>
      </c>
      <c r="G121" s="73">
        <v>1086000</v>
      </c>
      <c r="H121" s="73">
        <v>0</v>
      </c>
      <c r="I121" s="44">
        <f t="shared" si="54"/>
        <v>14298551.470000001</v>
      </c>
      <c r="J121" s="73">
        <v>13996695.67</v>
      </c>
      <c r="K121" s="73">
        <f>301855.8</f>
        <v>301855.8</v>
      </c>
      <c r="L121" s="74">
        <v>0</v>
      </c>
      <c r="M121" s="45">
        <f t="shared" si="34"/>
        <v>0.53507736842499176</v>
      </c>
      <c r="N121" s="45">
        <f t="shared" si="35"/>
        <v>0.54596962405017868</v>
      </c>
      <c r="O121" s="45">
        <f t="shared" si="36"/>
        <v>0.27795193370165744</v>
      </c>
      <c r="P121" s="45">
        <f t="shared" si="37"/>
        <v>0</v>
      </c>
      <c r="R121" s="21"/>
    </row>
    <row r="122" spans="1:18" s="18" customFormat="1" ht="93.75" x14ac:dyDescent="0.25">
      <c r="A122" s="34" t="s">
        <v>355</v>
      </c>
      <c r="B122" s="34" t="s">
        <v>274</v>
      </c>
      <c r="C122" s="34" t="s">
        <v>19</v>
      </c>
      <c r="D122" s="52" t="s">
        <v>275</v>
      </c>
      <c r="E122" s="44">
        <f t="shared" si="33"/>
        <v>150000</v>
      </c>
      <c r="F122" s="73">
        <v>150000</v>
      </c>
      <c r="G122" s="73">
        <v>0</v>
      </c>
      <c r="H122" s="73">
        <v>0</v>
      </c>
      <c r="I122" s="44">
        <f t="shared" si="54"/>
        <v>84660</v>
      </c>
      <c r="J122" s="73">
        <v>84660</v>
      </c>
      <c r="K122" s="74">
        <v>0</v>
      </c>
      <c r="L122" s="74">
        <v>0</v>
      </c>
      <c r="M122" s="45">
        <f t="shared" si="34"/>
        <v>0.56440000000000001</v>
      </c>
      <c r="N122" s="45">
        <f t="shared" si="35"/>
        <v>0.56440000000000001</v>
      </c>
      <c r="O122" s="45">
        <f t="shared" si="36"/>
        <v>0</v>
      </c>
      <c r="P122" s="45">
        <f t="shared" si="37"/>
        <v>0</v>
      </c>
      <c r="Q122" s="20"/>
      <c r="R122" s="21"/>
    </row>
    <row r="123" spans="1:18" s="18" customFormat="1" ht="18.75" x14ac:dyDescent="0.25">
      <c r="A123" s="34" t="s">
        <v>75</v>
      </c>
      <c r="B123" s="34" t="s">
        <v>74</v>
      </c>
      <c r="C123" s="34" t="s">
        <v>36</v>
      </c>
      <c r="D123" s="52" t="s">
        <v>76</v>
      </c>
      <c r="E123" s="44">
        <f t="shared" si="33"/>
        <v>9545700</v>
      </c>
      <c r="F123" s="73">
        <v>9465700</v>
      </c>
      <c r="G123" s="73">
        <v>80000</v>
      </c>
      <c r="H123" s="73">
        <v>0</v>
      </c>
      <c r="I123" s="44">
        <f t="shared" si="54"/>
        <v>4414846.57</v>
      </c>
      <c r="J123" s="73">
        <v>4390638.07</v>
      </c>
      <c r="K123" s="73">
        <f>24208.5</f>
        <v>24208.5</v>
      </c>
      <c r="L123" s="74">
        <v>0</v>
      </c>
      <c r="M123" s="45">
        <f t="shared" si="34"/>
        <v>0.46249584315450937</v>
      </c>
      <c r="N123" s="45">
        <f t="shared" si="35"/>
        <v>0.46384716080163119</v>
      </c>
      <c r="O123" s="45">
        <f t="shared" si="36"/>
        <v>0.30260625000000002</v>
      </c>
      <c r="P123" s="45">
        <f t="shared" si="37"/>
        <v>0</v>
      </c>
      <c r="Q123" s="20"/>
      <c r="R123" s="21"/>
    </row>
    <row r="124" spans="1:18" s="18" customFormat="1" ht="18.75" x14ac:dyDescent="0.25">
      <c r="A124" s="34" t="s">
        <v>78</v>
      </c>
      <c r="B124" s="34" t="s">
        <v>77</v>
      </c>
      <c r="C124" s="34" t="s">
        <v>36</v>
      </c>
      <c r="D124" s="52" t="s">
        <v>251</v>
      </c>
      <c r="E124" s="44">
        <f t="shared" si="33"/>
        <v>4168000</v>
      </c>
      <c r="F124" s="73">
        <v>4128000</v>
      </c>
      <c r="G124" s="73">
        <v>40000</v>
      </c>
      <c r="H124" s="73">
        <v>0</v>
      </c>
      <c r="I124" s="44">
        <f t="shared" si="54"/>
        <v>1978918.27</v>
      </c>
      <c r="J124" s="73">
        <v>1968480.27</v>
      </c>
      <c r="K124" s="73">
        <f>10438</f>
        <v>10438</v>
      </c>
      <c r="L124" s="74">
        <v>0</v>
      </c>
      <c r="M124" s="45">
        <f t="shared" si="34"/>
        <v>0.47478845249520152</v>
      </c>
      <c r="N124" s="45">
        <f t="shared" si="35"/>
        <v>0.47686053052325583</v>
      </c>
      <c r="O124" s="45">
        <f t="shared" si="36"/>
        <v>0.26095000000000002</v>
      </c>
      <c r="P124" s="45">
        <f t="shared" si="37"/>
        <v>0</v>
      </c>
      <c r="Q124" s="20"/>
      <c r="R124" s="21"/>
    </row>
    <row r="125" spans="1:18" s="18" customFormat="1" ht="56.25" x14ac:dyDescent="0.25">
      <c r="A125" s="34" t="s">
        <v>79</v>
      </c>
      <c r="B125" s="34" t="s">
        <v>35</v>
      </c>
      <c r="C125" s="34" t="s">
        <v>37</v>
      </c>
      <c r="D125" s="52" t="s">
        <v>252</v>
      </c>
      <c r="E125" s="44">
        <f t="shared" si="33"/>
        <v>14262200</v>
      </c>
      <c r="F125" s="73">
        <v>13682100</v>
      </c>
      <c r="G125" s="73">
        <v>580100</v>
      </c>
      <c r="H125" s="73">
        <v>420100</v>
      </c>
      <c r="I125" s="44">
        <f t="shared" si="54"/>
        <v>6300493.6799999997</v>
      </c>
      <c r="J125" s="73">
        <v>5907677.6399999997</v>
      </c>
      <c r="K125" s="73">
        <f>230000+134063.98+28752.06</f>
        <v>392816.04</v>
      </c>
      <c r="L125" s="73">
        <v>230000</v>
      </c>
      <c r="M125" s="45">
        <f t="shared" si="34"/>
        <v>0.44176169735384441</v>
      </c>
      <c r="N125" s="45">
        <f t="shared" si="35"/>
        <v>0.43178149845418462</v>
      </c>
      <c r="O125" s="45">
        <f t="shared" si="36"/>
        <v>0.67715228408895012</v>
      </c>
      <c r="P125" s="45">
        <f t="shared" si="37"/>
        <v>0.54748869316829329</v>
      </c>
      <c r="Q125" s="20"/>
      <c r="R125" s="21"/>
    </row>
    <row r="126" spans="1:18" s="18" customFormat="1" ht="37.5" x14ac:dyDescent="0.25">
      <c r="A126" s="34" t="s">
        <v>145</v>
      </c>
      <c r="B126" s="34" t="s">
        <v>126</v>
      </c>
      <c r="C126" s="34" t="s">
        <v>38</v>
      </c>
      <c r="D126" s="52" t="s">
        <v>127</v>
      </c>
      <c r="E126" s="44">
        <f t="shared" si="33"/>
        <v>2595800</v>
      </c>
      <c r="F126" s="73">
        <v>2595800</v>
      </c>
      <c r="G126" s="73">
        <v>0</v>
      </c>
      <c r="H126" s="73">
        <v>0</v>
      </c>
      <c r="I126" s="44">
        <f t="shared" si="54"/>
        <v>1226734.52</v>
      </c>
      <c r="J126" s="73">
        <v>1226734.52</v>
      </c>
      <c r="K126" s="74">
        <v>0</v>
      </c>
      <c r="L126" s="74">
        <v>0</v>
      </c>
      <c r="M126" s="45">
        <f t="shared" si="34"/>
        <v>0.47258437475922643</v>
      </c>
      <c r="N126" s="45">
        <f t="shared" si="35"/>
        <v>0.47258437475922643</v>
      </c>
      <c r="O126" s="45">
        <f t="shared" si="36"/>
        <v>0</v>
      </c>
      <c r="P126" s="45">
        <f t="shared" si="37"/>
        <v>0</v>
      </c>
      <c r="Q126" s="20"/>
      <c r="R126" s="21"/>
    </row>
    <row r="127" spans="1:18" s="18" customFormat="1" ht="18.75" x14ac:dyDescent="0.25">
      <c r="A127" s="34" t="s">
        <v>124</v>
      </c>
      <c r="B127" s="34" t="s">
        <v>125</v>
      </c>
      <c r="C127" s="34" t="s">
        <v>38</v>
      </c>
      <c r="D127" s="52" t="s">
        <v>128</v>
      </c>
      <c r="E127" s="44">
        <f t="shared" si="33"/>
        <v>680000</v>
      </c>
      <c r="F127" s="73">
        <v>680000</v>
      </c>
      <c r="G127" s="73">
        <v>0</v>
      </c>
      <c r="H127" s="73">
        <v>0</v>
      </c>
      <c r="I127" s="44">
        <f t="shared" si="54"/>
        <v>266441</v>
      </c>
      <c r="J127" s="73">
        <v>266441</v>
      </c>
      <c r="K127" s="74">
        <v>0</v>
      </c>
      <c r="L127" s="74">
        <v>0</v>
      </c>
      <c r="M127" s="45">
        <f t="shared" si="34"/>
        <v>0.39182499999999998</v>
      </c>
      <c r="N127" s="45">
        <f t="shared" si="35"/>
        <v>0.39182499999999998</v>
      </c>
      <c r="O127" s="45">
        <f t="shared" si="36"/>
        <v>0</v>
      </c>
      <c r="P127" s="45">
        <f t="shared" si="37"/>
        <v>0</v>
      </c>
      <c r="Q127" s="20"/>
      <c r="R127" s="21"/>
    </row>
    <row r="128" spans="1:18" s="20" customFormat="1" ht="37.5" x14ac:dyDescent="0.25">
      <c r="A128" s="36" t="s">
        <v>356</v>
      </c>
      <c r="B128" s="36" t="s">
        <v>315</v>
      </c>
      <c r="C128" s="36" t="s">
        <v>316</v>
      </c>
      <c r="D128" s="52" t="s">
        <v>317</v>
      </c>
      <c r="E128" s="44">
        <f t="shared" si="33"/>
        <v>256500</v>
      </c>
      <c r="F128" s="73">
        <v>176500</v>
      </c>
      <c r="G128" s="73">
        <v>80000</v>
      </c>
      <c r="H128" s="73">
        <v>80000</v>
      </c>
      <c r="I128" s="44">
        <f t="shared" si="54"/>
        <v>82738.649999999994</v>
      </c>
      <c r="J128" s="73">
        <v>82738.649999999994</v>
      </c>
      <c r="K128" s="74">
        <v>0</v>
      </c>
      <c r="L128" s="74">
        <v>0</v>
      </c>
      <c r="M128" s="45">
        <f t="shared" si="34"/>
        <v>0.32256783625730989</v>
      </c>
      <c r="N128" s="45">
        <f t="shared" si="35"/>
        <v>0.46877422096317278</v>
      </c>
      <c r="O128" s="45">
        <f t="shared" si="36"/>
        <v>0</v>
      </c>
      <c r="P128" s="45">
        <f t="shared" si="37"/>
        <v>0</v>
      </c>
      <c r="R128" s="21"/>
    </row>
    <row r="129" spans="1:18" s="20" customFormat="1" ht="56.25" x14ac:dyDescent="0.25">
      <c r="A129" s="33" t="s">
        <v>22</v>
      </c>
      <c r="B129" s="33" t="s">
        <v>223</v>
      </c>
      <c r="C129" s="33" t="s">
        <v>223</v>
      </c>
      <c r="D129" s="56" t="s">
        <v>357</v>
      </c>
      <c r="E129" s="43">
        <f t="shared" si="33"/>
        <v>10551956</v>
      </c>
      <c r="F129" s="72">
        <f>F130</f>
        <v>10516956</v>
      </c>
      <c r="G129" s="72">
        <f t="shared" ref="G129:H129" si="57">G130</f>
        <v>35000</v>
      </c>
      <c r="H129" s="72">
        <f t="shared" si="57"/>
        <v>35000</v>
      </c>
      <c r="I129" s="43">
        <f t="shared" si="54"/>
        <v>4456277.09</v>
      </c>
      <c r="J129" s="72">
        <f>J130</f>
        <v>4362981.43</v>
      </c>
      <c r="K129" s="72">
        <f t="shared" ref="K129" si="58">K130</f>
        <v>93295.66</v>
      </c>
      <c r="L129" s="72">
        <f t="shared" ref="L129" si="59">L130</f>
        <v>35000</v>
      </c>
      <c r="M129" s="42">
        <f t="shared" si="34"/>
        <v>0.42231763381120996</v>
      </c>
      <c r="N129" s="42">
        <f t="shared" si="35"/>
        <v>0.41485211405277339</v>
      </c>
      <c r="O129" s="79" t="s">
        <v>427</v>
      </c>
      <c r="P129" s="42">
        <f t="shared" si="37"/>
        <v>1</v>
      </c>
      <c r="R129" s="21"/>
    </row>
    <row r="130" spans="1:18" s="20" customFormat="1" ht="56.25" x14ac:dyDescent="0.25">
      <c r="A130" s="33" t="s">
        <v>23</v>
      </c>
      <c r="B130" s="33" t="s">
        <v>223</v>
      </c>
      <c r="C130" s="33" t="s">
        <v>223</v>
      </c>
      <c r="D130" s="56" t="s">
        <v>357</v>
      </c>
      <c r="E130" s="43">
        <f t="shared" si="33"/>
        <v>10551956</v>
      </c>
      <c r="F130" s="72">
        <f>F131+F132+F133+F134+F135+F136+F137</f>
        <v>10516956</v>
      </c>
      <c r="G130" s="72">
        <f t="shared" ref="G130:H130" si="60">G131+G132+G133+G134+G135+G136+G137</f>
        <v>35000</v>
      </c>
      <c r="H130" s="72">
        <f t="shared" si="60"/>
        <v>35000</v>
      </c>
      <c r="I130" s="43">
        <f t="shared" si="54"/>
        <v>4456277.09</v>
      </c>
      <c r="J130" s="72">
        <f>J131+J132+J133+J134+J135+J136+J137</f>
        <v>4362981.43</v>
      </c>
      <c r="K130" s="72">
        <f t="shared" ref="K130" si="61">K131+K132+K133+K134+K135+K136+K137</f>
        <v>93295.66</v>
      </c>
      <c r="L130" s="72">
        <f t="shared" ref="L130" si="62">L131+L132+L133+L134+L135+L136+L137</f>
        <v>35000</v>
      </c>
      <c r="M130" s="42">
        <f t="shared" si="34"/>
        <v>0.42231763381120996</v>
      </c>
      <c r="N130" s="42">
        <f t="shared" si="35"/>
        <v>0.41485211405277339</v>
      </c>
      <c r="O130" s="79" t="s">
        <v>427</v>
      </c>
      <c r="P130" s="42">
        <f t="shared" si="37"/>
        <v>1</v>
      </c>
      <c r="R130" s="21"/>
    </row>
    <row r="131" spans="1:18" s="18" customFormat="1" ht="56.25" x14ac:dyDescent="0.25">
      <c r="A131" s="34" t="s">
        <v>80</v>
      </c>
      <c r="B131" s="34" t="s">
        <v>54</v>
      </c>
      <c r="C131" s="34" t="s">
        <v>2</v>
      </c>
      <c r="D131" s="52" t="s">
        <v>240</v>
      </c>
      <c r="E131" s="44">
        <f t="shared" si="33"/>
        <v>2813600</v>
      </c>
      <c r="F131" s="73">
        <v>2778600</v>
      </c>
      <c r="G131" s="73">
        <v>35000</v>
      </c>
      <c r="H131" s="73">
        <v>35000</v>
      </c>
      <c r="I131" s="44">
        <f t="shared" si="54"/>
        <v>1474758.54</v>
      </c>
      <c r="J131" s="73">
        <v>1439758.54</v>
      </c>
      <c r="K131" s="73">
        <f>35000</f>
        <v>35000</v>
      </c>
      <c r="L131" s="73">
        <v>35000</v>
      </c>
      <c r="M131" s="45">
        <f t="shared" si="34"/>
        <v>0.52415358970713677</v>
      </c>
      <c r="N131" s="45">
        <f t="shared" si="35"/>
        <v>0.51815969912905779</v>
      </c>
      <c r="O131" s="45">
        <f t="shared" si="36"/>
        <v>1</v>
      </c>
      <c r="P131" s="45">
        <f t="shared" si="37"/>
        <v>1</v>
      </c>
      <c r="Q131" s="20"/>
      <c r="R131" s="21"/>
    </row>
    <row r="132" spans="1:18" s="20" customFormat="1" ht="75" x14ac:dyDescent="0.25">
      <c r="A132" s="34" t="s">
        <v>83</v>
      </c>
      <c r="B132" s="34" t="s">
        <v>82</v>
      </c>
      <c r="C132" s="34" t="s">
        <v>19</v>
      </c>
      <c r="D132" s="52" t="s">
        <v>358</v>
      </c>
      <c r="E132" s="44">
        <f t="shared" si="33"/>
        <v>1921300</v>
      </c>
      <c r="F132" s="73">
        <v>1921300</v>
      </c>
      <c r="G132" s="73">
        <v>0</v>
      </c>
      <c r="H132" s="73">
        <v>0</v>
      </c>
      <c r="I132" s="44">
        <f t="shared" si="54"/>
        <v>761491.64</v>
      </c>
      <c r="J132" s="73">
        <f>271574+431621.98</f>
        <v>703195.98</v>
      </c>
      <c r="K132" s="73">
        <v>58295.66</v>
      </c>
      <c r="L132" s="74">
        <v>0</v>
      </c>
      <c r="M132" s="45">
        <f t="shared" si="34"/>
        <v>0.39634187269036592</v>
      </c>
      <c r="N132" s="45">
        <f t="shared" si="35"/>
        <v>0.36600009368656639</v>
      </c>
      <c r="O132" s="80" t="s">
        <v>426</v>
      </c>
      <c r="P132" s="45">
        <f t="shared" si="37"/>
        <v>0</v>
      </c>
      <c r="R132" s="21"/>
    </row>
    <row r="133" spans="1:18" s="18" customFormat="1" ht="37.5" x14ac:dyDescent="0.25">
      <c r="A133" s="34" t="s">
        <v>25</v>
      </c>
      <c r="B133" s="34" t="s">
        <v>24</v>
      </c>
      <c r="C133" s="34" t="s">
        <v>20</v>
      </c>
      <c r="D133" s="52" t="s">
        <v>42</v>
      </c>
      <c r="E133" s="44">
        <f t="shared" si="33"/>
        <v>1449000</v>
      </c>
      <c r="F133" s="73">
        <v>1449000</v>
      </c>
      <c r="G133" s="73">
        <v>0</v>
      </c>
      <c r="H133" s="73">
        <v>0</v>
      </c>
      <c r="I133" s="44">
        <f t="shared" si="54"/>
        <v>506600</v>
      </c>
      <c r="J133" s="73">
        <v>506600</v>
      </c>
      <c r="K133" s="74">
        <v>0</v>
      </c>
      <c r="L133" s="74">
        <v>0</v>
      </c>
      <c r="M133" s="45">
        <f t="shared" si="34"/>
        <v>0.34962042788129744</v>
      </c>
      <c r="N133" s="45">
        <f t="shared" si="35"/>
        <v>0.34962042788129744</v>
      </c>
      <c r="O133" s="45">
        <f t="shared" si="36"/>
        <v>0</v>
      </c>
      <c r="P133" s="45">
        <f t="shared" si="37"/>
        <v>0</v>
      </c>
      <c r="Q133" s="20"/>
      <c r="R133" s="21"/>
    </row>
    <row r="134" spans="1:18" s="18" customFormat="1" ht="37.5" x14ac:dyDescent="0.25">
      <c r="A134" s="34" t="s">
        <v>44</v>
      </c>
      <c r="B134" s="34" t="s">
        <v>45</v>
      </c>
      <c r="C134" s="34" t="s">
        <v>20</v>
      </c>
      <c r="D134" s="52" t="s">
        <v>46</v>
      </c>
      <c r="E134" s="44">
        <f t="shared" si="33"/>
        <v>1039000</v>
      </c>
      <c r="F134" s="73">
        <v>1039000</v>
      </c>
      <c r="G134" s="73">
        <v>0</v>
      </c>
      <c r="H134" s="73">
        <v>0</v>
      </c>
      <c r="I134" s="44">
        <f t="shared" si="54"/>
        <v>455248.71</v>
      </c>
      <c r="J134" s="73">
        <v>455248.71</v>
      </c>
      <c r="K134" s="74">
        <v>0</v>
      </c>
      <c r="L134" s="74">
        <v>0</v>
      </c>
      <c r="M134" s="45">
        <f t="shared" si="34"/>
        <v>0.43816045235803658</v>
      </c>
      <c r="N134" s="45">
        <f t="shared" si="35"/>
        <v>0.43816045235803658</v>
      </c>
      <c r="O134" s="45">
        <f t="shared" si="36"/>
        <v>0</v>
      </c>
      <c r="P134" s="45">
        <f t="shared" si="37"/>
        <v>0</v>
      </c>
    </row>
    <row r="135" spans="1:18" s="18" customFormat="1" ht="56.25" x14ac:dyDescent="0.25">
      <c r="A135" s="34">
        <v>1115049</v>
      </c>
      <c r="B135" s="34">
        <v>5049</v>
      </c>
      <c r="C135" s="34" t="s">
        <v>20</v>
      </c>
      <c r="D135" s="52" t="s">
        <v>420</v>
      </c>
      <c r="E135" s="44">
        <f t="shared" si="33"/>
        <v>114192</v>
      </c>
      <c r="F135" s="73">
        <v>114192</v>
      </c>
      <c r="G135" s="74">
        <v>0</v>
      </c>
      <c r="H135" s="74">
        <v>0</v>
      </c>
      <c r="I135" s="44">
        <f t="shared" si="54"/>
        <v>11712</v>
      </c>
      <c r="J135" s="73">
        <v>11712</v>
      </c>
      <c r="K135" s="74">
        <v>0</v>
      </c>
      <c r="L135" s="74">
        <v>0</v>
      </c>
      <c r="M135" s="45">
        <f t="shared" si="34"/>
        <v>0.10256410256410256</v>
      </c>
      <c r="N135" s="45">
        <f t="shared" si="35"/>
        <v>0.10256410256410256</v>
      </c>
      <c r="O135" s="45">
        <f t="shared" si="36"/>
        <v>0</v>
      </c>
      <c r="P135" s="45">
        <f t="shared" si="37"/>
        <v>0</v>
      </c>
    </row>
    <row r="136" spans="1:18" s="18" customFormat="1" ht="75" x14ac:dyDescent="0.25">
      <c r="A136" s="34" t="s">
        <v>48</v>
      </c>
      <c r="B136" s="34" t="s">
        <v>49</v>
      </c>
      <c r="C136" s="34" t="s">
        <v>20</v>
      </c>
      <c r="D136" s="52" t="s">
        <v>421</v>
      </c>
      <c r="E136" s="44">
        <f t="shared" si="33"/>
        <v>3149864</v>
      </c>
      <c r="F136" s="73">
        <v>3149864</v>
      </c>
      <c r="G136" s="73">
        <v>0</v>
      </c>
      <c r="H136" s="73">
        <v>0</v>
      </c>
      <c r="I136" s="44">
        <f t="shared" si="54"/>
        <v>1221706.2</v>
      </c>
      <c r="J136" s="73">
        <v>1221706.2</v>
      </c>
      <c r="K136" s="74">
        <v>0</v>
      </c>
      <c r="L136" s="74">
        <v>0</v>
      </c>
      <c r="M136" s="45">
        <f t="shared" si="34"/>
        <v>0.3878599837961258</v>
      </c>
      <c r="N136" s="45">
        <f t="shared" si="35"/>
        <v>0.3878599837961258</v>
      </c>
      <c r="O136" s="45">
        <f t="shared" si="36"/>
        <v>0</v>
      </c>
      <c r="P136" s="45">
        <f t="shared" si="37"/>
        <v>0</v>
      </c>
    </row>
    <row r="137" spans="1:18" s="20" customFormat="1" ht="37.5" x14ac:dyDescent="0.25">
      <c r="A137" s="36" t="s">
        <v>359</v>
      </c>
      <c r="B137" s="36" t="s">
        <v>315</v>
      </c>
      <c r="C137" s="36" t="s">
        <v>316</v>
      </c>
      <c r="D137" s="52" t="s">
        <v>317</v>
      </c>
      <c r="E137" s="44">
        <f t="shared" si="33"/>
        <v>65000</v>
      </c>
      <c r="F137" s="73">
        <v>65000</v>
      </c>
      <c r="G137" s="73">
        <v>0</v>
      </c>
      <c r="H137" s="74">
        <v>0</v>
      </c>
      <c r="I137" s="44">
        <f t="shared" si="54"/>
        <v>24760</v>
      </c>
      <c r="J137" s="73">
        <f>8560+16200</f>
        <v>24760</v>
      </c>
      <c r="K137" s="74">
        <v>0</v>
      </c>
      <c r="L137" s="74">
        <v>0</v>
      </c>
      <c r="M137" s="45">
        <f t="shared" si="34"/>
        <v>0.38092307692307692</v>
      </c>
      <c r="N137" s="45">
        <f t="shared" si="35"/>
        <v>0.38092307692307692</v>
      </c>
      <c r="O137" s="45">
        <f t="shared" si="36"/>
        <v>0</v>
      </c>
      <c r="P137" s="45">
        <f t="shared" si="37"/>
        <v>0</v>
      </c>
    </row>
    <row r="138" spans="1:18" s="20" customFormat="1" ht="75" x14ac:dyDescent="0.25">
      <c r="A138" s="33" t="s">
        <v>84</v>
      </c>
      <c r="B138" s="33" t="s">
        <v>223</v>
      </c>
      <c r="C138" s="33" t="s">
        <v>223</v>
      </c>
      <c r="D138" s="56" t="s">
        <v>253</v>
      </c>
      <c r="E138" s="43">
        <f t="shared" si="33"/>
        <v>209080615.18000001</v>
      </c>
      <c r="F138" s="72">
        <f>F139</f>
        <v>183946332</v>
      </c>
      <c r="G138" s="72">
        <f t="shared" ref="G138:H138" si="63">G139</f>
        <v>25134283.18</v>
      </c>
      <c r="H138" s="72">
        <f t="shared" si="63"/>
        <v>24533909</v>
      </c>
      <c r="I138" s="43">
        <f t="shared" si="54"/>
        <v>112191371.47999999</v>
      </c>
      <c r="J138" s="72">
        <f>J139</f>
        <v>106232898.59999999</v>
      </c>
      <c r="K138" s="72">
        <f t="shared" ref="K138" si="64">K139</f>
        <v>5958472.8799999999</v>
      </c>
      <c r="L138" s="72">
        <f t="shared" ref="L138" si="65">L139</f>
        <v>5957714.5</v>
      </c>
      <c r="M138" s="42">
        <f t="shared" si="34"/>
        <v>0.53659384627031581</v>
      </c>
      <c r="N138" s="42">
        <f t="shared" si="35"/>
        <v>0.57752115763852252</v>
      </c>
      <c r="O138" s="42">
        <f t="shared" si="36"/>
        <v>0.23706555851735256</v>
      </c>
      <c r="P138" s="42">
        <f t="shared" si="37"/>
        <v>0.24283592557549635</v>
      </c>
    </row>
    <row r="139" spans="1:18" s="20" customFormat="1" ht="75" x14ac:dyDescent="0.25">
      <c r="A139" s="33" t="s">
        <v>85</v>
      </c>
      <c r="B139" s="33" t="s">
        <v>223</v>
      </c>
      <c r="C139" s="33" t="s">
        <v>223</v>
      </c>
      <c r="D139" s="56" t="s">
        <v>253</v>
      </c>
      <c r="E139" s="43">
        <f t="shared" si="33"/>
        <v>209080615.18000001</v>
      </c>
      <c r="F139" s="72">
        <f>F140+F141+F142+F143+F144+F145+F146+F147+F148+F149+F150+F151+F152+F153+F154+F155+F156+F157+F158+F159</f>
        <v>183946332</v>
      </c>
      <c r="G139" s="72">
        <f t="shared" ref="G139:H139" si="66">G140+G141+G142+G143+G144+G145+G146+G147+G148+G149+G150+G151+G152+G153+G154+G155+G156+G157+G158+G159</f>
        <v>25134283.18</v>
      </c>
      <c r="H139" s="72">
        <f t="shared" si="66"/>
        <v>24533909</v>
      </c>
      <c r="I139" s="43">
        <f t="shared" si="54"/>
        <v>112191371.47999999</v>
      </c>
      <c r="J139" s="72">
        <f>J140+J141+J142+J143+J144+J145+J146+J147+J148+J149+J150+J151+J152+J153+J154+J155+J156+J157+J158+J159</f>
        <v>106232898.59999999</v>
      </c>
      <c r="K139" s="72">
        <f t="shared" ref="K139" si="67">K140+K141+K142+K143+K144+K145+K146+K147+K148+K149+K150+K151+K152+K153+K154+K155+K156+K157+K158+K159</f>
        <v>5958472.8799999999</v>
      </c>
      <c r="L139" s="72">
        <f t="shared" ref="L139" si="68">L140+L141+L142+L143+L144+L145+L146+L147+L148+L149+L150+L151+L152+L153+L154+L155+L156+L157+L158+L159</f>
        <v>5957714.5</v>
      </c>
      <c r="M139" s="42">
        <f t="shared" si="34"/>
        <v>0.53659384627031581</v>
      </c>
      <c r="N139" s="42">
        <f t="shared" si="35"/>
        <v>0.57752115763852252</v>
      </c>
      <c r="O139" s="42">
        <f t="shared" si="36"/>
        <v>0.23706555851735256</v>
      </c>
      <c r="P139" s="42">
        <f t="shared" si="37"/>
        <v>0.24283592557549635</v>
      </c>
    </row>
    <row r="140" spans="1:18" s="20" customFormat="1" ht="56.25" x14ac:dyDescent="0.25">
      <c r="A140" s="34" t="s">
        <v>86</v>
      </c>
      <c r="B140" s="34" t="s">
        <v>54</v>
      </c>
      <c r="C140" s="34" t="s">
        <v>2</v>
      </c>
      <c r="D140" s="52" t="s">
        <v>240</v>
      </c>
      <c r="E140" s="44">
        <f t="shared" si="33"/>
        <v>5665100</v>
      </c>
      <c r="F140" s="73">
        <v>5665100</v>
      </c>
      <c r="G140" s="73">
        <v>0</v>
      </c>
      <c r="H140" s="73">
        <v>0</v>
      </c>
      <c r="I140" s="44">
        <f t="shared" si="54"/>
        <v>2450091.79</v>
      </c>
      <c r="J140" s="73">
        <v>2450091.79</v>
      </c>
      <c r="K140" s="74">
        <v>0</v>
      </c>
      <c r="L140" s="74">
        <v>0</v>
      </c>
      <c r="M140" s="45">
        <f t="shared" si="34"/>
        <v>0.43248870981977372</v>
      </c>
      <c r="N140" s="45">
        <f t="shared" si="35"/>
        <v>0.43248870981977372</v>
      </c>
      <c r="O140" s="45">
        <f t="shared" si="36"/>
        <v>0</v>
      </c>
      <c r="P140" s="45">
        <f t="shared" si="37"/>
        <v>0</v>
      </c>
    </row>
    <row r="141" spans="1:18" s="18" customFormat="1" ht="56.25" x14ac:dyDescent="0.25">
      <c r="A141" s="34" t="s">
        <v>180</v>
      </c>
      <c r="B141" s="34" t="s">
        <v>105</v>
      </c>
      <c r="C141" s="34" t="s">
        <v>106</v>
      </c>
      <c r="D141" s="52" t="s">
        <v>107</v>
      </c>
      <c r="E141" s="44">
        <f t="shared" si="33"/>
        <v>10000</v>
      </c>
      <c r="F141" s="73">
        <v>10000</v>
      </c>
      <c r="G141" s="73">
        <v>0</v>
      </c>
      <c r="H141" s="73">
        <v>0</v>
      </c>
      <c r="I141" s="74">
        <v>0</v>
      </c>
      <c r="J141" s="73">
        <v>0</v>
      </c>
      <c r="K141" s="74">
        <v>0</v>
      </c>
      <c r="L141" s="74">
        <v>0</v>
      </c>
      <c r="M141" s="45">
        <f t="shared" si="34"/>
        <v>0</v>
      </c>
      <c r="N141" s="45">
        <f t="shared" si="35"/>
        <v>0</v>
      </c>
      <c r="O141" s="45">
        <f t="shared" si="36"/>
        <v>0</v>
      </c>
      <c r="P141" s="45">
        <f t="shared" si="37"/>
        <v>0</v>
      </c>
    </row>
    <row r="142" spans="1:18" s="17" customFormat="1" ht="37.5" x14ac:dyDescent="0.25">
      <c r="A142" s="34" t="s">
        <v>133</v>
      </c>
      <c r="B142" s="34" t="s">
        <v>132</v>
      </c>
      <c r="C142" s="34" t="s">
        <v>114</v>
      </c>
      <c r="D142" s="52" t="s">
        <v>115</v>
      </c>
      <c r="E142" s="44">
        <f t="shared" si="33"/>
        <v>30000</v>
      </c>
      <c r="F142" s="73">
        <v>30000</v>
      </c>
      <c r="G142" s="73">
        <v>0</v>
      </c>
      <c r="H142" s="73">
        <v>0</v>
      </c>
      <c r="I142" s="74">
        <v>0</v>
      </c>
      <c r="J142" s="73">
        <v>0</v>
      </c>
      <c r="K142" s="74">
        <v>0</v>
      </c>
      <c r="L142" s="74">
        <v>0</v>
      </c>
      <c r="M142" s="45">
        <f t="shared" si="34"/>
        <v>0</v>
      </c>
      <c r="N142" s="45">
        <f t="shared" si="35"/>
        <v>0</v>
      </c>
      <c r="O142" s="45">
        <f t="shared" si="36"/>
        <v>0</v>
      </c>
      <c r="P142" s="45">
        <f t="shared" si="37"/>
        <v>0</v>
      </c>
    </row>
    <row r="143" spans="1:18" s="17" customFormat="1" ht="37.5" x14ac:dyDescent="0.25">
      <c r="A143" s="34">
        <v>1216011</v>
      </c>
      <c r="B143" s="34">
        <v>6011</v>
      </c>
      <c r="C143" s="36" t="s">
        <v>268</v>
      </c>
      <c r="D143" s="52" t="s">
        <v>97</v>
      </c>
      <c r="E143" s="44">
        <f t="shared" si="33"/>
        <v>5551006.75</v>
      </c>
      <c r="F143" s="73">
        <v>227819</v>
      </c>
      <c r="G143" s="73">
        <v>5323187.75</v>
      </c>
      <c r="H143" s="73">
        <v>5323187.75</v>
      </c>
      <c r="I143" s="44">
        <f t="shared" si="54"/>
        <v>6825.37</v>
      </c>
      <c r="J143" s="73">
        <v>0</v>
      </c>
      <c r="K143" s="73">
        <v>6825.37</v>
      </c>
      <c r="L143" s="73">
        <v>6825.37</v>
      </c>
      <c r="M143" s="45">
        <f t="shared" si="34"/>
        <v>1.2295733562204729E-3</v>
      </c>
      <c r="N143" s="45">
        <f t="shared" si="35"/>
        <v>0</v>
      </c>
      <c r="O143" s="45">
        <f t="shared" si="36"/>
        <v>1.2821959924295362E-3</v>
      </c>
      <c r="P143" s="45">
        <f t="shared" si="37"/>
        <v>1.2821959924295362E-3</v>
      </c>
    </row>
    <row r="144" spans="1:18" s="17" customFormat="1" ht="37.5" x14ac:dyDescent="0.25">
      <c r="A144" s="34" t="s">
        <v>117</v>
      </c>
      <c r="B144" s="34" t="s">
        <v>116</v>
      </c>
      <c r="C144" s="34" t="s">
        <v>8</v>
      </c>
      <c r="D144" s="52" t="s">
        <v>118</v>
      </c>
      <c r="E144" s="44">
        <f t="shared" si="33"/>
        <v>7199790.25</v>
      </c>
      <c r="F144" s="73">
        <v>300000</v>
      </c>
      <c r="G144" s="73">
        <v>6899790.25</v>
      </c>
      <c r="H144" s="73">
        <v>6899790.25</v>
      </c>
      <c r="I144" s="44">
        <f t="shared" si="54"/>
        <v>3603966.63</v>
      </c>
      <c r="J144" s="73">
        <v>0</v>
      </c>
      <c r="K144" s="73">
        <v>3603966.63</v>
      </c>
      <c r="L144" s="73">
        <v>3603966.63</v>
      </c>
      <c r="M144" s="45">
        <f t="shared" si="34"/>
        <v>0.50056550327976568</v>
      </c>
      <c r="N144" s="45">
        <f t="shared" si="35"/>
        <v>0</v>
      </c>
      <c r="O144" s="45">
        <f t="shared" si="36"/>
        <v>0.52232988241925182</v>
      </c>
      <c r="P144" s="45">
        <f t="shared" si="37"/>
        <v>0.52232988241925182</v>
      </c>
    </row>
    <row r="145" spans="1:17" s="17" customFormat="1" ht="56.25" x14ac:dyDescent="0.25">
      <c r="A145" s="34" t="s">
        <v>147</v>
      </c>
      <c r="B145" s="34" t="s">
        <v>148</v>
      </c>
      <c r="C145" s="34" t="s">
        <v>8</v>
      </c>
      <c r="D145" s="52" t="s">
        <v>254</v>
      </c>
      <c r="E145" s="44">
        <f t="shared" si="33"/>
        <v>2815000</v>
      </c>
      <c r="F145" s="73">
        <v>1720000</v>
      </c>
      <c r="G145" s="73">
        <v>1095000</v>
      </c>
      <c r="H145" s="73">
        <v>1095000</v>
      </c>
      <c r="I145" s="44">
        <f t="shared" si="54"/>
        <v>850356.53</v>
      </c>
      <c r="J145" s="73">
        <v>780339.23</v>
      </c>
      <c r="K145" s="73">
        <v>70017.3</v>
      </c>
      <c r="L145" s="73">
        <v>70017.3</v>
      </c>
      <c r="M145" s="45">
        <f t="shared" si="34"/>
        <v>0.30208047246891651</v>
      </c>
      <c r="N145" s="45">
        <f t="shared" si="35"/>
        <v>0.45368559883720927</v>
      </c>
      <c r="O145" s="45">
        <f t="shared" si="36"/>
        <v>6.3942739726027403E-2</v>
      </c>
      <c r="P145" s="45">
        <f t="shared" si="37"/>
        <v>6.3942739726027403E-2</v>
      </c>
    </row>
    <row r="146" spans="1:17" s="18" customFormat="1" ht="18.75" x14ac:dyDescent="0.25">
      <c r="A146" s="34" t="s">
        <v>87</v>
      </c>
      <c r="B146" s="34" t="s">
        <v>39</v>
      </c>
      <c r="C146" s="34" t="s">
        <v>8</v>
      </c>
      <c r="D146" s="52" t="s">
        <v>232</v>
      </c>
      <c r="E146" s="44">
        <f t="shared" ref="E146:E202" si="69">F146+G146</f>
        <v>86640454</v>
      </c>
      <c r="F146" s="73">
        <v>85514954</v>
      </c>
      <c r="G146" s="73">
        <v>1125500</v>
      </c>
      <c r="H146" s="73">
        <v>1125500</v>
      </c>
      <c r="I146" s="44">
        <f t="shared" si="54"/>
        <v>38230559.530000001</v>
      </c>
      <c r="J146" s="73">
        <f>21420710.8+7837983.78+8971864.95</f>
        <v>38230559.530000001</v>
      </c>
      <c r="K146" s="73">
        <v>0</v>
      </c>
      <c r="L146" s="73">
        <v>0</v>
      </c>
      <c r="M146" s="45">
        <f t="shared" si="34"/>
        <v>0.44125530009341829</v>
      </c>
      <c r="N146" s="45">
        <f t="shared" si="35"/>
        <v>0.44706285557962178</v>
      </c>
      <c r="O146" s="45">
        <f t="shared" si="36"/>
        <v>0</v>
      </c>
      <c r="P146" s="45">
        <f t="shared" si="37"/>
        <v>0</v>
      </c>
    </row>
    <row r="147" spans="1:17" s="18" customFormat="1" ht="37.5" x14ac:dyDescent="0.25">
      <c r="A147" s="34">
        <v>1216091</v>
      </c>
      <c r="B147" s="34">
        <v>6091</v>
      </c>
      <c r="C147" s="36" t="s">
        <v>360</v>
      </c>
      <c r="D147" s="52" t="s">
        <v>305</v>
      </c>
      <c r="E147" s="44">
        <f t="shared" si="69"/>
        <v>6571000</v>
      </c>
      <c r="F147" s="73">
        <v>0</v>
      </c>
      <c r="G147" s="73">
        <v>6571000</v>
      </c>
      <c r="H147" s="73">
        <v>6571000</v>
      </c>
      <c r="I147" s="44">
        <f t="shared" si="54"/>
        <v>132453.6</v>
      </c>
      <c r="J147" s="73">
        <v>0</v>
      </c>
      <c r="K147" s="73">
        <v>132453.6</v>
      </c>
      <c r="L147" s="73">
        <v>132453.6</v>
      </c>
      <c r="M147" s="45">
        <f t="shared" si="34"/>
        <v>2.0157297215035765E-2</v>
      </c>
      <c r="N147" s="45">
        <f t="shared" si="35"/>
        <v>0</v>
      </c>
      <c r="O147" s="45">
        <f t="shared" si="36"/>
        <v>2.0157297215035765E-2</v>
      </c>
      <c r="P147" s="45">
        <f t="shared" si="37"/>
        <v>2.0157297215035765E-2</v>
      </c>
      <c r="Q147" s="53"/>
    </row>
    <row r="148" spans="1:17" s="18" customFormat="1" ht="93.75" x14ac:dyDescent="0.25">
      <c r="A148" s="34">
        <v>1216093</v>
      </c>
      <c r="B148" s="34">
        <v>6093</v>
      </c>
      <c r="C148" s="36" t="s">
        <v>360</v>
      </c>
      <c r="D148" s="52" t="s">
        <v>361</v>
      </c>
      <c r="E148" s="44">
        <f t="shared" si="69"/>
        <v>47400</v>
      </c>
      <c r="F148" s="73">
        <v>47400</v>
      </c>
      <c r="G148" s="73">
        <v>0</v>
      </c>
      <c r="H148" s="74">
        <v>0</v>
      </c>
      <c r="I148" s="44">
        <f t="shared" si="54"/>
        <v>37754.870000000003</v>
      </c>
      <c r="J148" s="73">
        <v>37754.870000000003</v>
      </c>
      <c r="K148" s="74">
        <v>0</v>
      </c>
      <c r="L148" s="74">
        <v>0</v>
      </c>
      <c r="M148" s="45">
        <f t="shared" si="34"/>
        <v>0.79651624472573845</v>
      </c>
      <c r="N148" s="45">
        <f t="shared" si="35"/>
        <v>0.79651624472573845</v>
      </c>
      <c r="O148" s="45">
        <f t="shared" si="36"/>
        <v>0</v>
      </c>
      <c r="P148" s="45">
        <f t="shared" si="37"/>
        <v>0</v>
      </c>
      <c r="Q148" s="53"/>
    </row>
    <row r="149" spans="1:17" s="20" customFormat="1" ht="18.75" x14ac:dyDescent="0.25">
      <c r="A149" s="34">
        <v>1217130</v>
      </c>
      <c r="B149" s="34">
        <v>7130</v>
      </c>
      <c r="C149" s="36" t="s">
        <v>278</v>
      </c>
      <c r="D149" s="52" t="s">
        <v>279</v>
      </c>
      <c r="E149" s="44">
        <f t="shared" si="69"/>
        <v>180000</v>
      </c>
      <c r="F149" s="73">
        <v>180000</v>
      </c>
      <c r="G149" s="73">
        <v>0</v>
      </c>
      <c r="H149" s="74">
        <v>0</v>
      </c>
      <c r="I149" s="44">
        <f t="shared" si="54"/>
        <v>0</v>
      </c>
      <c r="J149" s="73">
        <v>0</v>
      </c>
      <c r="K149" s="74">
        <v>0</v>
      </c>
      <c r="L149" s="74">
        <v>0</v>
      </c>
      <c r="M149" s="45">
        <f t="shared" si="34"/>
        <v>0</v>
      </c>
      <c r="N149" s="45">
        <f t="shared" si="35"/>
        <v>0</v>
      </c>
      <c r="O149" s="45">
        <f t="shared" si="36"/>
        <v>0</v>
      </c>
      <c r="P149" s="45">
        <f t="shared" si="37"/>
        <v>0</v>
      </c>
    </row>
    <row r="150" spans="1:17" s="41" customFormat="1" ht="56.25" x14ac:dyDescent="0.25">
      <c r="A150" s="34" t="s">
        <v>119</v>
      </c>
      <c r="B150" s="34" t="s">
        <v>95</v>
      </c>
      <c r="C150" s="34" t="s">
        <v>40</v>
      </c>
      <c r="D150" s="52" t="s">
        <v>96</v>
      </c>
      <c r="E150" s="44">
        <f t="shared" si="69"/>
        <v>30000000</v>
      </c>
      <c r="F150" s="73">
        <v>30000000</v>
      </c>
      <c r="G150" s="73">
        <v>0</v>
      </c>
      <c r="H150" s="73">
        <v>0</v>
      </c>
      <c r="I150" s="44">
        <f t="shared" si="54"/>
        <v>12528585.6</v>
      </c>
      <c r="J150" s="73">
        <v>12528585.6</v>
      </c>
      <c r="K150" s="74">
        <v>0</v>
      </c>
      <c r="L150" s="74">
        <v>0</v>
      </c>
      <c r="M150" s="45">
        <f t="shared" ref="M150:M201" si="70">IF(E150,I150/E150,0)</f>
        <v>0.41761951999999997</v>
      </c>
      <c r="N150" s="45">
        <f t="shared" ref="N150:N201" si="71">IF(F150,J150/F150,0)</f>
        <v>0.41761951999999997</v>
      </c>
      <c r="O150" s="45">
        <f t="shared" ref="O150:O201" si="72">IF(G150,K150/G150,0)</f>
        <v>0</v>
      </c>
      <c r="P150" s="45">
        <f t="shared" ref="P150:P201" si="73">IF(H150,L150/H150,0)</f>
        <v>0</v>
      </c>
    </row>
    <row r="151" spans="1:17" s="17" customFormat="1" ht="37.5" x14ac:dyDescent="0.25">
      <c r="A151" s="36" t="s">
        <v>362</v>
      </c>
      <c r="B151" s="36" t="s">
        <v>315</v>
      </c>
      <c r="C151" s="36" t="s">
        <v>316</v>
      </c>
      <c r="D151" s="52" t="s">
        <v>317</v>
      </c>
      <c r="E151" s="44">
        <f t="shared" si="69"/>
        <v>524300</v>
      </c>
      <c r="F151" s="73">
        <v>488300</v>
      </c>
      <c r="G151" s="73">
        <v>36000</v>
      </c>
      <c r="H151" s="73">
        <v>36000</v>
      </c>
      <c r="I151" s="44">
        <f t="shared" si="54"/>
        <v>4686</v>
      </c>
      <c r="J151" s="73">
        <v>4686</v>
      </c>
      <c r="K151" s="74">
        <v>0</v>
      </c>
      <c r="L151" s="74">
        <v>0</v>
      </c>
      <c r="M151" s="45">
        <f t="shared" si="70"/>
        <v>8.9376311272172416E-3</v>
      </c>
      <c r="N151" s="45">
        <f t="shared" si="71"/>
        <v>9.5965594921155022E-3</v>
      </c>
      <c r="O151" s="45">
        <f t="shared" si="72"/>
        <v>0</v>
      </c>
      <c r="P151" s="45">
        <f t="shared" si="73"/>
        <v>0</v>
      </c>
    </row>
    <row r="152" spans="1:17" s="30" customFormat="1" ht="18.75" x14ac:dyDescent="0.25">
      <c r="A152" s="36" t="s">
        <v>422</v>
      </c>
      <c r="B152" s="36" t="s">
        <v>319</v>
      </c>
      <c r="C152" s="36" t="s">
        <v>6</v>
      </c>
      <c r="D152" s="52" t="s">
        <v>7</v>
      </c>
      <c r="E152" s="44">
        <f t="shared" si="69"/>
        <v>360000</v>
      </c>
      <c r="F152" s="73">
        <v>0</v>
      </c>
      <c r="G152" s="73">
        <v>360000</v>
      </c>
      <c r="H152" s="73">
        <v>360000</v>
      </c>
      <c r="I152" s="74">
        <v>0</v>
      </c>
      <c r="J152" s="74">
        <v>0</v>
      </c>
      <c r="K152" s="74">
        <v>0</v>
      </c>
      <c r="L152" s="74">
        <v>0</v>
      </c>
      <c r="M152" s="45">
        <f t="shared" si="70"/>
        <v>0</v>
      </c>
      <c r="N152" s="45">
        <f t="shared" si="71"/>
        <v>0</v>
      </c>
      <c r="O152" s="45">
        <f t="shared" si="72"/>
        <v>0</v>
      </c>
      <c r="P152" s="45">
        <f t="shared" si="73"/>
        <v>0</v>
      </c>
    </row>
    <row r="153" spans="1:17" s="30" customFormat="1" ht="37.5" x14ac:dyDescent="0.25">
      <c r="A153" s="36" t="s">
        <v>363</v>
      </c>
      <c r="B153" s="36" t="s">
        <v>364</v>
      </c>
      <c r="C153" s="36" t="s">
        <v>21</v>
      </c>
      <c r="D153" s="52" t="s">
        <v>365</v>
      </c>
      <c r="E153" s="44">
        <f t="shared" si="69"/>
        <v>2650510</v>
      </c>
      <c r="F153" s="73">
        <v>0</v>
      </c>
      <c r="G153" s="73">
        <v>2650510</v>
      </c>
      <c r="H153" s="73">
        <v>2650510</v>
      </c>
      <c r="I153" s="44">
        <f t="shared" si="54"/>
        <v>2050506.6</v>
      </c>
      <c r="J153" s="73">
        <v>0</v>
      </c>
      <c r="K153" s="73">
        <f>1459999.8+590506.8</f>
        <v>2050506.6</v>
      </c>
      <c r="L153" s="73">
        <v>2050506.6</v>
      </c>
      <c r="M153" s="45">
        <f t="shared" si="70"/>
        <v>0.77362718872971625</v>
      </c>
      <c r="N153" s="45">
        <f t="shared" si="71"/>
        <v>0</v>
      </c>
      <c r="O153" s="45">
        <f t="shared" si="72"/>
        <v>0.77362718872971625</v>
      </c>
      <c r="P153" s="45">
        <f t="shared" si="73"/>
        <v>0.77362718872971625</v>
      </c>
    </row>
    <row r="154" spans="1:17" s="30" customFormat="1" ht="168.75" x14ac:dyDescent="0.25">
      <c r="A154" s="36" t="s">
        <v>366</v>
      </c>
      <c r="B154" s="36" t="s">
        <v>367</v>
      </c>
      <c r="C154" s="36" t="s">
        <v>21</v>
      </c>
      <c r="D154" s="52" t="s">
        <v>150</v>
      </c>
      <c r="E154" s="44">
        <f t="shared" si="69"/>
        <v>600374.17999999993</v>
      </c>
      <c r="F154" s="73">
        <v>0</v>
      </c>
      <c r="G154" s="73">
        <v>600374.17999999993</v>
      </c>
      <c r="H154" s="74">
        <v>0</v>
      </c>
      <c r="I154" s="44">
        <f t="shared" si="54"/>
        <v>758.38</v>
      </c>
      <c r="J154" s="73">
        <v>0</v>
      </c>
      <c r="K154" s="73">
        <v>758.38</v>
      </c>
      <c r="L154" s="74">
        <v>0</v>
      </c>
      <c r="M154" s="45">
        <f t="shared" si="70"/>
        <v>1.2631789061948002E-3</v>
      </c>
      <c r="N154" s="45">
        <f t="shared" si="71"/>
        <v>0</v>
      </c>
      <c r="O154" s="45">
        <f t="shared" si="72"/>
        <v>1.2631789061948002E-3</v>
      </c>
      <c r="P154" s="45">
        <f t="shared" si="73"/>
        <v>0</v>
      </c>
    </row>
    <row r="155" spans="1:17" s="30" customFormat="1" ht="37.5" x14ac:dyDescent="0.25">
      <c r="A155" s="34" t="s">
        <v>368</v>
      </c>
      <c r="B155" s="34" t="s">
        <v>130</v>
      </c>
      <c r="C155" s="34" t="s">
        <v>21</v>
      </c>
      <c r="D155" s="52" t="s">
        <v>255</v>
      </c>
      <c r="E155" s="44">
        <f t="shared" si="69"/>
        <v>56120800</v>
      </c>
      <c r="F155" s="73">
        <v>56120800</v>
      </c>
      <c r="G155" s="73">
        <v>0</v>
      </c>
      <c r="H155" s="73">
        <v>0</v>
      </c>
      <c r="I155" s="44">
        <f t="shared" si="54"/>
        <v>51034927.049999997</v>
      </c>
      <c r="J155" s="73">
        <f>1245216.65+30000000+19789710.4</f>
        <v>51034927.049999997</v>
      </c>
      <c r="K155" s="74">
        <v>0</v>
      </c>
      <c r="L155" s="74">
        <v>0</v>
      </c>
      <c r="M155" s="45">
        <f t="shared" si="70"/>
        <v>0.90937632838448479</v>
      </c>
      <c r="N155" s="45">
        <f t="shared" si="71"/>
        <v>0.90937632838448479</v>
      </c>
      <c r="O155" s="45">
        <f t="shared" si="72"/>
        <v>0</v>
      </c>
      <c r="P155" s="45">
        <f t="shared" si="73"/>
        <v>0</v>
      </c>
    </row>
    <row r="156" spans="1:17" s="30" customFormat="1" ht="56.25" x14ac:dyDescent="0.25">
      <c r="A156" s="34" t="s">
        <v>369</v>
      </c>
      <c r="B156" s="34" t="s">
        <v>370</v>
      </c>
      <c r="C156" s="34" t="s">
        <v>4</v>
      </c>
      <c r="D156" s="52" t="s">
        <v>131</v>
      </c>
      <c r="E156" s="44">
        <f t="shared" si="69"/>
        <v>3497221</v>
      </c>
      <c r="F156" s="73">
        <v>3118300</v>
      </c>
      <c r="G156" s="73">
        <v>378921</v>
      </c>
      <c r="H156" s="73">
        <v>378921</v>
      </c>
      <c r="I156" s="44">
        <f t="shared" si="54"/>
        <v>668533.57999999996</v>
      </c>
      <c r="J156" s="73">
        <f>475046.73+193486.85</f>
        <v>668533.57999999996</v>
      </c>
      <c r="K156" s="74">
        <v>0</v>
      </c>
      <c r="L156" s="74">
        <v>0</v>
      </c>
      <c r="M156" s="45">
        <f t="shared" si="70"/>
        <v>0.19116137641859063</v>
      </c>
      <c r="N156" s="45">
        <f t="shared" si="71"/>
        <v>0.21439039861462975</v>
      </c>
      <c r="O156" s="45">
        <f t="shared" si="72"/>
        <v>0</v>
      </c>
      <c r="P156" s="45">
        <f t="shared" si="73"/>
        <v>0</v>
      </c>
    </row>
    <row r="157" spans="1:17" s="30" customFormat="1" ht="18.75" x14ac:dyDescent="0.25">
      <c r="A157" s="36" t="s">
        <v>371</v>
      </c>
      <c r="B157" s="34">
        <v>8240</v>
      </c>
      <c r="C157" s="36" t="s">
        <v>153</v>
      </c>
      <c r="D157" s="52" t="s">
        <v>239</v>
      </c>
      <c r="E157" s="44">
        <f t="shared" si="69"/>
        <v>94000</v>
      </c>
      <c r="F157" s="73">
        <v>0</v>
      </c>
      <c r="G157" s="73">
        <v>94000</v>
      </c>
      <c r="H157" s="73">
        <v>94000</v>
      </c>
      <c r="I157" s="44">
        <f t="shared" si="54"/>
        <v>93945</v>
      </c>
      <c r="J157" s="73">
        <v>0</v>
      </c>
      <c r="K157" s="73">
        <v>93945</v>
      </c>
      <c r="L157" s="73">
        <v>93945</v>
      </c>
      <c r="M157" s="45">
        <f t="shared" si="70"/>
        <v>0.99941489361702129</v>
      </c>
      <c r="N157" s="45">
        <f t="shared" si="71"/>
        <v>0</v>
      </c>
      <c r="O157" s="45">
        <f t="shared" si="72"/>
        <v>0.99941489361702129</v>
      </c>
      <c r="P157" s="45">
        <f t="shared" si="73"/>
        <v>0.99941489361702129</v>
      </c>
    </row>
    <row r="158" spans="1:17" s="31" customFormat="1" ht="93.75" x14ac:dyDescent="0.25">
      <c r="A158" s="36" t="s">
        <v>392</v>
      </c>
      <c r="B158" s="34">
        <v>8733</v>
      </c>
      <c r="C158" s="36" t="s">
        <v>40</v>
      </c>
      <c r="D158" s="52" t="s">
        <v>393</v>
      </c>
      <c r="E158" s="44">
        <f t="shared" si="69"/>
        <v>123659</v>
      </c>
      <c r="F158" s="73">
        <v>123659</v>
      </c>
      <c r="G158" s="73">
        <v>0</v>
      </c>
      <c r="H158" s="74">
        <v>0</v>
      </c>
      <c r="I158" s="44">
        <f t="shared" si="54"/>
        <v>123658.8</v>
      </c>
      <c r="J158" s="73">
        <v>123658.8</v>
      </c>
      <c r="K158" s="74">
        <v>0</v>
      </c>
      <c r="L158" s="74">
        <v>0</v>
      </c>
      <c r="M158" s="45">
        <f t="shared" si="70"/>
        <v>0.99999838264905916</v>
      </c>
      <c r="N158" s="45">
        <f t="shared" si="71"/>
        <v>0.99999838264905916</v>
      </c>
      <c r="O158" s="45">
        <f t="shared" si="72"/>
        <v>0</v>
      </c>
      <c r="P158" s="45">
        <f t="shared" si="73"/>
        <v>0</v>
      </c>
    </row>
    <row r="159" spans="1:17" s="31" customFormat="1" ht="75" x14ac:dyDescent="0.25">
      <c r="A159" s="36" t="s">
        <v>394</v>
      </c>
      <c r="B159" s="34">
        <v>8741</v>
      </c>
      <c r="C159" s="36" t="s">
        <v>268</v>
      </c>
      <c r="D159" s="52" t="s">
        <v>395</v>
      </c>
      <c r="E159" s="44">
        <f t="shared" si="69"/>
        <v>400000</v>
      </c>
      <c r="F159" s="73">
        <v>400000</v>
      </c>
      <c r="G159" s="73">
        <v>0</v>
      </c>
      <c r="H159" s="74">
        <v>0</v>
      </c>
      <c r="I159" s="44">
        <f t="shared" si="54"/>
        <v>373762.15</v>
      </c>
      <c r="J159" s="73">
        <v>373762.15</v>
      </c>
      <c r="K159" s="74">
        <v>0</v>
      </c>
      <c r="L159" s="74">
        <v>0</v>
      </c>
      <c r="M159" s="45">
        <f t="shared" si="70"/>
        <v>0.93440537500000009</v>
      </c>
      <c r="N159" s="45">
        <f t="shared" si="71"/>
        <v>0.93440537500000009</v>
      </c>
      <c r="O159" s="45">
        <f t="shared" si="72"/>
        <v>0</v>
      </c>
      <c r="P159" s="45">
        <f t="shared" si="73"/>
        <v>0</v>
      </c>
    </row>
    <row r="160" spans="1:17" s="31" customFormat="1" ht="56.25" x14ac:dyDescent="0.25">
      <c r="A160" s="33" t="s">
        <v>26</v>
      </c>
      <c r="B160" s="33" t="s">
        <v>223</v>
      </c>
      <c r="C160" s="33" t="s">
        <v>223</v>
      </c>
      <c r="D160" s="56" t="s">
        <v>256</v>
      </c>
      <c r="E160" s="43">
        <f t="shared" si="69"/>
        <v>167772247.63</v>
      </c>
      <c r="F160" s="72">
        <f>F161</f>
        <v>6437684</v>
      </c>
      <c r="G160" s="72">
        <f t="shared" ref="G160:H160" si="74">G161</f>
        <v>161334563.63</v>
      </c>
      <c r="H160" s="72">
        <f t="shared" si="74"/>
        <v>161334563.63</v>
      </c>
      <c r="I160" s="43">
        <f t="shared" si="54"/>
        <v>38735064.32</v>
      </c>
      <c r="J160" s="72">
        <f>J161</f>
        <v>2871297.07</v>
      </c>
      <c r="K160" s="72">
        <f t="shared" ref="K160" si="75">K161</f>
        <v>35863767.25</v>
      </c>
      <c r="L160" s="72">
        <f t="shared" ref="L160" si="76">L161</f>
        <v>35863767.25</v>
      </c>
      <c r="M160" s="42">
        <f t="shared" si="70"/>
        <v>0.23087885432294605</v>
      </c>
      <c r="N160" s="42">
        <f t="shared" si="71"/>
        <v>0.4460139811149475</v>
      </c>
      <c r="O160" s="42">
        <f t="shared" si="72"/>
        <v>0.22229438282207725</v>
      </c>
      <c r="P160" s="42">
        <f t="shared" si="73"/>
        <v>0.22229438282207725</v>
      </c>
    </row>
    <row r="161" spans="1:16" s="31" customFormat="1" ht="56.25" x14ac:dyDescent="0.25">
      <c r="A161" s="33" t="s">
        <v>27</v>
      </c>
      <c r="B161" s="33" t="s">
        <v>223</v>
      </c>
      <c r="C161" s="33" t="s">
        <v>223</v>
      </c>
      <c r="D161" s="56" t="s">
        <v>256</v>
      </c>
      <c r="E161" s="43">
        <f t="shared" si="69"/>
        <v>167772247.63</v>
      </c>
      <c r="F161" s="72">
        <f>F162+F163+F164+F165+F166+F167+F168+F169+F170+F171</f>
        <v>6437684</v>
      </c>
      <c r="G161" s="72">
        <f t="shared" ref="G161:H161" si="77">G162+G163+G164+G165+G166+G167+G168+G169+G170+G171</f>
        <v>161334563.63</v>
      </c>
      <c r="H161" s="72">
        <f t="shared" si="77"/>
        <v>161334563.63</v>
      </c>
      <c r="I161" s="43">
        <f t="shared" si="54"/>
        <v>38735064.32</v>
      </c>
      <c r="J161" s="72">
        <f>J162+J163+J164+J165+J166+J167+J168+J169+J170+J171</f>
        <v>2871297.07</v>
      </c>
      <c r="K161" s="72">
        <f t="shared" ref="K161" si="78">K162+K163+K164+K165+K166+K167+K168+K169+K170+K171</f>
        <v>35863767.25</v>
      </c>
      <c r="L161" s="72">
        <f t="shared" ref="L161" si="79">L162+L163+L164+L165+L166+L167+L168+L169+L170+L171</f>
        <v>35863767.25</v>
      </c>
      <c r="M161" s="42">
        <f t="shared" si="70"/>
        <v>0.23087885432294605</v>
      </c>
      <c r="N161" s="42">
        <f t="shared" si="71"/>
        <v>0.4460139811149475</v>
      </c>
      <c r="O161" s="42">
        <f t="shared" si="72"/>
        <v>0.22229438282207725</v>
      </c>
      <c r="P161" s="42">
        <f t="shared" si="73"/>
        <v>0.22229438282207725</v>
      </c>
    </row>
    <row r="162" spans="1:16" s="31" customFormat="1" ht="93.75" x14ac:dyDescent="0.25">
      <c r="A162" s="34">
        <v>1510150</v>
      </c>
      <c r="B162" s="36" t="s">
        <v>50</v>
      </c>
      <c r="C162" s="36" t="s">
        <v>2</v>
      </c>
      <c r="D162" s="52" t="s">
        <v>225</v>
      </c>
      <c r="E162" s="44">
        <f t="shared" si="69"/>
        <v>590000</v>
      </c>
      <c r="F162" s="73">
        <v>0</v>
      </c>
      <c r="G162" s="73">
        <v>590000</v>
      </c>
      <c r="H162" s="73">
        <v>590000</v>
      </c>
      <c r="I162" s="44">
        <f t="shared" si="54"/>
        <v>335909.49</v>
      </c>
      <c r="J162" s="73">
        <v>0</v>
      </c>
      <c r="K162" s="73">
        <v>335909.49</v>
      </c>
      <c r="L162" s="73">
        <v>335909.49</v>
      </c>
      <c r="M162" s="45">
        <f t="shared" si="70"/>
        <v>0.5693381186440678</v>
      </c>
      <c r="N162" s="45">
        <f t="shared" si="71"/>
        <v>0</v>
      </c>
      <c r="O162" s="45">
        <f t="shared" si="72"/>
        <v>0.5693381186440678</v>
      </c>
      <c r="P162" s="45">
        <f t="shared" si="73"/>
        <v>0.5693381186440678</v>
      </c>
    </row>
    <row r="163" spans="1:16" s="32" customFormat="1" ht="56.25" x14ac:dyDescent="0.25">
      <c r="A163" s="34" t="s">
        <v>88</v>
      </c>
      <c r="B163" s="34" t="s">
        <v>54</v>
      </c>
      <c r="C163" s="34" t="s">
        <v>2</v>
      </c>
      <c r="D163" s="52" t="s">
        <v>240</v>
      </c>
      <c r="E163" s="44">
        <f t="shared" si="69"/>
        <v>6367384</v>
      </c>
      <c r="F163" s="73">
        <v>6367384</v>
      </c>
      <c r="G163" s="73">
        <v>0</v>
      </c>
      <c r="H163" s="73">
        <v>0</v>
      </c>
      <c r="I163" s="44">
        <f t="shared" si="54"/>
        <v>2832088.07</v>
      </c>
      <c r="J163" s="73">
        <v>2832088.07</v>
      </c>
      <c r="K163" s="74">
        <v>0</v>
      </c>
      <c r="L163" s="74">
        <v>0</v>
      </c>
      <c r="M163" s="45">
        <f t="shared" si="70"/>
        <v>0.44478047342519311</v>
      </c>
      <c r="N163" s="45">
        <f t="shared" si="71"/>
        <v>0.44478047342519311</v>
      </c>
      <c r="O163" s="45">
        <f t="shared" si="72"/>
        <v>0</v>
      </c>
      <c r="P163" s="45">
        <f t="shared" si="73"/>
        <v>0</v>
      </c>
    </row>
    <row r="164" spans="1:16" s="32" customFormat="1" ht="18.75" x14ac:dyDescent="0.25">
      <c r="A164" s="34">
        <v>1511300</v>
      </c>
      <c r="B164" s="36" t="s">
        <v>372</v>
      </c>
      <c r="C164" s="36" t="s">
        <v>18</v>
      </c>
      <c r="D164" s="52" t="s">
        <v>306</v>
      </c>
      <c r="E164" s="44">
        <f t="shared" si="69"/>
        <v>86954716</v>
      </c>
      <c r="F164" s="73">
        <v>0</v>
      </c>
      <c r="G164" s="73">
        <v>86954716</v>
      </c>
      <c r="H164" s="73">
        <v>86954716</v>
      </c>
      <c r="I164" s="44">
        <f t="shared" si="54"/>
        <v>15623694.880000001</v>
      </c>
      <c r="J164" s="73">
        <v>0</v>
      </c>
      <c r="K164" s="73">
        <v>15623694.880000001</v>
      </c>
      <c r="L164" s="73">
        <v>15623694.880000001</v>
      </c>
      <c r="M164" s="45">
        <f t="shared" si="70"/>
        <v>0.17967622227643179</v>
      </c>
      <c r="N164" s="45">
        <f t="shared" si="71"/>
        <v>0</v>
      </c>
      <c r="O164" s="45">
        <f t="shared" si="72"/>
        <v>0.17967622227643179</v>
      </c>
      <c r="P164" s="45">
        <f t="shared" si="73"/>
        <v>0.17967622227643179</v>
      </c>
    </row>
    <row r="165" spans="1:16" s="32" customFormat="1" ht="93.75" x14ac:dyDescent="0.25">
      <c r="A165" s="34">
        <v>1512171</v>
      </c>
      <c r="B165" s="36" t="s">
        <v>373</v>
      </c>
      <c r="C165" s="36" t="s">
        <v>123</v>
      </c>
      <c r="D165" s="52" t="s">
        <v>374</v>
      </c>
      <c r="E165" s="44">
        <f t="shared" si="69"/>
        <v>2550000</v>
      </c>
      <c r="F165" s="73">
        <v>0</v>
      </c>
      <c r="G165" s="73">
        <v>2550000</v>
      </c>
      <c r="H165" s="73">
        <v>2550000</v>
      </c>
      <c r="I165" s="44">
        <f t="shared" si="54"/>
        <v>499270.91</v>
      </c>
      <c r="J165" s="73">
        <v>0</v>
      </c>
      <c r="K165" s="73">
        <v>499270.91</v>
      </c>
      <c r="L165" s="73">
        <v>499270.91</v>
      </c>
      <c r="M165" s="45">
        <f t="shared" si="70"/>
        <v>0.1957925137254902</v>
      </c>
      <c r="N165" s="45">
        <f t="shared" si="71"/>
        <v>0</v>
      </c>
      <c r="O165" s="45">
        <f t="shared" si="72"/>
        <v>0.1957925137254902</v>
      </c>
      <c r="P165" s="45">
        <f t="shared" si="73"/>
        <v>0.1957925137254902</v>
      </c>
    </row>
    <row r="166" spans="1:16" s="32" customFormat="1" ht="37.5" x14ac:dyDescent="0.25">
      <c r="A166" s="34">
        <v>1516015</v>
      </c>
      <c r="B166" s="36" t="s">
        <v>116</v>
      </c>
      <c r="C166" s="36" t="s">
        <v>8</v>
      </c>
      <c r="D166" s="52" t="s">
        <v>118</v>
      </c>
      <c r="E166" s="44">
        <f t="shared" si="69"/>
        <v>486000</v>
      </c>
      <c r="F166" s="73">
        <v>0</v>
      </c>
      <c r="G166" s="73">
        <v>486000</v>
      </c>
      <c r="H166" s="73">
        <v>486000</v>
      </c>
      <c r="I166" s="44">
        <f t="shared" si="54"/>
        <v>486000</v>
      </c>
      <c r="J166" s="73">
        <v>0</v>
      </c>
      <c r="K166" s="73">
        <v>486000</v>
      </c>
      <c r="L166" s="73">
        <v>486000</v>
      </c>
      <c r="M166" s="45">
        <f t="shared" si="70"/>
        <v>1</v>
      </c>
      <c r="N166" s="45">
        <f t="shared" si="71"/>
        <v>0</v>
      </c>
      <c r="O166" s="45">
        <f t="shared" si="72"/>
        <v>1</v>
      </c>
      <c r="P166" s="45">
        <f t="shared" si="73"/>
        <v>1</v>
      </c>
    </row>
    <row r="167" spans="1:16" s="32" customFormat="1" ht="37.5" x14ac:dyDescent="0.25">
      <c r="A167" s="34">
        <v>1516091</v>
      </c>
      <c r="B167" s="36" t="s">
        <v>375</v>
      </c>
      <c r="C167" s="36" t="s">
        <v>360</v>
      </c>
      <c r="D167" s="52" t="s">
        <v>305</v>
      </c>
      <c r="E167" s="44">
        <f t="shared" si="69"/>
        <v>30226232.009999998</v>
      </c>
      <c r="F167" s="73">
        <v>0</v>
      </c>
      <c r="G167" s="73">
        <v>30226232.009999998</v>
      </c>
      <c r="H167" s="73">
        <v>30226232.009999998</v>
      </c>
      <c r="I167" s="44">
        <f t="shared" si="54"/>
        <v>926968.8</v>
      </c>
      <c r="J167" s="73">
        <v>0</v>
      </c>
      <c r="K167" s="73">
        <v>926968.8</v>
      </c>
      <c r="L167" s="73">
        <v>926968.8</v>
      </c>
      <c r="M167" s="45">
        <f t="shared" si="70"/>
        <v>3.0667692873306972E-2</v>
      </c>
      <c r="N167" s="45">
        <f t="shared" si="71"/>
        <v>0</v>
      </c>
      <c r="O167" s="45">
        <f t="shared" si="72"/>
        <v>3.0667692873306972E-2</v>
      </c>
      <c r="P167" s="45">
        <f t="shared" si="73"/>
        <v>3.0667692873306972E-2</v>
      </c>
    </row>
    <row r="168" spans="1:16" s="32" customFormat="1" ht="37.5" x14ac:dyDescent="0.25">
      <c r="A168" s="34">
        <v>1517368</v>
      </c>
      <c r="B168" s="36" t="s">
        <v>301</v>
      </c>
      <c r="C168" s="36" t="s">
        <v>21</v>
      </c>
      <c r="D168" s="52" t="s">
        <v>302</v>
      </c>
      <c r="E168" s="44">
        <f t="shared" si="69"/>
        <v>15815727.619999999</v>
      </c>
      <c r="F168" s="73">
        <v>0</v>
      </c>
      <c r="G168" s="73">
        <v>15815727.619999999</v>
      </c>
      <c r="H168" s="73">
        <v>15815727.619999999</v>
      </c>
      <c r="I168" s="44">
        <f t="shared" si="54"/>
        <v>10126234.949999999</v>
      </c>
      <c r="J168" s="73">
        <v>0</v>
      </c>
      <c r="K168" s="73">
        <v>10126234.949999999</v>
      </c>
      <c r="L168" s="73">
        <v>10126234.949999999</v>
      </c>
      <c r="M168" s="45">
        <f t="shared" si="70"/>
        <v>0.64026361564261691</v>
      </c>
      <c r="N168" s="45">
        <f t="shared" si="71"/>
        <v>0</v>
      </c>
      <c r="O168" s="45">
        <f t="shared" si="72"/>
        <v>0.64026361564261691</v>
      </c>
      <c r="P168" s="45">
        <f t="shared" si="73"/>
        <v>0.64026361564261691</v>
      </c>
    </row>
    <row r="169" spans="1:16" s="32" customFormat="1" ht="37.5" x14ac:dyDescent="0.25">
      <c r="A169" s="34">
        <v>1517370</v>
      </c>
      <c r="B169" s="36" t="s">
        <v>376</v>
      </c>
      <c r="C169" s="36" t="s">
        <v>21</v>
      </c>
      <c r="D169" s="52" t="s">
        <v>120</v>
      </c>
      <c r="E169" s="44">
        <f t="shared" si="69"/>
        <v>19920588</v>
      </c>
      <c r="F169" s="73">
        <v>0</v>
      </c>
      <c r="G169" s="73">
        <v>19920588</v>
      </c>
      <c r="H169" s="73">
        <v>19920588</v>
      </c>
      <c r="I169" s="44">
        <f t="shared" si="54"/>
        <v>7865688.2199999997</v>
      </c>
      <c r="J169" s="73">
        <v>0</v>
      </c>
      <c r="K169" s="73">
        <v>7865688.2199999997</v>
      </c>
      <c r="L169" s="73">
        <v>7865688.2199999997</v>
      </c>
      <c r="M169" s="45">
        <f t="shared" si="70"/>
        <v>0.39485221118975</v>
      </c>
      <c r="N169" s="45">
        <f t="shared" si="71"/>
        <v>0</v>
      </c>
      <c r="O169" s="45">
        <f t="shared" si="72"/>
        <v>0.39485221118975</v>
      </c>
      <c r="P169" s="45">
        <f t="shared" si="73"/>
        <v>0.39485221118975</v>
      </c>
    </row>
    <row r="170" spans="1:16" s="32" customFormat="1" ht="37.5" x14ac:dyDescent="0.25">
      <c r="A170" s="36" t="s">
        <v>377</v>
      </c>
      <c r="B170" s="36" t="s">
        <v>315</v>
      </c>
      <c r="C170" s="36" t="s">
        <v>316</v>
      </c>
      <c r="D170" s="52" t="s">
        <v>317</v>
      </c>
      <c r="E170" s="44">
        <f t="shared" si="69"/>
        <v>70300</v>
      </c>
      <c r="F170" s="73">
        <v>70300</v>
      </c>
      <c r="G170" s="73">
        <v>0</v>
      </c>
      <c r="H170" s="74">
        <v>0</v>
      </c>
      <c r="I170" s="44">
        <f t="shared" si="54"/>
        <v>39209</v>
      </c>
      <c r="J170" s="73">
        <v>39209</v>
      </c>
      <c r="K170" s="74">
        <v>0</v>
      </c>
      <c r="L170" s="74">
        <v>0</v>
      </c>
      <c r="M170" s="45">
        <f t="shared" si="70"/>
        <v>0.55773826458036979</v>
      </c>
      <c r="N170" s="45">
        <f t="shared" si="71"/>
        <v>0.55773826458036979</v>
      </c>
      <c r="O170" s="45">
        <f t="shared" si="72"/>
        <v>0</v>
      </c>
      <c r="P170" s="45">
        <f t="shared" si="73"/>
        <v>0</v>
      </c>
    </row>
    <row r="171" spans="1:16" s="31" customFormat="1" ht="56.25" x14ac:dyDescent="0.25">
      <c r="A171" s="36" t="s">
        <v>264</v>
      </c>
      <c r="B171" s="36" t="s">
        <v>370</v>
      </c>
      <c r="C171" s="36" t="s">
        <v>4</v>
      </c>
      <c r="D171" s="52" t="s">
        <v>131</v>
      </c>
      <c r="E171" s="44">
        <f t="shared" si="69"/>
        <v>4791300</v>
      </c>
      <c r="F171" s="73">
        <v>0</v>
      </c>
      <c r="G171" s="73">
        <v>4791300</v>
      </c>
      <c r="H171" s="73">
        <v>4791300</v>
      </c>
      <c r="I171" s="73">
        <v>0</v>
      </c>
      <c r="J171" s="73">
        <v>0</v>
      </c>
      <c r="K171" s="74">
        <v>0</v>
      </c>
      <c r="L171" s="74">
        <v>0</v>
      </c>
      <c r="M171" s="45">
        <f t="shared" si="70"/>
        <v>0</v>
      </c>
      <c r="N171" s="45">
        <f t="shared" si="71"/>
        <v>0</v>
      </c>
      <c r="O171" s="45">
        <f t="shared" si="72"/>
        <v>0</v>
      </c>
      <c r="P171" s="45">
        <f t="shared" si="73"/>
        <v>0</v>
      </c>
    </row>
    <row r="172" spans="1:16" s="31" customFormat="1" ht="75" x14ac:dyDescent="0.25">
      <c r="A172" s="33" t="s">
        <v>89</v>
      </c>
      <c r="B172" s="33" t="s">
        <v>223</v>
      </c>
      <c r="C172" s="33" t="s">
        <v>223</v>
      </c>
      <c r="D172" s="56" t="s">
        <v>257</v>
      </c>
      <c r="E172" s="43">
        <f t="shared" si="69"/>
        <v>28991300</v>
      </c>
      <c r="F172" s="72">
        <f>F173</f>
        <v>28991300</v>
      </c>
      <c r="G172" s="72">
        <f t="shared" ref="G172:H172" si="80">G173</f>
        <v>0</v>
      </c>
      <c r="H172" s="72">
        <f t="shared" si="80"/>
        <v>0</v>
      </c>
      <c r="I172" s="43">
        <f t="shared" si="54"/>
        <v>12534401.289999999</v>
      </c>
      <c r="J172" s="72">
        <f>J173</f>
        <v>12534401.289999999</v>
      </c>
      <c r="K172" s="72">
        <f t="shared" ref="K172" si="81">K173</f>
        <v>0</v>
      </c>
      <c r="L172" s="72">
        <f t="shared" ref="L172" si="82">L173</f>
        <v>0</v>
      </c>
      <c r="M172" s="42">
        <f t="shared" si="70"/>
        <v>0.43235043926971189</v>
      </c>
      <c r="N172" s="42">
        <f t="shared" si="71"/>
        <v>0.43235043926971189</v>
      </c>
      <c r="O172" s="42">
        <f t="shared" si="72"/>
        <v>0</v>
      </c>
      <c r="P172" s="42">
        <f t="shared" si="73"/>
        <v>0</v>
      </c>
    </row>
    <row r="173" spans="1:16" s="20" customFormat="1" ht="75" x14ac:dyDescent="0.25">
      <c r="A173" s="33" t="s">
        <v>90</v>
      </c>
      <c r="B173" s="33" t="s">
        <v>223</v>
      </c>
      <c r="C173" s="33" t="s">
        <v>223</v>
      </c>
      <c r="D173" s="56" t="s">
        <v>257</v>
      </c>
      <c r="E173" s="43">
        <f t="shared" si="69"/>
        <v>28991300</v>
      </c>
      <c r="F173" s="72">
        <f>F174+F175+F176+F177+F178+F179+F180+F181</f>
        <v>28991300</v>
      </c>
      <c r="G173" s="72">
        <f t="shared" ref="G173:H173" si="83">G174+G175+G176+G177+G178+G179+G180+G181</f>
        <v>0</v>
      </c>
      <c r="H173" s="72">
        <f t="shared" si="83"/>
        <v>0</v>
      </c>
      <c r="I173" s="43">
        <f t="shared" si="54"/>
        <v>12534401.289999999</v>
      </c>
      <c r="J173" s="72">
        <f>J174+J175+J176+J177+J178+J179+J180+J181</f>
        <v>12534401.289999999</v>
      </c>
      <c r="K173" s="72">
        <f t="shared" ref="K173" si="84">K174+K175+K176+K177+K178+K179+K180+K181</f>
        <v>0</v>
      </c>
      <c r="L173" s="72">
        <f t="shared" ref="L173" si="85">L174+L175+L176+L177+L178+L179+L180+L181</f>
        <v>0</v>
      </c>
      <c r="M173" s="42">
        <f t="shared" si="70"/>
        <v>0.43235043926971189</v>
      </c>
      <c r="N173" s="42">
        <f t="shared" si="71"/>
        <v>0.43235043926971189</v>
      </c>
      <c r="O173" s="42">
        <f t="shared" si="72"/>
        <v>0</v>
      </c>
      <c r="P173" s="42">
        <f t="shared" si="73"/>
        <v>0</v>
      </c>
    </row>
    <row r="174" spans="1:16" s="18" customFormat="1" ht="56.25" x14ac:dyDescent="0.25">
      <c r="A174" s="34" t="s">
        <v>91</v>
      </c>
      <c r="B174" s="34" t="s">
        <v>54</v>
      </c>
      <c r="C174" s="34" t="s">
        <v>2</v>
      </c>
      <c r="D174" s="52" t="s">
        <v>240</v>
      </c>
      <c r="E174" s="44">
        <f t="shared" si="69"/>
        <v>5601700</v>
      </c>
      <c r="F174" s="73">
        <v>5601700</v>
      </c>
      <c r="G174" s="73">
        <v>0</v>
      </c>
      <c r="H174" s="73">
        <v>0</v>
      </c>
      <c r="I174" s="44">
        <f t="shared" si="54"/>
        <v>2492500.4300000002</v>
      </c>
      <c r="J174" s="73">
        <v>2492500.4300000002</v>
      </c>
      <c r="K174" s="74">
        <v>0</v>
      </c>
      <c r="L174" s="74">
        <v>0</v>
      </c>
      <c r="M174" s="45">
        <f t="shared" si="70"/>
        <v>0.44495428709141871</v>
      </c>
      <c r="N174" s="45">
        <f t="shared" si="71"/>
        <v>0.44495428709141871</v>
      </c>
      <c r="O174" s="45">
        <f t="shared" si="72"/>
        <v>0</v>
      </c>
      <c r="P174" s="45">
        <f t="shared" si="73"/>
        <v>0</v>
      </c>
    </row>
    <row r="175" spans="1:16" s="18" customFormat="1" ht="37.5" x14ac:dyDescent="0.25">
      <c r="A175" s="34" t="s">
        <v>98</v>
      </c>
      <c r="B175" s="34" t="s">
        <v>9</v>
      </c>
      <c r="C175" s="34" t="s">
        <v>5</v>
      </c>
      <c r="D175" s="52" t="s">
        <v>99</v>
      </c>
      <c r="E175" s="44">
        <f t="shared" si="69"/>
        <v>115000</v>
      </c>
      <c r="F175" s="73">
        <v>115000</v>
      </c>
      <c r="G175" s="73">
        <v>0</v>
      </c>
      <c r="H175" s="73">
        <v>0</v>
      </c>
      <c r="I175" s="44">
        <f t="shared" si="54"/>
        <v>12000</v>
      </c>
      <c r="J175" s="73">
        <v>12000</v>
      </c>
      <c r="K175" s="74">
        <v>0</v>
      </c>
      <c r="L175" s="74">
        <v>0</v>
      </c>
      <c r="M175" s="45">
        <f t="shared" si="70"/>
        <v>0.10434782608695652</v>
      </c>
      <c r="N175" s="45">
        <f t="shared" si="71"/>
        <v>0.10434782608695652</v>
      </c>
      <c r="O175" s="45">
        <f t="shared" si="72"/>
        <v>0</v>
      </c>
      <c r="P175" s="45">
        <f t="shared" si="73"/>
        <v>0</v>
      </c>
    </row>
    <row r="176" spans="1:16" s="48" customFormat="1" ht="56.25" x14ac:dyDescent="0.25">
      <c r="A176" s="34" t="s">
        <v>178</v>
      </c>
      <c r="B176" s="34" t="s">
        <v>148</v>
      </c>
      <c r="C176" s="34" t="s">
        <v>8</v>
      </c>
      <c r="D176" s="52" t="s">
        <v>254</v>
      </c>
      <c r="E176" s="44">
        <f t="shared" si="69"/>
        <v>200000</v>
      </c>
      <c r="F176" s="73">
        <v>200000</v>
      </c>
      <c r="G176" s="73">
        <v>0</v>
      </c>
      <c r="H176" s="73">
        <v>0</v>
      </c>
      <c r="I176" s="44">
        <f t="shared" si="54"/>
        <v>100078.95</v>
      </c>
      <c r="J176" s="73">
        <v>100078.95</v>
      </c>
      <c r="K176" s="74">
        <v>0</v>
      </c>
      <c r="L176" s="74">
        <v>0</v>
      </c>
      <c r="M176" s="45">
        <f t="shared" si="70"/>
        <v>0.50039475</v>
      </c>
      <c r="N176" s="45">
        <f t="shared" si="71"/>
        <v>0.50039475</v>
      </c>
      <c r="O176" s="45">
        <f t="shared" si="72"/>
        <v>0</v>
      </c>
      <c r="P176" s="45">
        <f t="shared" si="73"/>
        <v>0</v>
      </c>
    </row>
    <row r="177" spans="1:16" s="18" customFormat="1" ht="37.5" x14ac:dyDescent="0.25">
      <c r="A177" s="36" t="s">
        <v>378</v>
      </c>
      <c r="B177" s="34">
        <v>6090</v>
      </c>
      <c r="C177" s="36" t="s">
        <v>360</v>
      </c>
      <c r="D177" s="52" t="s">
        <v>379</v>
      </c>
      <c r="E177" s="44">
        <f t="shared" si="69"/>
        <v>1500000</v>
      </c>
      <c r="F177" s="73">
        <v>1500000</v>
      </c>
      <c r="G177" s="73">
        <v>0</v>
      </c>
      <c r="H177" s="73">
        <v>0</v>
      </c>
      <c r="I177" s="44">
        <f t="shared" si="54"/>
        <v>750000</v>
      </c>
      <c r="J177" s="73">
        <v>750000</v>
      </c>
      <c r="K177" s="74">
        <v>0</v>
      </c>
      <c r="L177" s="74">
        <v>0</v>
      </c>
      <c r="M177" s="45">
        <f t="shared" si="70"/>
        <v>0.5</v>
      </c>
      <c r="N177" s="45">
        <f t="shared" si="71"/>
        <v>0.5</v>
      </c>
      <c r="O177" s="45">
        <f t="shared" si="72"/>
        <v>0</v>
      </c>
      <c r="P177" s="45">
        <f t="shared" si="73"/>
        <v>0</v>
      </c>
    </row>
    <row r="178" spans="1:16" s="17" customFormat="1" ht="18.75" x14ac:dyDescent="0.25">
      <c r="A178" s="34" t="s">
        <v>276</v>
      </c>
      <c r="B178" s="34" t="s">
        <v>277</v>
      </c>
      <c r="C178" s="34" t="s">
        <v>278</v>
      </c>
      <c r="D178" s="52" t="s">
        <v>279</v>
      </c>
      <c r="E178" s="44">
        <f t="shared" si="69"/>
        <v>1160000</v>
      </c>
      <c r="F178" s="73">
        <v>1160000</v>
      </c>
      <c r="G178" s="73">
        <v>0</v>
      </c>
      <c r="H178" s="73">
        <v>0</v>
      </c>
      <c r="I178" s="44">
        <f t="shared" si="54"/>
        <v>99966.8</v>
      </c>
      <c r="J178" s="73">
        <v>99966.8</v>
      </c>
      <c r="K178" s="74">
        <v>0</v>
      </c>
      <c r="L178" s="74">
        <v>0</v>
      </c>
      <c r="M178" s="45">
        <f t="shared" si="70"/>
        <v>8.617827586206897E-2</v>
      </c>
      <c r="N178" s="45">
        <f t="shared" si="71"/>
        <v>8.617827586206897E-2</v>
      </c>
      <c r="O178" s="45">
        <f t="shared" si="72"/>
        <v>0</v>
      </c>
      <c r="P178" s="45">
        <f t="shared" si="73"/>
        <v>0</v>
      </c>
    </row>
    <row r="179" spans="1:16" s="17" customFormat="1" ht="37.5" x14ac:dyDescent="0.25">
      <c r="A179" s="36" t="s">
        <v>380</v>
      </c>
      <c r="B179" s="36" t="s">
        <v>315</v>
      </c>
      <c r="C179" s="36" t="s">
        <v>316</v>
      </c>
      <c r="D179" s="52" t="s">
        <v>317</v>
      </c>
      <c r="E179" s="44">
        <f t="shared" si="69"/>
        <v>48600</v>
      </c>
      <c r="F179" s="73">
        <v>48600</v>
      </c>
      <c r="G179" s="73">
        <v>0</v>
      </c>
      <c r="H179" s="73"/>
      <c r="I179" s="44">
        <f t="shared" si="54"/>
        <v>40000</v>
      </c>
      <c r="J179" s="73">
        <v>40000</v>
      </c>
      <c r="K179" s="74">
        <v>0</v>
      </c>
      <c r="L179" s="74">
        <v>0</v>
      </c>
      <c r="M179" s="45">
        <f t="shared" si="70"/>
        <v>0.82304526748971196</v>
      </c>
      <c r="N179" s="45">
        <f t="shared" si="71"/>
        <v>0.82304526748971196</v>
      </c>
      <c r="O179" s="45">
        <f t="shared" si="72"/>
        <v>0</v>
      </c>
      <c r="P179" s="45">
        <f t="shared" si="73"/>
        <v>0</v>
      </c>
    </row>
    <row r="180" spans="1:16" s="17" customFormat="1" ht="37.5" x14ac:dyDescent="0.25">
      <c r="A180" s="34" t="s">
        <v>167</v>
      </c>
      <c r="B180" s="34" t="s">
        <v>130</v>
      </c>
      <c r="C180" s="34" t="s">
        <v>21</v>
      </c>
      <c r="D180" s="52" t="s">
        <v>255</v>
      </c>
      <c r="E180" s="44">
        <f t="shared" si="69"/>
        <v>20221000</v>
      </c>
      <c r="F180" s="73">
        <v>20221000</v>
      </c>
      <c r="G180" s="73">
        <v>0</v>
      </c>
      <c r="H180" s="73">
        <v>0</v>
      </c>
      <c r="I180" s="44">
        <f t="shared" si="54"/>
        <v>8990158.1600000001</v>
      </c>
      <c r="J180" s="73">
        <f>1210943.52+7779214.64</f>
        <v>8990158.1600000001</v>
      </c>
      <c r="K180" s="74">
        <v>0</v>
      </c>
      <c r="L180" s="74">
        <v>0</v>
      </c>
      <c r="M180" s="45">
        <f t="shared" si="70"/>
        <v>0.44459513179367982</v>
      </c>
      <c r="N180" s="45">
        <f t="shared" si="71"/>
        <v>0.44459513179367982</v>
      </c>
      <c r="O180" s="45">
        <f t="shared" si="72"/>
        <v>0</v>
      </c>
      <c r="P180" s="45">
        <f t="shared" si="73"/>
        <v>0</v>
      </c>
    </row>
    <row r="181" spans="1:16" s="18" customFormat="1" ht="18.75" x14ac:dyDescent="0.25">
      <c r="A181" s="34" t="s">
        <v>263</v>
      </c>
      <c r="B181" s="34" t="s">
        <v>238</v>
      </c>
      <c r="C181" s="34" t="s">
        <v>153</v>
      </c>
      <c r="D181" s="52" t="s">
        <v>239</v>
      </c>
      <c r="E181" s="44">
        <f t="shared" si="69"/>
        <v>145000</v>
      </c>
      <c r="F181" s="73">
        <v>145000</v>
      </c>
      <c r="G181" s="73">
        <v>0</v>
      </c>
      <c r="H181" s="73">
        <v>0</v>
      </c>
      <c r="I181" s="44">
        <f t="shared" si="54"/>
        <v>49696.95</v>
      </c>
      <c r="J181" s="73">
        <v>49696.95</v>
      </c>
      <c r="K181" s="74">
        <v>0</v>
      </c>
      <c r="L181" s="74">
        <v>0</v>
      </c>
      <c r="M181" s="45">
        <f t="shared" si="70"/>
        <v>0.34273758620689654</v>
      </c>
      <c r="N181" s="45">
        <f t="shared" si="71"/>
        <v>0.34273758620689654</v>
      </c>
      <c r="O181" s="45">
        <f t="shared" si="72"/>
        <v>0</v>
      </c>
      <c r="P181" s="45">
        <f t="shared" si="73"/>
        <v>0</v>
      </c>
    </row>
    <row r="182" spans="1:16" s="41" customFormat="1" ht="56.25" x14ac:dyDescent="0.25">
      <c r="A182" s="33" t="s">
        <v>92</v>
      </c>
      <c r="B182" s="33" t="s">
        <v>223</v>
      </c>
      <c r="C182" s="33" t="s">
        <v>223</v>
      </c>
      <c r="D182" s="56" t="s">
        <v>258</v>
      </c>
      <c r="E182" s="43">
        <f t="shared" si="69"/>
        <v>190828073</v>
      </c>
      <c r="F182" s="72">
        <f>F183</f>
        <v>158977691</v>
      </c>
      <c r="G182" s="72">
        <f t="shared" ref="G182:H182" si="86">G183</f>
        <v>31850382</v>
      </c>
      <c r="H182" s="72">
        <f t="shared" si="86"/>
        <v>31850382</v>
      </c>
      <c r="I182" s="43">
        <f t="shared" si="54"/>
        <v>113412659.52000001</v>
      </c>
      <c r="J182" s="72">
        <f>J183</f>
        <v>85062277.520000011</v>
      </c>
      <c r="K182" s="72">
        <f t="shared" ref="K182" si="87">K183</f>
        <v>28350382</v>
      </c>
      <c r="L182" s="72">
        <f t="shared" ref="L182" si="88">L183</f>
        <v>28350382</v>
      </c>
      <c r="M182" s="42">
        <f t="shared" si="70"/>
        <v>0.59431852838549604</v>
      </c>
      <c r="N182" s="42">
        <f t="shared" si="71"/>
        <v>0.53505795048941807</v>
      </c>
      <c r="O182" s="42">
        <f t="shared" si="72"/>
        <v>0.8901112080853536</v>
      </c>
      <c r="P182" s="42">
        <f t="shared" si="73"/>
        <v>0.8901112080853536</v>
      </c>
    </row>
    <row r="183" spans="1:16" s="41" customFormat="1" ht="56.25" x14ac:dyDescent="0.25">
      <c r="A183" s="33" t="s">
        <v>93</v>
      </c>
      <c r="B183" s="33" t="s">
        <v>223</v>
      </c>
      <c r="C183" s="33" t="s">
        <v>223</v>
      </c>
      <c r="D183" s="56" t="s">
        <v>258</v>
      </c>
      <c r="E183" s="43">
        <f t="shared" si="69"/>
        <v>190828073</v>
      </c>
      <c r="F183" s="72">
        <f>F184+F185+F186+F187+F188+F195</f>
        <v>158977691</v>
      </c>
      <c r="G183" s="72">
        <f t="shared" ref="G183:H183" si="89">G184+G185+G186+G187+G188+G195</f>
        <v>31850382</v>
      </c>
      <c r="H183" s="72">
        <f t="shared" si="89"/>
        <v>31850382</v>
      </c>
      <c r="I183" s="43">
        <f t="shared" ref="I183:I201" si="90">J183+K183</f>
        <v>113412659.52000001</v>
      </c>
      <c r="J183" s="72">
        <f>J184+J185+J186+J187+J188+J195</f>
        <v>85062277.520000011</v>
      </c>
      <c r="K183" s="72">
        <f t="shared" ref="K183" si="91">K184+K185+K186+K187+K188+K195</f>
        <v>28350382</v>
      </c>
      <c r="L183" s="72">
        <f t="shared" ref="L183" si="92">L184+L185+L186+L187+L188+L195</f>
        <v>28350382</v>
      </c>
      <c r="M183" s="42">
        <f t="shared" si="70"/>
        <v>0.59431852838549604</v>
      </c>
      <c r="N183" s="42">
        <f t="shared" si="71"/>
        <v>0.53505795048941807</v>
      </c>
      <c r="O183" s="42">
        <f t="shared" si="72"/>
        <v>0.8901112080853536</v>
      </c>
      <c r="P183" s="42">
        <f t="shared" si="73"/>
        <v>0.8901112080853536</v>
      </c>
    </row>
    <row r="184" spans="1:16" s="17" customFormat="1" ht="56.25" x14ac:dyDescent="0.25">
      <c r="A184" s="34" t="s">
        <v>94</v>
      </c>
      <c r="B184" s="34" t="s">
        <v>54</v>
      </c>
      <c r="C184" s="34" t="s">
        <v>2</v>
      </c>
      <c r="D184" s="52" t="s">
        <v>240</v>
      </c>
      <c r="E184" s="44">
        <f t="shared" si="69"/>
        <v>8035900</v>
      </c>
      <c r="F184" s="73">
        <v>8035900</v>
      </c>
      <c r="G184" s="73">
        <v>0</v>
      </c>
      <c r="H184" s="73">
        <v>0</v>
      </c>
      <c r="I184" s="44">
        <f t="shared" si="90"/>
        <v>4153653.52</v>
      </c>
      <c r="J184" s="73">
        <v>4153653.52</v>
      </c>
      <c r="K184" s="74">
        <v>0</v>
      </c>
      <c r="L184" s="74">
        <v>0</v>
      </c>
      <c r="M184" s="45">
        <f t="shared" si="70"/>
        <v>0.5168871588745505</v>
      </c>
      <c r="N184" s="45">
        <f t="shared" si="71"/>
        <v>0.5168871588745505</v>
      </c>
      <c r="O184" s="45">
        <f t="shared" si="72"/>
        <v>0</v>
      </c>
      <c r="P184" s="45">
        <f t="shared" si="73"/>
        <v>0</v>
      </c>
    </row>
    <row r="185" spans="1:16" s="17" customFormat="1" ht="37.5" x14ac:dyDescent="0.25">
      <c r="A185" s="36" t="s">
        <v>381</v>
      </c>
      <c r="B185" s="36" t="s">
        <v>315</v>
      </c>
      <c r="C185" s="36" t="s">
        <v>316</v>
      </c>
      <c r="D185" s="52" t="s">
        <v>317</v>
      </c>
      <c r="E185" s="44">
        <f t="shared" si="69"/>
        <v>92500</v>
      </c>
      <c r="F185" s="73">
        <v>92500</v>
      </c>
      <c r="G185" s="73">
        <v>0</v>
      </c>
      <c r="H185" s="73">
        <v>0</v>
      </c>
      <c r="I185" s="44">
        <f t="shared" si="90"/>
        <v>38583</v>
      </c>
      <c r="J185" s="73">
        <v>38583</v>
      </c>
      <c r="K185" s="74">
        <v>0</v>
      </c>
      <c r="L185" s="74">
        <v>0</v>
      </c>
      <c r="M185" s="45">
        <f t="shared" si="70"/>
        <v>0.4171135135135135</v>
      </c>
      <c r="N185" s="45">
        <f t="shared" si="71"/>
        <v>0.4171135135135135</v>
      </c>
      <c r="O185" s="45">
        <f t="shared" si="72"/>
        <v>0</v>
      </c>
      <c r="P185" s="45">
        <f t="shared" si="73"/>
        <v>0</v>
      </c>
    </row>
    <row r="186" spans="1:16" s="17" customFormat="1" ht="18.75" x14ac:dyDescent="0.25">
      <c r="A186" s="34" t="s">
        <v>202</v>
      </c>
      <c r="B186" s="34" t="s">
        <v>203</v>
      </c>
      <c r="C186" s="34" t="s">
        <v>5</v>
      </c>
      <c r="D186" s="52" t="s">
        <v>259</v>
      </c>
      <c r="E186" s="44">
        <f t="shared" si="69"/>
        <v>6232361</v>
      </c>
      <c r="F186" s="73">
        <v>6232361</v>
      </c>
      <c r="G186" s="73">
        <v>0</v>
      </c>
      <c r="H186" s="73">
        <v>0</v>
      </c>
      <c r="I186" s="74">
        <v>0</v>
      </c>
      <c r="J186" s="73">
        <v>0</v>
      </c>
      <c r="K186" s="74">
        <v>0</v>
      </c>
      <c r="L186" s="74">
        <v>0</v>
      </c>
      <c r="M186" s="45">
        <f t="shared" si="70"/>
        <v>0</v>
      </c>
      <c r="N186" s="45">
        <f t="shared" si="71"/>
        <v>0</v>
      </c>
      <c r="O186" s="45">
        <f t="shared" si="72"/>
        <v>0</v>
      </c>
      <c r="P186" s="45">
        <f t="shared" si="73"/>
        <v>0</v>
      </c>
    </row>
    <row r="187" spans="1:16" s="20" customFormat="1" ht="18.75" x14ac:dyDescent="0.25">
      <c r="A187" s="34">
        <v>3719110</v>
      </c>
      <c r="B187" s="34">
        <v>9110</v>
      </c>
      <c r="C187" s="36" t="s">
        <v>9</v>
      </c>
      <c r="D187" s="52" t="s">
        <v>382</v>
      </c>
      <c r="E187" s="44">
        <f t="shared" si="69"/>
        <v>63874800</v>
      </c>
      <c r="F187" s="73">
        <v>63874800</v>
      </c>
      <c r="G187" s="73">
        <v>0</v>
      </c>
      <c r="H187" s="73">
        <v>0</v>
      </c>
      <c r="I187" s="44">
        <f t="shared" si="90"/>
        <v>31937400</v>
      </c>
      <c r="J187" s="73">
        <v>31937400</v>
      </c>
      <c r="K187" s="73">
        <v>0</v>
      </c>
      <c r="L187" s="74">
        <v>0</v>
      </c>
      <c r="M187" s="45">
        <f t="shared" si="70"/>
        <v>0.5</v>
      </c>
      <c r="N187" s="45">
        <f t="shared" si="71"/>
        <v>0.5</v>
      </c>
      <c r="O187" s="45">
        <f t="shared" si="72"/>
        <v>0</v>
      </c>
      <c r="P187" s="45">
        <f t="shared" si="73"/>
        <v>0</v>
      </c>
    </row>
    <row r="188" spans="1:16" s="18" customFormat="1" ht="18.75" x14ac:dyDescent="0.25">
      <c r="A188" s="34" t="s">
        <v>383</v>
      </c>
      <c r="B188" s="34" t="s">
        <v>384</v>
      </c>
      <c r="C188" s="34" t="s">
        <v>9</v>
      </c>
      <c r="D188" s="52" t="s">
        <v>151</v>
      </c>
      <c r="E188" s="44">
        <f t="shared" si="69"/>
        <v>15972912</v>
      </c>
      <c r="F188" s="73">
        <f>F189+F190+F191+F192+F193+F194</f>
        <v>14931612</v>
      </c>
      <c r="G188" s="73">
        <f t="shared" ref="G188:H188" si="93">G189+G190+G191+G192+G193+G194</f>
        <v>1041300</v>
      </c>
      <c r="H188" s="73">
        <f t="shared" si="93"/>
        <v>1041300</v>
      </c>
      <c r="I188" s="44">
        <f t="shared" si="90"/>
        <v>14632600</v>
      </c>
      <c r="J188" s="73">
        <v>13591300</v>
      </c>
      <c r="K188" s="73">
        <f t="shared" ref="K188" si="94">K189+K190+K191+K192+K193+K194</f>
        <v>1041300</v>
      </c>
      <c r="L188" s="73">
        <f t="shared" ref="L188" si="95">L189+L190+L191+L192+L193+L194</f>
        <v>1041300</v>
      </c>
      <c r="M188" s="45">
        <f t="shared" si="70"/>
        <v>0.91608843772506854</v>
      </c>
      <c r="N188" s="45">
        <f t="shared" si="71"/>
        <v>0.91023661745295814</v>
      </c>
      <c r="O188" s="45">
        <f t="shared" si="72"/>
        <v>1</v>
      </c>
      <c r="P188" s="45">
        <f t="shared" si="73"/>
        <v>1</v>
      </c>
    </row>
    <row r="189" spans="1:16" s="17" customFormat="1" ht="150" x14ac:dyDescent="0.25">
      <c r="A189" s="35"/>
      <c r="B189" s="35"/>
      <c r="C189" s="35"/>
      <c r="D189" s="38" t="s">
        <v>385</v>
      </c>
      <c r="E189" s="46">
        <f t="shared" si="69"/>
        <v>1958700</v>
      </c>
      <c r="F189" s="74">
        <v>1958700</v>
      </c>
      <c r="G189" s="74">
        <v>0</v>
      </c>
      <c r="H189" s="74">
        <v>0</v>
      </c>
      <c r="I189" s="46">
        <f t="shared" si="90"/>
        <v>1958700</v>
      </c>
      <c r="J189" s="74">
        <v>1958700</v>
      </c>
      <c r="K189" s="74">
        <v>0</v>
      </c>
      <c r="L189" s="74">
        <v>0</v>
      </c>
      <c r="M189" s="47">
        <f t="shared" si="70"/>
        <v>1</v>
      </c>
      <c r="N189" s="47">
        <f t="shared" si="71"/>
        <v>1</v>
      </c>
      <c r="O189" s="47">
        <f t="shared" si="72"/>
        <v>0</v>
      </c>
      <c r="P189" s="47">
        <f t="shared" si="73"/>
        <v>0</v>
      </c>
    </row>
    <row r="190" spans="1:16" s="17" customFormat="1" ht="56.25" x14ac:dyDescent="0.25">
      <c r="A190" s="35"/>
      <c r="B190" s="35"/>
      <c r="C190" s="35"/>
      <c r="D190" s="58" t="s">
        <v>386</v>
      </c>
      <c r="E190" s="46">
        <f t="shared" si="69"/>
        <v>500000</v>
      </c>
      <c r="F190" s="74">
        <v>500000</v>
      </c>
      <c r="G190" s="74">
        <v>0</v>
      </c>
      <c r="H190" s="74">
        <v>0</v>
      </c>
      <c r="I190" s="46">
        <f t="shared" si="90"/>
        <v>500000</v>
      </c>
      <c r="J190" s="74">
        <v>500000</v>
      </c>
      <c r="K190" s="74">
        <v>0</v>
      </c>
      <c r="L190" s="74">
        <v>0</v>
      </c>
      <c r="M190" s="47">
        <f t="shared" si="70"/>
        <v>1</v>
      </c>
      <c r="N190" s="47">
        <f t="shared" si="71"/>
        <v>1</v>
      </c>
      <c r="O190" s="47">
        <f t="shared" si="72"/>
        <v>0</v>
      </c>
      <c r="P190" s="47">
        <f t="shared" si="73"/>
        <v>0</v>
      </c>
    </row>
    <row r="191" spans="1:16" s="17" customFormat="1" ht="93.75" x14ac:dyDescent="0.25">
      <c r="A191" s="35"/>
      <c r="B191" s="35"/>
      <c r="C191" s="35"/>
      <c r="D191" s="38" t="s">
        <v>303</v>
      </c>
      <c r="E191" s="46">
        <f t="shared" si="69"/>
        <v>2241100</v>
      </c>
      <c r="F191" s="74">
        <v>2241100</v>
      </c>
      <c r="G191" s="74">
        <v>0</v>
      </c>
      <c r="H191" s="74">
        <v>0</v>
      </c>
      <c r="I191" s="46">
        <f t="shared" si="90"/>
        <v>1132600</v>
      </c>
      <c r="J191" s="74">
        <v>1132600</v>
      </c>
      <c r="K191" s="74">
        <v>0</v>
      </c>
      <c r="L191" s="74">
        <v>0</v>
      </c>
      <c r="M191" s="47">
        <f t="shared" si="70"/>
        <v>0.50537682388112981</v>
      </c>
      <c r="N191" s="47">
        <f t="shared" si="71"/>
        <v>0.50537682388112981</v>
      </c>
      <c r="O191" s="47">
        <f t="shared" si="72"/>
        <v>0</v>
      </c>
      <c r="P191" s="47">
        <f t="shared" si="73"/>
        <v>0</v>
      </c>
    </row>
    <row r="192" spans="1:16" s="17" customFormat="1" ht="112.5" x14ac:dyDescent="0.25">
      <c r="A192" s="35"/>
      <c r="B192" s="35"/>
      <c r="C192" s="35"/>
      <c r="D192" s="38" t="s">
        <v>387</v>
      </c>
      <c r="E192" s="46">
        <f t="shared" si="69"/>
        <v>10000000</v>
      </c>
      <c r="F192" s="74">
        <v>10000000</v>
      </c>
      <c r="G192" s="74">
        <v>0</v>
      </c>
      <c r="H192" s="74">
        <v>0</v>
      </c>
      <c r="I192" s="46">
        <f t="shared" si="90"/>
        <v>10000000</v>
      </c>
      <c r="J192" s="74">
        <v>10000000</v>
      </c>
      <c r="K192" s="74">
        <v>0</v>
      </c>
      <c r="L192" s="74">
        <v>0</v>
      </c>
      <c r="M192" s="47">
        <f t="shared" si="70"/>
        <v>1</v>
      </c>
      <c r="N192" s="47">
        <f t="shared" si="71"/>
        <v>1</v>
      </c>
      <c r="O192" s="47">
        <f t="shared" si="72"/>
        <v>0</v>
      </c>
      <c r="P192" s="47">
        <f t="shared" si="73"/>
        <v>0</v>
      </c>
    </row>
    <row r="193" spans="1:16" s="17" customFormat="1" ht="56.25" x14ac:dyDescent="0.25">
      <c r="A193" s="35"/>
      <c r="B193" s="35"/>
      <c r="C193" s="35"/>
      <c r="D193" s="38" t="s">
        <v>423</v>
      </c>
      <c r="E193" s="46">
        <f t="shared" si="69"/>
        <v>1041300</v>
      </c>
      <c r="F193" s="74">
        <v>0</v>
      </c>
      <c r="G193" s="74">
        <v>1041300</v>
      </c>
      <c r="H193" s="74">
        <v>1041300</v>
      </c>
      <c r="I193" s="46">
        <f t="shared" si="90"/>
        <v>1041300</v>
      </c>
      <c r="J193" s="74">
        <v>0</v>
      </c>
      <c r="K193" s="74">
        <v>1041300</v>
      </c>
      <c r="L193" s="74">
        <v>1041300</v>
      </c>
      <c r="M193" s="47">
        <f t="shared" si="70"/>
        <v>1</v>
      </c>
      <c r="N193" s="47">
        <f t="shared" si="71"/>
        <v>0</v>
      </c>
      <c r="O193" s="47">
        <f t="shared" si="72"/>
        <v>1</v>
      </c>
      <c r="P193" s="47">
        <f t="shared" si="73"/>
        <v>1</v>
      </c>
    </row>
    <row r="194" spans="1:16" s="17" customFormat="1" ht="37.5" x14ac:dyDescent="0.25">
      <c r="A194" s="35"/>
      <c r="B194" s="35"/>
      <c r="C194" s="35"/>
      <c r="D194" s="38" t="s">
        <v>424</v>
      </c>
      <c r="E194" s="46">
        <f t="shared" si="69"/>
        <v>231812</v>
      </c>
      <c r="F194" s="74">
        <v>231812</v>
      </c>
      <c r="G194" s="74">
        <v>0</v>
      </c>
      <c r="H194" s="74">
        <v>0</v>
      </c>
      <c r="I194" s="74">
        <v>0</v>
      </c>
      <c r="J194" s="74">
        <v>0</v>
      </c>
      <c r="K194" s="74">
        <v>0</v>
      </c>
      <c r="L194" s="74">
        <v>0</v>
      </c>
      <c r="M194" s="47">
        <f t="shared" si="70"/>
        <v>0</v>
      </c>
      <c r="N194" s="47">
        <f t="shared" si="71"/>
        <v>0</v>
      </c>
      <c r="O194" s="47">
        <f t="shared" si="72"/>
        <v>0</v>
      </c>
      <c r="P194" s="47">
        <f t="shared" si="73"/>
        <v>0</v>
      </c>
    </row>
    <row r="195" spans="1:16" s="18" customFormat="1" ht="75" x14ac:dyDescent="0.25">
      <c r="A195" s="34">
        <v>3719800</v>
      </c>
      <c r="B195" s="34">
        <v>9800</v>
      </c>
      <c r="C195" s="36" t="s">
        <v>9</v>
      </c>
      <c r="D195" s="23" t="s">
        <v>222</v>
      </c>
      <c r="E195" s="44">
        <f t="shared" si="69"/>
        <v>96619600</v>
      </c>
      <c r="F195" s="73">
        <f>F196+F197+F198+F199+F200</f>
        <v>65810518</v>
      </c>
      <c r="G195" s="73">
        <f t="shared" ref="G195:H195" si="96">G196+G197+G198+G199+G200</f>
        <v>30809082</v>
      </c>
      <c r="H195" s="73">
        <f t="shared" si="96"/>
        <v>30809082</v>
      </c>
      <c r="I195" s="44">
        <f t="shared" si="90"/>
        <v>62650423</v>
      </c>
      <c r="J195" s="73">
        <v>35341341</v>
      </c>
      <c r="K195" s="73">
        <f t="shared" ref="K195" si="97">K196+K197+K198+K199+K200</f>
        <v>27309082</v>
      </c>
      <c r="L195" s="73">
        <f t="shared" ref="L195" si="98">L196+L197+L198+L199+L200</f>
        <v>27309082</v>
      </c>
      <c r="M195" s="45">
        <f t="shared" si="70"/>
        <v>0.64842353932328434</v>
      </c>
      <c r="N195" s="45">
        <f t="shared" si="71"/>
        <v>0.53701660576505417</v>
      </c>
      <c r="O195" s="45">
        <f t="shared" si="72"/>
        <v>0.88639713445535318</v>
      </c>
      <c r="P195" s="45">
        <f t="shared" si="73"/>
        <v>0.88639713445535318</v>
      </c>
    </row>
    <row r="196" spans="1:16" s="17" customFormat="1" ht="112.5" x14ac:dyDescent="0.25">
      <c r="A196" s="35"/>
      <c r="B196" s="35"/>
      <c r="C196" s="35"/>
      <c r="D196" s="38" t="s">
        <v>387</v>
      </c>
      <c r="E196" s="46">
        <f t="shared" si="69"/>
        <v>90000000</v>
      </c>
      <c r="F196" s="74">
        <v>61515918</v>
      </c>
      <c r="G196" s="74">
        <v>28484082</v>
      </c>
      <c r="H196" s="74">
        <v>28484082</v>
      </c>
      <c r="I196" s="46">
        <f t="shared" si="90"/>
        <v>56030823</v>
      </c>
      <c r="J196" s="74">
        <v>31046741</v>
      </c>
      <c r="K196" s="74">
        <v>24984082</v>
      </c>
      <c r="L196" s="74">
        <v>24984082</v>
      </c>
      <c r="M196" s="47">
        <f t="shared" si="70"/>
        <v>0.62256469999999997</v>
      </c>
      <c r="N196" s="47">
        <f t="shared" si="71"/>
        <v>0.50469442722126001</v>
      </c>
      <c r="O196" s="47">
        <f t="shared" si="72"/>
        <v>0.87712435317381832</v>
      </c>
      <c r="P196" s="47">
        <f t="shared" si="73"/>
        <v>0.87712435317381832</v>
      </c>
    </row>
    <row r="197" spans="1:16" s="17" customFormat="1" ht="75" x14ac:dyDescent="0.25">
      <c r="A197" s="35"/>
      <c r="B197" s="35"/>
      <c r="C197" s="35"/>
      <c r="D197" s="38" t="s">
        <v>388</v>
      </c>
      <c r="E197" s="46">
        <f t="shared" si="69"/>
        <v>3000000</v>
      </c>
      <c r="F197" s="74">
        <v>1970000</v>
      </c>
      <c r="G197" s="74">
        <v>1030000</v>
      </c>
      <c r="H197" s="74">
        <v>1030000</v>
      </c>
      <c r="I197" s="46">
        <f t="shared" si="90"/>
        <v>3000000</v>
      </c>
      <c r="J197" s="74">
        <v>1970000</v>
      </c>
      <c r="K197" s="74">
        <v>1030000</v>
      </c>
      <c r="L197" s="74">
        <v>1030000</v>
      </c>
      <c r="M197" s="47">
        <f t="shared" si="70"/>
        <v>1</v>
      </c>
      <c r="N197" s="47">
        <f t="shared" si="71"/>
        <v>1</v>
      </c>
      <c r="O197" s="47">
        <f t="shared" si="72"/>
        <v>1</v>
      </c>
      <c r="P197" s="47">
        <f t="shared" si="73"/>
        <v>1</v>
      </c>
    </row>
    <row r="198" spans="1:16" s="17" customFormat="1" ht="75" x14ac:dyDescent="0.25">
      <c r="A198" s="35"/>
      <c r="B198" s="35"/>
      <c r="C198" s="35"/>
      <c r="D198" s="38" t="s">
        <v>389</v>
      </c>
      <c r="E198" s="46">
        <f t="shared" si="69"/>
        <v>2000000</v>
      </c>
      <c r="F198" s="74">
        <v>2000000</v>
      </c>
      <c r="G198" s="74">
        <v>0</v>
      </c>
      <c r="H198" s="74">
        <v>0</v>
      </c>
      <c r="I198" s="46">
        <f t="shared" si="90"/>
        <v>2000000</v>
      </c>
      <c r="J198" s="74">
        <v>2000000</v>
      </c>
      <c r="K198" s="74">
        <v>0</v>
      </c>
      <c r="L198" s="74">
        <v>0</v>
      </c>
      <c r="M198" s="47">
        <f t="shared" si="70"/>
        <v>1</v>
      </c>
      <c r="N198" s="47">
        <f t="shared" si="71"/>
        <v>1</v>
      </c>
      <c r="O198" s="47">
        <f t="shared" si="72"/>
        <v>0</v>
      </c>
      <c r="P198" s="47">
        <f t="shared" si="73"/>
        <v>0</v>
      </c>
    </row>
    <row r="199" spans="1:16" s="41" customFormat="1" ht="56.25" x14ac:dyDescent="0.25">
      <c r="A199" s="35"/>
      <c r="B199" s="35"/>
      <c r="C199" s="35"/>
      <c r="D199" s="38" t="s">
        <v>390</v>
      </c>
      <c r="E199" s="46">
        <f t="shared" si="69"/>
        <v>200000</v>
      </c>
      <c r="F199" s="74">
        <v>200000</v>
      </c>
      <c r="G199" s="74">
        <v>0</v>
      </c>
      <c r="H199" s="74">
        <v>0</v>
      </c>
      <c r="I199" s="46">
        <f t="shared" si="90"/>
        <v>200000</v>
      </c>
      <c r="J199" s="74">
        <v>200000</v>
      </c>
      <c r="K199" s="74">
        <v>0</v>
      </c>
      <c r="L199" s="74">
        <v>0</v>
      </c>
      <c r="M199" s="47">
        <f t="shared" si="70"/>
        <v>1</v>
      </c>
      <c r="N199" s="47">
        <f t="shared" si="71"/>
        <v>1</v>
      </c>
      <c r="O199" s="47">
        <f t="shared" si="72"/>
        <v>0</v>
      </c>
      <c r="P199" s="47">
        <f t="shared" si="73"/>
        <v>0</v>
      </c>
    </row>
    <row r="200" spans="1:16" s="71" customFormat="1" ht="56.25" x14ac:dyDescent="0.3">
      <c r="A200" s="35"/>
      <c r="B200" s="35"/>
      <c r="C200" s="35"/>
      <c r="D200" s="38" t="s">
        <v>391</v>
      </c>
      <c r="E200" s="46">
        <f t="shared" si="69"/>
        <v>1419600</v>
      </c>
      <c r="F200" s="74">
        <v>124600</v>
      </c>
      <c r="G200" s="74">
        <v>1295000</v>
      </c>
      <c r="H200" s="74">
        <v>1295000</v>
      </c>
      <c r="I200" s="46">
        <f t="shared" si="90"/>
        <v>1419600</v>
      </c>
      <c r="J200" s="74">
        <v>124600</v>
      </c>
      <c r="K200" s="74">
        <v>1295000</v>
      </c>
      <c r="L200" s="74">
        <v>1295000</v>
      </c>
      <c r="M200" s="47">
        <f t="shared" si="70"/>
        <v>1</v>
      </c>
      <c r="N200" s="47">
        <f t="shared" si="71"/>
        <v>1</v>
      </c>
      <c r="O200" s="47">
        <f t="shared" si="72"/>
        <v>1</v>
      </c>
      <c r="P200" s="47">
        <f t="shared" si="73"/>
        <v>1</v>
      </c>
    </row>
    <row r="201" spans="1:16" s="67" customFormat="1" ht="20.25" x14ac:dyDescent="0.3">
      <c r="A201" s="63" t="s">
        <v>260</v>
      </c>
      <c r="B201" s="63" t="s">
        <v>260</v>
      </c>
      <c r="C201" s="63" t="s">
        <v>260</v>
      </c>
      <c r="D201" s="64" t="s">
        <v>261</v>
      </c>
      <c r="E201" s="65">
        <f t="shared" si="69"/>
        <v>1494580538.6799998</v>
      </c>
      <c r="F201" s="75">
        <f>F16+F58+F89+F113+F118+F129+F138+F160+F172+F182</f>
        <v>1204537794.8699999</v>
      </c>
      <c r="G201" s="75">
        <f t="shared" ref="G201:H201" si="99">G16+G58+G89+G113+G118+G129+G138+G160+G172+G182</f>
        <v>290042743.81</v>
      </c>
      <c r="H201" s="75">
        <f t="shared" si="99"/>
        <v>269871269.63</v>
      </c>
      <c r="I201" s="65">
        <f t="shared" si="90"/>
        <v>719342946.52999997</v>
      </c>
      <c r="J201" s="75">
        <f>J16+J58+J89+J113+J118+J129+J138+J160+J172+J182</f>
        <v>625666563.26999998</v>
      </c>
      <c r="K201" s="75">
        <f>K16+K58+K89+K113+K118+K129+K138+K160+K172+K182</f>
        <v>93676383.260000005</v>
      </c>
      <c r="L201" s="75">
        <f t="shared" ref="L201" si="100">L16+L58+L89+L113+L118+L129+L138+L160+L172+L182</f>
        <v>77736274.430000007</v>
      </c>
      <c r="M201" s="66">
        <f t="shared" si="70"/>
        <v>0.48130089206521931</v>
      </c>
      <c r="N201" s="66">
        <f t="shared" si="71"/>
        <v>0.5194246008175486</v>
      </c>
      <c r="O201" s="66">
        <f t="shared" si="72"/>
        <v>0.32297440725276388</v>
      </c>
      <c r="P201" s="66">
        <f t="shared" si="73"/>
        <v>0.28804946349634886</v>
      </c>
    </row>
    <row r="202" spans="1:16" ht="18.75" x14ac:dyDescent="0.25">
      <c r="A202" s="34"/>
      <c r="B202" s="34"/>
      <c r="C202" s="34"/>
      <c r="D202" s="61"/>
      <c r="E202" s="44">
        <f t="shared" si="69"/>
        <v>0</v>
      </c>
      <c r="F202" s="73"/>
      <c r="G202" s="73"/>
      <c r="H202" s="73"/>
    </row>
    <row r="203" spans="1:16" s="2" customFormat="1" ht="37.5" x14ac:dyDescent="0.3">
      <c r="A203" s="54"/>
      <c r="B203" s="54"/>
      <c r="C203" s="55" t="s">
        <v>208</v>
      </c>
      <c r="D203" s="59" t="s">
        <v>209</v>
      </c>
      <c r="E203" s="60">
        <f>E18+E23+E24+E60+E91+E92+E115+E120+E131+E140+E141+E162+E163+E174+E175+E184</f>
        <v>169752184</v>
      </c>
      <c r="F203" s="76">
        <f t="shared" ref="F203:I203" si="101">F18+F23+F24+F60+F91+F92+F115+F120+F131+F140+F141+F162+F163+F174+F175+F184</f>
        <v>168962584</v>
      </c>
      <c r="G203" s="76">
        <f t="shared" si="101"/>
        <v>789600</v>
      </c>
      <c r="H203" s="76">
        <f t="shared" si="101"/>
        <v>672000</v>
      </c>
      <c r="I203" s="76">
        <f t="shared" si="101"/>
        <v>82092249.579999998</v>
      </c>
      <c r="J203" s="76">
        <f t="shared" ref="J203:L203" si="102">J18+J23+J24+J60+J91+J92+J115+J120+J131+J140+J141+J162+J163+J174+J175+J184</f>
        <v>76999790.079999998</v>
      </c>
      <c r="K203" s="76">
        <f t="shared" si="102"/>
        <v>5092459.5</v>
      </c>
      <c r="L203" s="76">
        <f t="shared" si="102"/>
        <v>370909.49</v>
      </c>
      <c r="M203" s="62">
        <f>I203/E203</f>
        <v>0.48360055019969578</v>
      </c>
      <c r="N203" s="62">
        <f t="shared" ref="N203:P203" si="103">J203/F203</f>
        <v>0.4557209546463849</v>
      </c>
      <c r="O203" s="83" t="s">
        <v>426</v>
      </c>
      <c r="P203" s="62">
        <f t="shared" si="103"/>
        <v>0.55194864583333336</v>
      </c>
    </row>
    <row r="204" spans="1:16" s="2" customFormat="1" ht="18.75" x14ac:dyDescent="0.3">
      <c r="A204" s="54"/>
      <c r="B204" s="54"/>
      <c r="C204" s="55" t="s">
        <v>210</v>
      </c>
      <c r="D204" s="59" t="s">
        <v>211</v>
      </c>
      <c r="E204" s="60">
        <f>E61+E62+E63+E64+E68+E69+E70+E71+E72+E73+E74+E75+E76+E77+E78+E79+E80+E81+E82+E83+E121+E164</f>
        <v>522376238</v>
      </c>
      <c r="F204" s="76">
        <f t="shared" ref="F204:I204" si="104">F61+F62+F63+F64+F68+F69+F70+F71+F72+F73+F74+F75+F76+F77+F78+F79+F80+F81+F82+F83+F121+F164</f>
        <v>404757106</v>
      </c>
      <c r="G204" s="76">
        <f t="shared" si="104"/>
        <v>117619132</v>
      </c>
      <c r="H204" s="76">
        <f t="shared" si="104"/>
        <v>99527632</v>
      </c>
      <c r="I204" s="76">
        <f t="shared" si="104"/>
        <v>267941833.72</v>
      </c>
      <c r="J204" s="76">
        <f t="shared" ref="J204:L204" si="105">J61+J62+J63+J64+J68+J69+J70+J71+J72+J73+J74+J75+J76+J77+J78+J79+J80+J81+J82+J83+J121+J164</f>
        <v>238733107.59999999</v>
      </c>
      <c r="K204" s="76">
        <f t="shared" si="105"/>
        <v>29208726.120000005</v>
      </c>
      <c r="L204" s="76">
        <f t="shared" si="105"/>
        <v>18428694.880000003</v>
      </c>
      <c r="M204" s="62">
        <f t="shared" ref="M204:M213" si="106">I204/E204</f>
        <v>0.51292883218780716</v>
      </c>
      <c r="N204" s="62">
        <f t="shared" ref="N204:N213" si="107">J204/F204</f>
        <v>0.58981819975756022</v>
      </c>
      <c r="O204" s="62">
        <f t="shared" ref="O204:O213" si="108">K204/G204</f>
        <v>0.24833312083955869</v>
      </c>
      <c r="P204" s="62">
        <f t="shared" ref="P204:P213" si="109">L204/H204</f>
        <v>0.1851615929132123</v>
      </c>
    </row>
    <row r="205" spans="1:16" s="2" customFormat="1" ht="18.75" x14ac:dyDescent="0.3">
      <c r="A205" s="54"/>
      <c r="B205" s="54"/>
      <c r="C205" s="55" t="s">
        <v>212</v>
      </c>
      <c r="D205" s="59" t="s">
        <v>213</v>
      </c>
      <c r="E205" s="60">
        <f>E25+E26+E27+E28+E32+E165</f>
        <v>79647080</v>
      </c>
      <c r="F205" s="76">
        <f t="shared" ref="F205:I205" si="110">F25+F26+F27+F28+F32+F165</f>
        <v>64581440</v>
      </c>
      <c r="G205" s="76">
        <f t="shared" si="110"/>
        <v>15065640</v>
      </c>
      <c r="H205" s="76">
        <f t="shared" si="110"/>
        <v>15065640</v>
      </c>
      <c r="I205" s="76">
        <f t="shared" si="110"/>
        <v>27092417.290000003</v>
      </c>
      <c r="J205" s="76">
        <f t="shared" ref="J205:L205" si="111">J25+J26+J27+J28+J32+J165</f>
        <v>26285316.480000004</v>
      </c>
      <c r="K205" s="76">
        <f t="shared" si="111"/>
        <v>807100.81</v>
      </c>
      <c r="L205" s="76">
        <f t="shared" si="111"/>
        <v>807100.81</v>
      </c>
      <c r="M205" s="62">
        <f t="shared" si="106"/>
        <v>0.34015581349623869</v>
      </c>
      <c r="N205" s="62">
        <f t="shared" si="107"/>
        <v>0.40701038069141854</v>
      </c>
      <c r="O205" s="62">
        <f t="shared" si="108"/>
        <v>5.3572288332921804E-2</v>
      </c>
      <c r="P205" s="62">
        <f t="shared" si="109"/>
        <v>5.3572288332921804E-2</v>
      </c>
    </row>
    <row r="206" spans="1:16" s="2" customFormat="1" ht="37.5" x14ac:dyDescent="0.3">
      <c r="A206" s="54"/>
      <c r="B206" s="54"/>
      <c r="C206" s="55" t="s">
        <v>214</v>
      </c>
      <c r="D206" s="59" t="s">
        <v>215</v>
      </c>
      <c r="E206" s="60">
        <f>E33+E84+E85+E93+E94+E95+E96+E97+E98+E99+E100+E101+E102+E103+E104+E105+E106+E107+E108+E116+E122+E132+E142</f>
        <v>120400146.87</v>
      </c>
      <c r="F206" s="76">
        <f t="shared" ref="F206:I206" si="112">F33+F84+F85+F93+F94+F95+F96+F97+F98+F99+F100+F101+F102+F103+F104+F105+F106+F107+F108+F116+F122+F132+F142</f>
        <v>112577847.87</v>
      </c>
      <c r="G206" s="76">
        <f t="shared" si="112"/>
        <v>7822299</v>
      </c>
      <c r="H206" s="76">
        <f t="shared" si="112"/>
        <v>7640299</v>
      </c>
      <c r="I206" s="76">
        <f t="shared" si="112"/>
        <v>46146510.38000001</v>
      </c>
      <c r="J206" s="76">
        <f t="shared" ref="J206:L206" si="113">J33+J84+J85+J93+J94+J95+J96+J97+J98+J99+J100+J101+J102+J103+J104+J105+J106+J107+J108+J116+J122+J132+J142</f>
        <v>45821397.529999994</v>
      </c>
      <c r="K206" s="76">
        <f t="shared" si="113"/>
        <v>325112.84999999998</v>
      </c>
      <c r="L206" s="76">
        <f t="shared" si="113"/>
        <v>134796.19</v>
      </c>
      <c r="M206" s="62">
        <f t="shared" si="106"/>
        <v>0.38327619674605473</v>
      </c>
      <c r="N206" s="62">
        <f t="shared" si="107"/>
        <v>0.40701966147827368</v>
      </c>
      <c r="O206" s="62">
        <f t="shared" si="108"/>
        <v>4.1562314352852014E-2</v>
      </c>
      <c r="P206" s="62">
        <f t="shared" si="109"/>
        <v>1.7642789896049879E-2</v>
      </c>
    </row>
    <row r="207" spans="1:16" s="2" customFormat="1" ht="18.75" x14ac:dyDescent="0.3">
      <c r="A207" s="54"/>
      <c r="B207" s="54"/>
      <c r="C207" s="55" t="s">
        <v>216</v>
      </c>
      <c r="D207" s="59" t="s">
        <v>217</v>
      </c>
      <c r="E207" s="60">
        <f>E123+E124+E125+E126+E127</f>
        <v>31251700</v>
      </c>
      <c r="F207" s="76">
        <f t="shared" ref="F207:I207" si="114">F123+F124+F125+F126+F127</f>
        <v>30551600</v>
      </c>
      <c r="G207" s="76">
        <f t="shared" si="114"/>
        <v>700100</v>
      </c>
      <c r="H207" s="76">
        <f t="shared" si="114"/>
        <v>420100</v>
      </c>
      <c r="I207" s="76">
        <f t="shared" si="114"/>
        <v>14187434.039999999</v>
      </c>
      <c r="J207" s="76">
        <f t="shared" ref="J207:L207" si="115">J123+J124+J125+J126+J127</f>
        <v>13759971.5</v>
      </c>
      <c r="K207" s="76">
        <f t="shared" si="115"/>
        <v>427462.54</v>
      </c>
      <c r="L207" s="76">
        <f t="shared" si="115"/>
        <v>230000</v>
      </c>
      <c r="M207" s="62">
        <f t="shared" si="106"/>
        <v>0.45397319313829326</v>
      </c>
      <c r="N207" s="62">
        <f t="shared" si="107"/>
        <v>0.45038464433941267</v>
      </c>
      <c r="O207" s="62">
        <f t="shared" si="108"/>
        <v>0.61057354663619479</v>
      </c>
      <c r="P207" s="62">
        <f t="shared" si="109"/>
        <v>0.54748869316829329</v>
      </c>
    </row>
    <row r="208" spans="1:16" s="2" customFormat="1" ht="18.75" x14ac:dyDescent="0.3">
      <c r="A208" s="54"/>
      <c r="B208" s="54"/>
      <c r="C208" s="55" t="s">
        <v>218</v>
      </c>
      <c r="D208" s="59" t="s">
        <v>219</v>
      </c>
      <c r="E208" s="60">
        <f>E86+E133+E134+E135+E136</f>
        <v>19631856</v>
      </c>
      <c r="F208" s="76">
        <f t="shared" ref="F208:I208" si="116">F86+F133+F134+F135+F136</f>
        <v>19321856</v>
      </c>
      <c r="G208" s="76">
        <f t="shared" si="116"/>
        <v>310000</v>
      </c>
      <c r="H208" s="76">
        <f t="shared" si="116"/>
        <v>310000</v>
      </c>
      <c r="I208" s="76">
        <f t="shared" si="116"/>
        <v>7915976.9199999999</v>
      </c>
      <c r="J208" s="76">
        <f t="shared" ref="J208:L208" si="117">J86+J133+J134+J135+J136</f>
        <v>7561716.9199999999</v>
      </c>
      <c r="K208" s="76">
        <f t="shared" si="117"/>
        <v>354260</v>
      </c>
      <c r="L208" s="76">
        <f t="shared" si="117"/>
        <v>304270</v>
      </c>
      <c r="M208" s="62">
        <f t="shared" si="106"/>
        <v>0.40322101588357206</v>
      </c>
      <c r="N208" s="62">
        <f t="shared" si="107"/>
        <v>0.39135561925314005</v>
      </c>
      <c r="O208" s="62">
        <f t="shared" si="108"/>
        <v>1.1427741935483871</v>
      </c>
      <c r="P208" s="62">
        <f t="shared" si="109"/>
        <v>0.98151612903225804</v>
      </c>
    </row>
    <row r="209" spans="1:16" s="2" customFormat="1" ht="18.75" x14ac:dyDescent="0.3">
      <c r="A209" s="54"/>
      <c r="B209" s="54"/>
      <c r="C209" s="55" t="s">
        <v>220</v>
      </c>
      <c r="D209" s="59" t="s">
        <v>221</v>
      </c>
      <c r="E209" s="60">
        <f>E34+E143+E144+E145+E146+E147+E148+E166+E167+E176+E177</f>
        <v>154260783.00999999</v>
      </c>
      <c r="F209" s="76">
        <f t="shared" ref="F209:I209" si="118">F34+F143+F144+F145+F146+F147+F148+F166+F167+F176+F177</f>
        <v>102534073</v>
      </c>
      <c r="G209" s="76">
        <f t="shared" si="118"/>
        <v>51726710.009999998</v>
      </c>
      <c r="H209" s="76">
        <f t="shared" si="118"/>
        <v>51726710.009999998</v>
      </c>
      <c r="I209" s="76">
        <f t="shared" si="118"/>
        <v>50281757.030000001</v>
      </c>
      <c r="J209" s="76">
        <f t="shared" ref="J209:L209" si="119">J34+J143+J144+J145+J146+J147+J148+J166+J167+J176+J177</f>
        <v>45055525.330000006</v>
      </c>
      <c r="K209" s="76">
        <f t="shared" si="119"/>
        <v>5226231.7</v>
      </c>
      <c r="L209" s="76">
        <f t="shared" si="119"/>
        <v>5226231.7</v>
      </c>
      <c r="M209" s="62">
        <f t="shared" si="106"/>
        <v>0.32595294830534133</v>
      </c>
      <c r="N209" s="62">
        <f t="shared" si="107"/>
        <v>0.43942002898880261</v>
      </c>
      <c r="O209" s="62">
        <f t="shared" si="108"/>
        <v>0.10103545535738975</v>
      </c>
      <c r="P209" s="62">
        <f t="shared" si="109"/>
        <v>0.10103545535738975</v>
      </c>
    </row>
    <row r="210" spans="1:16" s="2" customFormat="1" ht="18.75" x14ac:dyDescent="0.3">
      <c r="A210" s="54"/>
      <c r="B210" s="54"/>
      <c r="C210" s="55" t="s">
        <v>280</v>
      </c>
      <c r="D210" s="59" t="s">
        <v>281</v>
      </c>
      <c r="E210" s="60">
        <f>E38+E39+E40+E41+E49+E50+E51+E87+E109+E117+E128+E137+E149+E150+E151+E152+E153+E154+E155+E168+E169+E170+E178+E179+E180+E185</f>
        <v>162039727.80000001</v>
      </c>
      <c r="F210" s="76">
        <f t="shared" ref="F210:I210" si="120">F38+F39+F40+F41+F49+F50+F51+F87+F109+F117+F128+F137+F149+F150+F151+F152+F153+F154+F155+F168+F169+F170+F178+F179+F180+F185</f>
        <v>112748528</v>
      </c>
      <c r="G210" s="76">
        <f t="shared" si="120"/>
        <v>49291199.799999997</v>
      </c>
      <c r="H210" s="76">
        <f t="shared" si="120"/>
        <v>48690825.619999997</v>
      </c>
      <c r="I210" s="76">
        <f t="shared" si="120"/>
        <v>94607916.169999987</v>
      </c>
      <c r="J210" s="76">
        <f t="shared" ref="J210:L210" si="121">J38+J39+J40+J41+J49+J50+J51+J87+J109+J117+J128+J137+J149+J150+J151+J152+J153+J154+J155+J168+J169+J170+J178+J179+J180+J185</f>
        <v>73914114.179999992</v>
      </c>
      <c r="K210" s="76">
        <f t="shared" si="121"/>
        <v>20693801.989999998</v>
      </c>
      <c r="L210" s="76">
        <f t="shared" si="121"/>
        <v>20693043.609999999</v>
      </c>
      <c r="M210" s="62">
        <f t="shared" si="106"/>
        <v>0.58385630150385859</v>
      </c>
      <c r="N210" s="62">
        <f t="shared" si="107"/>
        <v>0.65556611240192864</v>
      </c>
      <c r="O210" s="62">
        <f t="shared" si="108"/>
        <v>0.41982751635110332</v>
      </c>
      <c r="P210" s="62">
        <f t="shared" si="109"/>
        <v>0.42498855475353103</v>
      </c>
    </row>
    <row r="211" spans="1:16" s="2" customFormat="1" ht="18.75" x14ac:dyDescent="0.3">
      <c r="A211" s="54"/>
      <c r="B211" s="54"/>
      <c r="C211" s="55" t="s">
        <v>283</v>
      </c>
      <c r="D211" s="59" t="s">
        <v>282</v>
      </c>
      <c r="E211" s="60">
        <f>E52+E53+E54+E55+E56+E57+E88+E156+E157+E158+E159+E171+E181+E186</f>
        <v>58753511</v>
      </c>
      <c r="F211" s="76">
        <f t="shared" ref="F211:I211" si="122">F52+F53+F54+F55+F56+F57+F88+F156+F157+F158+F159+F171+F181+F186</f>
        <v>43885830</v>
      </c>
      <c r="G211" s="76">
        <f t="shared" si="122"/>
        <v>14867681</v>
      </c>
      <c r="H211" s="76">
        <f t="shared" si="122"/>
        <v>13967681</v>
      </c>
      <c r="I211" s="76">
        <f t="shared" si="122"/>
        <v>19856428.399999995</v>
      </c>
      <c r="J211" s="76">
        <f t="shared" ref="J211:L211" si="123">J52+J53+J54+J55+J56+J57+J88+J156+J157+J158+J159+J171+J181+J186</f>
        <v>16665582.65</v>
      </c>
      <c r="K211" s="76">
        <f t="shared" si="123"/>
        <v>3190845.75</v>
      </c>
      <c r="L211" s="76">
        <f t="shared" si="123"/>
        <v>3190845.75</v>
      </c>
      <c r="M211" s="62">
        <f t="shared" si="106"/>
        <v>0.33796156284175077</v>
      </c>
      <c r="N211" s="62">
        <f t="shared" si="107"/>
        <v>0.37974860336468513</v>
      </c>
      <c r="O211" s="62">
        <f t="shared" si="108"/>
        <v>0.21461623705808591</v>
      </c>
      <c r="P211" s="62">
        <f t="shared" si="109"/>
        <v>0.22844491866616942</v>
      </c>
    </row>
    <row r="212" spans="1:16" s="2" customFormat="1" ht="18.75" x14ac:dyDescent="0.3">
      <c r="A212" s="54"/>
      <c r="B212" s="54"/>
      <c r="C212" s="55" t="s">
        <v>284</v>
      </c>
      <c r="D212" s="59" t="s">
        <v>285</v>
      </c>
      <c r="E212" s="60">
        <f>E187+E188+E195</f>
        <v>176467312</v>
      </c>
      <c r="F212" s="76">
        <f t="shared" ref="F212:I212" si="124">F187+F188+F195</f>
        <v>144616930</v>
      </c>
      <c r="G212" s="76">
        <f t="shared" si="124"/>
        <v>31850382</v>
      </c>
      <c r="H212" s="76">
        <f t="shared" si="124"/>
        <v>31850382</v>
      </c>
      <c r="I212" s="76">
        <f t="shared" si="124"/>
        <v>109220423</v>
      </c>
      <c r="J212" s="76">
        <f t="shared" ref="J212:L212" si="125">J187+J188+J195</f>
        <v>80870041</v>
      </c>
      <c r="K212" s="76">
        <f t="shared" si="125"/>
        <v>28350382</v>
      </c>
      <c r="L212" s="76">
        <f t="shared" si="125"/>
        <v>28350382</v>
      </c>
      <c r="M212" s="62">
        <f t="shared" si="106"/>
        <v>0.61892722092349883</v>
      </c>
      <c r="N212" s="62">
        <f t="shared" si="107"/>
        <v>0.55920175459401611</v>
      </c>
      <c r="O212" s="62">
        <f t="shared" si="108"/>
        <v>0.8901112080853536</v>
      </c>
      <c r="P212" s="62">
        <f t="shared" si="109"/>
        <v>0.8901112080853536</v>
      </c>
    </row>
    <row r="213" spans="1:16" s="67" customFormat="1" ht="20.25" x14ac:dyDescent="0.3">
      <c r="A213" s="68"/>
      <c r="B213" s="68"/>
      <c r="C213" s="68"/>
      <c r="D213" s="68" t="s">
        <v>1</v>
      </c>
      <c r="E213" s="69">
        <f>SUM(E203:E212)</f>
        <v>1494580538.6800001</v>
      </c>
      <c r="F213" s="77">
        <f>SUM(F203:F212)</f>
        <v>1204537794.8699999</v>
      </c>
      <c r="G213" s="77">
        <f>SUM(G203:G212)</f>
        <v>290042743.81</v>
      </c>
      <c r="H213" s="82">
        <f t="shared" ref="H213:I213" si="126">SUM(H203:H212)</f>
        <v>269871269.63</v>
      </c>
      <c r="I213" s="77">
        <f t="shared" si="126"/>
        <v>719342946.52999997</v>
      </c>
      <c r="J213" s="77">
        <f t="shared" ref="J213:L213" si="127">SUM(J203:J212)</f>
        <v>625666563.26999998</v>
      </c>
      <c r="K213" s="77">
        <f t="shared" si="127"/>
        <v>93676383.260000005</v>
      </c>
      <c r="L213" s="77">
        <f t="shared" si="127"/>
        <v>77736274.430000007</v>
      </c>
      <c r="M213" s="70">
        <f t="shared" si="106"/>
        <v>0.48130089206521925</v>
      </c>
      <c r="N213" s="70">
        <f t="shared" si="107"/>
        <v>0.5194246008175486</v>
      </c>
      <c r="O213" s="70">
        <f t="shared" si="108"/>
        <v>0.32297440725276388</v>
      </c>
      <c r="P213" s="70">
        <f t="shared" si="109"/>
        <v>0.28804946349634886</v>
      </c>
    </row>
    <row r="215" spans="1:16" s="2" customFormat="1" ht="18.75" x14ac:dyDescent="0.3">
      <c r="A215" s="40"/>
      <c r="B215" s="40"/>
      <c r="C215" s="40"/>
      <c r="D215" s="2" t="s">
        <v>425</v>
      </c>
      <c r="E215" s="16"/>
      <c r="F215" s="16"/>
      <c r="G215" s="16"/>
      <c r="H215" s="16"/>
      <c r="I215" s="16"/>
      <c r="J215" s="16" t="s">
        <v>269</v>
      </c>
      <c r="K215" s="16"/>
      <c r="L215" s="16"/>
      <c r="M215" s="39"/>
      <c r="N215" s="39"/>
      <c r="O215" s="39"/>
      <c r="P215" s="39"/>
    </row>
  </sheetData>
  <customSheetViews>
    <customSheetView guid="{22648713-93C4-4BCC-9593-E6D578C36006}" scale="72" showPageBreaks="1" fitToPage="1" printArea="1" hiddenRows="1" view="pageBreakPreview">
      <pane xSplit="4" ySplit="12" topLeftCell="E91" activePane="bottomRight" state="frozen"/>
      <selection pane="bottomRight" activeCell="E99" sqref="E99"/>
      <rowBreaks count="2" manualBreakCount="2">
        <brk id="70" max="15" man="1"/>
        <brk id="98" max="15" man="1"/>
      </rowBreaks>
      <pageMargins left="0.39370078740157483" right="0.15748031496062992" top="0.15748031496062992" bottom="0.11811023622047245" header="0.15748031496062992" footer="0.11811023622047245"/>
      <pageSetup paperSize="9" scale="45" fitToHeight="15" orientation="landscape" r:id="rId1"/>
    </customSheetView>
  </customSheetViews>
  <mergeCells count="28">
    <mergeCell ref="A6:P6"/>
    <mergeCell ref="G13:G14"/>
    <mergeCell ref="O13:O14"/>
    <mergeCell ref="G12:H12"/>
    <mergeCell ref="J12:J14"/>
    <mergeCell ref="A10:A14"/>
    <mergeCell ref="M10:P10"/>
    <mergeCell ref="M11:M14"/>
    <mergeCell ref="N11:P11"/>
    <mergeCell ref="F11:H11"/>
    <mergeCell ref="E11:E14"/>
    <mergeCell ref="E10:H10"/>
    <mergeCell ref="M1:O1"/>
    <mergeCell ref="M4:O4"/>
    <mergeCell ref="B10:B14"/>
    <mergeCell ref="C10:C14"/>
    <mergeCell ref="D10:D14"/>
    <mergeCell ref="F12:F14"/>
    <mergeCell ref="K12:L12"/>
    <mergeCell ref="J11:L11"/>
    <mergeCell ref="I10:L10"/>
    <mergeCell ref="I11:I14"/>
    <mergeCell ref="N12:N14"/>
    <mergeCell ref="O12:P12"/>
    <mergeCell ref="K13:K14"/>
    <mergeCell ref="A5:P5"/>
    <mergeCell ref="M2:P2"/>
    <mergeCell ref="M3:P3"/>
  </mergeCells>
  <pageMargins left="0.19685039370078741" right="0.19685039370078741" top="0.39370078740157483" bottom="0.39370078740157483" header="0.15748031496062992" footer="0.11811023622047245"/>
  <pageSetup paperSize="9" scale="42" fitToWidth="11" fitToHeight="11" orientation="landscape" r:id="rId2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2025-07-17T07:00:46Z</cp:lastPrinted>
  <dcterms:created xsi:type="dcterms:W3CDTF">2012-12-15T07:44:03Z</dcterms:created>
  <dcterms:modified xsi:type="dcterms:W3CDTF">2025-08-03T05:17:30Z</dcterms:modified>
</cp:coreProperties>
</file>