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півріччя\"/>
    </mc:Choice>
  </mc:AlternateContent>
  <bookViews>
    <workbookView xWindow="-120" yWindow="-120" windowWidth="20730" windowHeight="11760"/>
  </bookViews>
  <sheets>
    <sheet name="2025" sheetId="10" r:id="rId1"/>
  </sheets>
  <definedNames>
    <definedName name="_xlnm.Print_Titles" localSheetId="0">'2025'!$2:$7</definedName>
    <definedName name="_xlnm.Print_Area" localSheetId="0">'2025'!$A$1:$T$170</definedName>
  </definedNames>
  <calcPr calcId="152511"/>
</workbook>
</file>

<file path=xl/calcChain.xml><?xml version="1.0" encoding="utf-8"?>
<calcChain xmlns="http://schemas.openxmlformats.org/spreadsheetml/2006/main">
  <c r="K123" i="10" l="1"/>
  <c r="L110" i="10" l="1"/>
  <c r="K110" i="10"/>
  <c r="J110" i="10"/>
  <c r="H110" i="10"/>
  <c r="G110" i="10"/>
  <c r="F110" i="10"/>
  <c r="N85" i="10"/>
  <c r="N23" i="10"/>
  <c r="I63" i="10" l="1"/>
  <c r="K131" i="10"/>
  <c r="L131" i="10"/>
  <c r="J131" i="10"/>
  <c r="G131" i="10"/>
  <c r="H131" i="10"/>
  <c r="F131" i="10"/>
  <c r="P143" i="10"/>
  <c r="O143" i="10"/>
  <c r="E140" i="10"/>
  <c r="I140" i="10"/>
  <c r="Q140" i="10" s="1"/>
  <c r="N140" i="10"/>
  <c r="O140" i="10"/>
  <c r="P140" i="10"/>
  <c r="R140" i="10"/>
  <c r="S140" i="10"/>
  <c r="T140" i="10"/>
  <c r="E137" i="10"/>
  <c r="I137" i="10"/>
  <c r="N137" i="10"/>
  <c r="O137" i="10"/>
  <c r="P137" i="10"/>
  <c r="R137" i="10"/>
  <c r="S137" i="10"/>
  <c r="T137" i="10"/>
  <c r="E135" i="10"/>
  <c r="M135" i="10" s="1"/>
  <c r="I135" i="10"/>
  <c r="N135" i="10"/>
  <c r="O135" i="10"/>
  <c r="P135" i="10"/>
  <c r="R135" i="10"/>
  <c r="S135" i="10"/>
  <c r="T135" i="10"/>
  <c r="T132" i="10"/>
  <c r="S132" i="10"/>
  <c r="R132" i="10"/>
  <c r="P132" i="10"/>
  <c r="O132" i="10"/>
  <c r="N132" i="10"/>
  <c r="I132" i="10"/>
  <c r="E132" i="10"/>
  <c r="L123" i="10"/>
  <c r="E119" i="10"/>
  <c r="I119" i="10"/>
  <c r="N119" i="10"/>
  <c r="O119" i="10"/>
  <c r="P119" i="10"/>
  <c r="R119" i="10"/>
  <c r="S119" i="10"/>
  <c r="T119" i="10"/>
  <c r="K103" i="10"/>
  <c r="K95" i="10"/>
  <c r="K94" i="10"/>
  <c r="K93" i="10"/>
  <c r="K91" i="10"/>
  <c r="K72" i="10"/>
  <c r="K46" i="10"/>
  <c r="K43" i="10"/>
  <c r="K42" i="10"/>
  <c r="K41" i="10"/>
  <c r="L38" i="10"/>
  <c r="J38" i="10"/>
  <c r="G38" i="10"/>
  <c r="H38" i="10"/>
  <c r="F38" i="10"/>
  <c r="K61" i="10"/>
  <c r="I61" i="10" s="1"/>
  <c r="E54" i="10"/>
  <c r="I54" i="10"/>
  <c r="N54" i="10"/>
  <c r="O54" i="10"/>
  <c r="P54" i="10"/>
  <c r="R54" i="10"/>
  <c r="S54" i="10"/>
  <c r="T54" i="10"/>
  <c r="E53" i="10"/>
  <c r="I53" i="10"/>
  <c r="N53" i="10"/>
  <c r="O53" i="10"/>
  <c r="P53" i="10"/>
  <c r="R53" i="10"/>
  <c r="S53" i="10"/>
  <c r="T53" i="10"/>
  <c r="K12" i="10"/>
  <c r="K11" i="10"/>
  <c r="O11" i="10" s="1"/>
  <c r="L148" i="10"/>
  <c r="K148" i="10"/>
  <c r="G148" i="10"/>
  <c r="H148" i="10"/>
  <c r="F148" i="10"/>
  <c r="J156" i="10"/>
  <c r="J148" i="10" s="1"/>
  <c r="E153" i="10"/>
  <c r="I153" i="10"/>
  <c r="N153" i="10"/>
  <c r="O153" i="10"/>
  <c r="P153" i="10"/>
  <c r="R153" i="10"/>
  <c r="S153" i="10"/>
  <c r="T153" i="10"/>
  <c r="E128" i="10"/>
  <c r="I128" i="10"/>
  <c r="N128" i="10"/>
  <c r="O128" i="10"/>
  <c r="P128" i="10"/>
  <c r="R128" i="10"/>
  <c r="S128" i="10"/>
  <c r="T128" i="10"/>
  <c r="J126" i="10"/>
  <c r="J125" i="10"/>
  <c r="J122" i="10"/>
  <c r="I122" i="10" s="1"/>
  <c r="E122" i="10"/>
  <c r="O122" i="10"/>
  <c r="P122" i="10"/>
  <c r="S122" i="10"/>
  <c r="T122" i="10"/>
  <c r="E120" i="10"/>
  <c r="I120" i="10"/>
  <c r="N120" i="10"/>
  <c r="O120" i="10"/>
  <c r="P120" i="10"/>
  <c r="R120" i="10"/>
  <c r="S120" i="10"/>
  <c r="T120" i="10"/>
  <c r="J118" i="10"/>
  <c r="J108" i="10"/>
  <c r="J103" i="10"/>
  <c r="J81" i="10"/>
  <c r="J80" i="10"/>
  <c r="I62" i="10"/>
  <c r="I60" i="10"/>
  <c r="I59" i="10"/>
  <c r="E58" i="10"/>
  <c r="I58" i="10"/>
  <c r="M58" i="10" s="1"/>
  <c r="N58" i="10"/>
  <c r="O58" i="10"/>
  <c r="P58" i="10"/>
  <c r="R58" i="10"/>
  <c r="S58" i="10"/>
  <c r="T58" i="10"/>
  <c r="J44" i="10"/>
  <c r="J30" i="10"/>
  <c r="I30" i="10" s="1"/>
  <c r="E30" i="10"/>
  <c r="O30" i="10"/>
  <c r="P30" i="10"/>
  <c r="S30" i="10"/>
  <c r="T30" i="10"/>
  <c r="J27" i="10"/>
  <c r="M53" i="10" l="1"/>
  <c r="M140" i="10"/>
  <c r="M137" i="10"/>
  <c r="Q137" i="10"/>
  <c r="Q135" i="10"/>
  <c r="M153" i="10"/>
  <c r="M54" i="10"/>
  <c r="M132" i="10"/>
  <c r="Q132" i="10"/>
  <c r="M119" i="10"/>
  <c r="Q119" i="10"/>
  <c r="K38" i="10"/>
  <c r="Q54" i="10"/>
  <c r="Q53" i="10"/>
  <c r="Q153" i="10"/>
  <c r="Q128" i="10"/>
  <c r="R122" i="10"/>
  <c r="N122" i="10"/>
  <c r="Q122" i="10"/>
  <c r="M122" i="10"/>
  <c r="M120" i="10"/>
  <c r="Q120" i="10"/>
  <c r="Q58" i="10"/>
  <c r="N30" i="10"/>
  <c r="R30" i="10"/>
  <c r="Q30" i="10"/>
  <c r="J20" i="10" l="1"/>
  <c r="E150" i="10" l="1"/>
  <c r="I150" i="10"/>
  <c r="N150" i="10"/>
  <c r="O150" i="10"/>
  <c r="P150" i="10"/>
  <c r="R150" i="10"/>
  <c r="S150" i="10"/>
  <c r="T150" i="10"/>
  <c r="E141" i="10"/>
  <c r="I141" i="10"/>
  <c r="Q141" i="10" s="1"/>
  <c r="N141" i="10"/>
  <c r="O141" i="10"/>
  <c r="P141" i="10"/>
  <c r="R141" i="10"/>
  <c r="S141" i="10"/>
  <c r="T141" i="10"/>
  <c r="E114" i="10"/>
  <c r="I114" i="10"/>
  <c r="M114" i="10" s="1"/>
  <c r="N114" i="10"/>
  <c r="O114" i="10"/>
  <c r="P114" i="10"/>
  <c r="Q114" i="10"/>
  <c r="R114" i="10"/>
  <c r="S114" i="10"/>
  <c r="T114" i="10"/>
  <c r="I127" i="10"/>
  <c r="M141" i="10" l="1"/>
  <c r="Q150" i="10"/>
  <c r="M150" i="10"/>
  <c r="K100" i="10"/>
  <c r="L100" i="10"/>
  <c r="J100" i="10"/>
  <c r="G100" i="10"/>
  <c r="H100" i="10"/>
  <c r="F100" i="10"/>
  <c r="E106" i="10"/>
  <c r="I106" i="10"/>
  <c r="Q106" i="10" s="1"/>
  <c r="N106" i="10"/>
  <c r="O106" i="10"/>
  <c r="P106" i="10"/>
  <c r="R106" i="10"/>
  <c r="S106" i="10"/>
  <c r="T106" i="10"/>
  <c r="K88" i="10"/>
  <c r="L88" i="10"/>
  <c r="J88" i="10"/>
  <c r="G88" i="10"/>
  <c r="H88" i="10"/>
  <c r="F88" i="10"/>
  <c r="E92" i="10"/>
  <c r="I92" i="10"/>
  <c r="N92" i="10"/>
  <c r="O92" i="10"/>
  <c r="P92" i="10"/>
  <c r="R92" i="10"/>
  <c r="S92" i="10"/>
  <c r="T92" i="10"/>
  <c r="K65" i="10"/>
  <c r="L65" i="10"/>
  <c r="J65" i="10"/>
  <c r="G65" i="10"/>
  <c r="H65" i="10"/>
  <c r="F65" i="10"/>
  <c r="E79" i="10"/>
  <c r="I79" i="10"/>
  <c r="N79" i="10"/>
  <c r="P79" i="10"/>
  <c r="R79" i="10"/>
  <c r="S79" i="10"/>
  <c r="T79" i="10"/>
  <c r="E51" i="10"/>
  <c r="I51" i="10"/>
  <c r="N51" i="10"/>
  <c r="O51" i="10"/>
  <c r="P51" i="10"/>
  <c r="R51" i="10"/>
  <c r="S51" i="10"/>
  <c r="T51" i="10"/>
  <c r="M92" i="10" l="1"/>
  <c r="Q51" i="10"/>
  <c r="Q92" i="10"/>
  <c r="M106" i="10"/>
  <c r="Q79" i="10"/>
  <c r="M51" i="10"/>
  <c r="E59" i="10" l="1"/>
  <c r="M59" i="10" s="1"/>
  <c r="N59" i="10"/>
  <c r="O59" i="10"/>
  <c r="P59" i="10"/>
  <c r="R59" i="10"/>
  <c r="S59" i="10"/>
  <c r="T59" i="10"/>
  <c r="E56" i="10"/>
  <c r="I56" i="10"/>
  <c r="N56" i="10"/>
  <c r="O56" i="10"/>
  <c r="P56" i="10"/>
  <c r="R56" i="10"/>
  <c r="S56" i="10"/>
  <c r="T56" i="10"/>
  <c r="N47" i="10"/>
  <c r="E36" i="10"/>
  <c r="I36" i="10"/>
  <c r="O36" i="10"/>
  <c r="P36" i="10"/>
  <c r="R36" i="10"/>
  <c r="S36" i="10"/>
  <c r="T36" i="10"/>
  <c r="E35" i="10"/>
  <c r="I35" i="10"/>
  <c r="O35" i="10"/>
  <c r="P35" i="10"/>
  <c r="R35" i="10"/>
  <c r="S35" i="10"/>
  <c r="T35" i="10"/>
  <c r="E26" i="10"/>
  <c r="I26" i="10"/>
  <c r="N26" i="10"/>
  <c r="O26" i="10"/>
  <c r="P26" i="10"/>
  <c r="R26" i="10"/>
  <c r="S26" i="10"/>
  <c r="T26" i="10"/>
  <c r="Q26" i="10" l="1"/>
  <c r="M36" i="10"/>
  <c r="M56" i="10"/>
  <c r="M35" i="10"/>
  <c r="Q56" i="10"/>
  <c r="Q59" i="10"/>
  <c r="Q36" i="10"/>
  <c r="Q35" i="10"/>
  <c r="M26" i="10"/>
  <c r="N68" i="10"/>
  <c r="O34" i="10"/>
  <c r="N19" i="10"/>
  <c r="O17" i="10"/>
  <c r="O12" i="10"/>
  <c r="N12" i="10"/>
  <c r="N11" i="10"/>
  <c r="L160" i="10" l="1"/>
  <c r="K160" i="10"/>
  <c r="J160" i="10"/>
  <c r="G160" i="10"/>
  <c r="H160" i="10"/>
  <c r="F160" i="10"/>
  <c r="E163" i="10"/>
  <c r="I163" i="10"/>
  <c r="Q163" i="10" s="1"/>
  <c r="N163" i="10"/>
  <c r="O163" i="10"/>
  <c r="P163" i="10"/>
  <c r="R163" i="10"/>
  <c r="S163" i="10"/>
  <c r="T163" i="10"/>
  <c r="E155" i="10"/>
  <c r="I155" i="10"/>
  <c r="N155" i="10"/>
  <c r="O155" i="10"/>
  <c r="P155" i="10"/>
  <c r="R155" i="10"/>
  <c r="S155" i="10"/>
  <c r="T155" i="10"/>
  <c r="E152" i="10"/>
  <c r="I152" i="10"/>
  <c r="N152" i="10"/>
  <c r="O152" i="10"/>
  <c r="P152" i="10"/>
  <c r="R152" i="10"/>
  <c r="S152" i="10"/>
  <c r="T152" i="10"/>
  <c r="E144" i="10"/>
  <c r="I144" i="10"/>
  <c r="N144" i="10"/>
  <c r="O144" i="10"/>
  <c r="P144" i="10"/>
  <c r="R144" i="10"/>
  <c r="S144" i="10"/>
  <c r="T144" i="10"/>
  <c r="I108" i="10"/>
  <c r="O108" i="10"/>
  <c r="P108" i="10"/>
  <c r="S108" i="10"/>
  <c r="T108" i="10"/>
  <c r="E108" i="10"/>
  <c r="O94" i="10"/>
  <c r="K83" i="10"/>
  <c r="L83" i="10"/>
  <c r="J83" i="10"/>
  <c r="G83" i="10"/>
  <c r="H83" i="10"/>
  <c r="F83" i="10"/>
  <c r="O86" i="10"/>
  <c r="P86" i="10"/>
  <c r="R86" i="10"/>
  <c r="S86" i="10"/>
  <c r="T86" i="10"/>
  <c r="I86" i="10"/>
  <c r="E86" i="10"/>
  <c r="G37" i="10"/>
  <c r="H37" i="10"/>
  <c r="O41" i="10"/>
  <c r="L10" i="10"/>
  <c r="K10" i="10"/>
  <c r="M163" i="10" l="1"/>
  <c r="M144" i="10"/>
  <c r="M155" i="10"/>
  <c r="Q155" i="10"/>
  <c r="M152" i="10"/>
  <c r="Q152" i="10"/>
  <c r="Q144" i="10"/>
  <c r="N108" i="10"/>
  <c r="R108" i="10"/>
  <c r="Q108" i="10"/>
  <c r="M108" i="10"/>
  <c r="Q86" i="10"/>
  <c r="O38" i="10"/>
  <c r="P34" i="10"/>
  <c r="O166" i="10" l="1"/>
  <c r="N84" i="10"/>
  <c r="N139" i="10" l="1"/>
  <c r="N136" i="10"/>
  <c r="N115" i="10"/>
  <c r="P14" i="10" l="1"/>
  <c r="O15" i="10"/>
  <c r="P15" i="10"/>
  <c r="P13" i="10"/>
  <c r="O13" i="10"/>
  <c r="E13" i="10"/>
  <c r="O139" i="10"/>
  <c r="E129" i="10" l="1"/>
  <c r="I129" i="10"/>
  <c r="N129" i="10"/>
  <c r="O129" i="10"/>
  <c r="P129" i="10"/>
  <c r="R129" i="10"/>
  <c r="S129" i="10"/>
  <c r="T129" i="10"/>
  <c r="M129" i="10" l="1"/>
  <c r="Q129" i="10"/>
  <c r="E98" i="10" l="1"/>
  <c r="I98" i="10"/>
  <c r="N98" i="10"/>
  <c r="O98" i="10"/>
  <c r="P98" i="10"/>
  <c r="R98" i="10"/>
  <c r="S98" i="10"/>
  <c r="T98" i="10"/>
  <c r="M98" i="10" l="1"/>
  <c r="Q98" i="10"/>
  <c r="E81" i="10"/>
  <c r="R81" i="10"/>
  <c r="O81" i="10"/>
  <c r="P81" i="10"/>
  <c r="S81" i="10"/>
  <c r="T81" i="10"/>
  <c r="E78" i="10"/>
  <c r="I78" i="10"/>
  <c r="N78" i="10"/>
  <c r="O78" i="10"/>
  <c r="P78" i="10"/>
  <c r="R78" i="10"/>
  <c r="S78" i="10"/>
  <c r="T78" i="10"/>
  <c r="M78" i="10" l="1"/>
  <c r="Q78" i="10"/>
  <c r="N81" i="10"/>
  <c r="I81" i="10"/>
  <c r="E62" i="10"/>
  <c r="N62" i="10"/>
  <c r="O62" i="10"/>
  <c r="P62" i="10"/>
  <c r="R62" i="10"/>
  <c r="S62" i="10"/>
  <c r="T62" i="10"/>
  <c r="E57" i="10"/>
  <c r="I57" i="10"/>
  <c r="N57" i="10"/>
  <c r="O57" i="10"/>
  <c r="P57" i="10"/>
  <c r="R57" i="10"/>
  <c r="S57" i="10"/>
  <c r="T57" i="10"/>
  <c r="I27" i="10"/>
  <c r="E27" i="10"/>
  <c r="O27" i="10"/>
  <c r="P27" i="10"/>
  <c r="S27" i="10"/>
  <c r="T27" i="10"/>
  <c r="M57" i="10" l="1"/>
  <c r="Q57" i="10"/>
  <c r="M62" i="10"/>
  <c r="M81" i="10"/>
  <c r="Q81" i="10"/>
  <c r="Q62" i="10"/>
  <c r="R27" i="10"/>
  <c r="N27" i="10"/>
  <c r="Q27" i="10"/>
  <c r="P166" i="10"/>
  <c r="E161" i="10"/>
  <c r="E162" i="10"/>
  <c r="P142" i="10"/>
  <c r="E142" i="10"/>
  <c r="I142" i="10"/>
  <c r="N142" i="10"/>
  <c r="O142" i="10"/>
  <c r="R142" i="10"/>
  <c r="S142" i="10"/>
  <c r="P139" i="10"/>
  <c r="P136" i="10" l="1"/>
  <c r="O136" i="10"/>
  <c r="T142" i="10"/>
  <c r="M142" i="10"/>
  <c r="Q142" i="10"/>
  <c r="P123" i="10" l="1"/>
  <c r="I123" i="10"/>
  <c r="N123" i="10"/>
  <c r="R123" i="10"/>
  <c r="P83" i="10" l="1"/>
  <c r="N83" i="10"/>
  <c r="P115" i="10"/>
  <c r="O115" i="10"/>
  <c r="O123" i="10"/>
  <c r="T123" i="10"/>
  <c r="E123" i="10"/>
  <c r="M123" i="10" s="1"/>
  <c r="S123" i="10"/>
  <c r="Q123" i="10" l="1"/>
  <c r="E80" i="10"/>
  <c r="I80" i="10"/>
  <c r="N80" i="10"/>
  <c r="O80" i="10"/>
  <c r="P80" i="10"/>
  <c r="R80" i="10"/>
  <c r="S80" i="10"/>
  <c r="T80" i="10"/>
  <c r="K82" i="10"/>
  <c r="L82" i="10"/>
  <c r="F82" i="10"/>
  <c r="O83" i="10"/>
  <c r="H82" i="10"/>
  <c r="I83" i="10"/>
  <c r="E84" i="10"/>
  <c r="I84" i="10"/>
  <c r="O84" i="10"/>
  <c r="P84" i="10"/>
  <c r="R84" i="10"/>
  <c r="S84" i="10"/>
  <c r="T84" i="10"/>
  <c r="E85" i="10"/>
  <c r="I85" i="10"/>
  <c r="M85" i="10" s="1"/>
  <c r="O85" i="10"/>
  <c r="P85" i="10"/>
  <c r="R85" i="10"/>
  <c r="S85" i="10"/>
  <c r="T85" i="10"/>
  <c r="F87" i="10"/>
  <c r="G87" i="10"/>
  <c r="H87" i="10"/>
  <c r="N88" i="10"/>
  <c r="O88" i="10"/>
  <c r="P88" i="10"/>
  <c r="E89" i="10"/>
  <c r="I89" i="10"/>
  <c r="N89" i="10"/>
  <c r="O89" i="10"/>
  <c r="P89" i="10"/>
  <c r="R89" i="10"/>
  <c r="S89" i="10"/>
  <c r="T89" i="10"/>
  <c r="E90" i="10"/>
  <c r="I90" i="10"/>
  <c r="N90" i="10"/>
  <c r="O90" i="10"/>
  <c r="P90" i="10"/>
  <c r="R90" i="10"/>
  <c r="S90" i="10"/>
  <c r="T90" i="10"/>
  <c r="E91" i="10"/>
  <c r="S91" i="10"/>
  <c r="N91" i="10"/>
  <c r="O91" i="10"/>
  <c r="P91" i="10"/>
  <c r="R91" i="10"/>
  <c r="T91" i="10"/>
  <c r="E93" i="10"/>
  <c r="I93" i="10"/>
  <c r="N93" i="10"/>
  <c r="O93" i="10"/>
  <c r="P93" i="10"/>
  <c r="R93" i="10"/>
  <c r="S93" i="10"/>
  <c r="T93" i="10"/>
  <c r="E94" i="10"/>
  <c r="I94" i="10"/>
  <c r="N94" i="10"/>
  <c r="P94" i="10"/>
  <c r="R94" i="10"/>
  <c r="S94" i="10"/>
  <c r="T94" i="10"/>
  <c r="E95" i="10"/>
  <c r="I95" i="10"/>
  <c r="N95" i="10"/>
  <c r="P95" i="10"/>
  <c r="R95" i="10"/>
  <c r="S95" i="10"/>
  <c r="T95" i="10"/>
  <c r="E96" i="10"/>
  <c r="I96" i="10"/>
  <c r="N96" i="10"/>
  <c r="O96" i="10"/>
  <c r="P96" i="10"/>
  <c r="R96" i="10"/>
  <c r="S96" i="10"/>
  <c r="T96" i="10"/>
  <c r="E97" i="10"/>
  <c r="I97" i="10"/>
  <c r="O97" i="10"/>
  <c r="P97" i="10"/>
  <c r="R97" i="10"/>
  <c r="S97" i="10"/>
  <c r="T97" i="10"/>
  <c r="F99" i="10"/>
  <c r="H99" i="10"/>
  <c r="K99" i="10"/>
  <c r="L99" i="10"/>
  <c r="P82" i="10" l="1"/>
  <c r="M84" i="10"/>
  <c r="Q89" i="10"/>
  <c r="Q90" i="10"/>
  <c r="M80" i="10"/>
  <c r="Q96" i="10"/>
  <c r="M93" i="10"/>
  <c r="I100" i="10"/>
  <c r="I99" i="10" s="1"/>
  <c r="S100" i="10"/>
  <c r="Q95" i="10"/>
  <c r="M89" i="10"/>
  <c r="M94" i="10"/>
  <c r="P100" i="10"/>
  <c r="O100" i="10"/>
  <c r="J99" i="10"/>
  <c r="N99" i="10" s="1"/>
  <c r="M90" i="10"/>
  <c r="Q97" i="10"/>
  <c r="M95" i="10"/>
  <c r="Q93" i="10"/>
  <c r="Q85" i="10"/>
  <c r="Q84" i="10"/>
  <c r="Q80" i="10"/>
  <c r="P99" i="10"/>
  <c r="T100" i="10"/>
  <c r="M96" i="10"/>
  <c r="J82" i="10"/>
  <c r="N82" i="10" s="1"/>
  <c r="T88" i="10"/>
  <c r="L87" i="10"/>
  <c r="T83" i="10"/>
  <c r="S88" i="10"/>
  <c r="E83" i="10"/>
  <c r="E82" i="10" s="1"/>
  <c r="R100" i="10"/>
  <c r="I88" i="10"/>
  <c r="T99" i="10"/>
  <c r="K87" i="10"/>
  <c r="S83" i="10"/>
  <c r="R88" i="10"/>
  <c r="R83" i="10"/>
  <c r="T82" i="10"/>
  <c r="E100" i="10"/>
  <c r="E99" i="10" s="1"/>
  <c r="G82" i="10"/>
  <c r="O82" i="10" s="1"/>
  <c r="I91" i="10"/>
  <c r="J87" i="10"/>
  <c r="E88" i="10"/>
  <c r="E87" i="10" s="1"/>
  <c r="G99" i="10"/>
  <c r="O99" i="10" s="1"/>
  <c r="Q94" i="10"/>
  <c r="N100" i="10"/>
  <c r="M83" i="10" l="1"/>
  <c r="R99" i="10"/>
  <c r="M100" i="10"/>
  <c r="Q100" i="10"/>
  <c r="S82" i="10"/>
  <c r="T87" i="10"/>
  <c r="P87" i="10"/>
  <c r="M99" i="10"/>
  <c r="Q99" i="10"/>
  <c r="S99" i="10"/>
  <c r="R82" i="10"/>
  <c r="I82" i="10"/>
  <c r="S87" i="10"/>
  <c r="O87" i="10"/>
  <c r="R87" i="10"/>
  <c r="N87" i="10"/>
  <c r="M88" i="10"/>
  <c r="I87" i="10"/>
  <c r="Q88" i="10"/>
  <c r="M91" i="10"/>
  <c r="Q91" i="10"/>
  <c r="Q83" i="10"/>
  <c r="Q82" i="10" l="1"/>
  <c r="M82" i="10"/>
  <c r="Q87" i="10"/>
  <c r="M87" i="10"/>
  <c r="E12" i="10" l="1"/>
  <c r="E11" i="10"/>
  <c r="O14" i="10" l="1"/>
  <c r="E14" i="10"/>
  <c r="E28" i="10" l="1"/>
  <c r="I28" i="10"/>
  <c r="N28" i="10"/>
  <c r="O28" i="10"/>
  <c r="P28" i="10"/>
  <c r="R28" i="10"/>
  <c r="S28" i="10"/>
  <c r="T28" i="10"/>
  <c r="Q28" i="10" l="1"/>
  <c r="F22" i="10" l="1"/>
  <c r="G22" i="10"/>
  <c r="H22" i="10"/>
  <c r="J22" i="10"/>
  <c r="K22" i="10"/>
  <c r="K9" i="10" s="1"/>
  <c r="L22" i="10"/>
  <c r="L9" i="10" s="1"/>
  <c r="P11" i="10" l="1"/>
  <c r="R11" i="10"/>
  <c r="T11" i="10"/>
  <c r="R12" i="10"/>
  <c r="S12" i="10"/>
  <c r="T12" i="10"/>
  <c r="N13" i="10"/>
  <c r="R13" i="10"/>
  <c r="S13" i="10"/>
  <c r="T13" i="10"/>
  <c r="N14" i="10"/>
  <c r="R14" i="10"/>
  <c r="S14" i="10"/>
  <c r="T14" i="10"/>
  <c r="N15" i="10"/>
  <c r="R15" i="10"/>
  <c r="S15" i="10"/>
  <c r="T15" i="10"/>
  <c r="N16" i="10"/>
  <c r="O16" i="10"/>
  <c r="P16" i="10"/>
  <c r="R16" i="10"/>
  <c r="S16" i="10"/>
  <c r="T16" i="10"/>
  <c r="N17" i="10"/>
  <c r="R17" i="10"/>
  <c r="S17" i="10"/>
  <c r="T17" i="10"/>
  <c r="N18" i="10"/>
  <c r="R18" i="10"/>
  <c r="S18" i="10"/>
  <c r="R19" i="10"/>
  <c r="S19" i="10"/>
  <c r="O20" i="10"/>
  <c r="P20" i="10"/>
  <c r="S20" i="10"/>
  <c r="T20" i="10"/>
  <c r="N21" i="10"/>
  <c r="O21" i="10"/>
  <c r="P21" i="10"/>
  <c r="R21" i="10"/>
  <c r="S21" i="10"/>
  <c r="T21" i="10"/>
  <c r="O23" i="10"/>
  <c r="P23" i="10"/>
  <c r="R23" i="10"/>
  <c r="S23" i="10"/>
  <c r="T23" i="10"/>
  <c r="O24" i="10"/>
  <c r="P24" i="10"/>
  <c r="R24" i="10"/>
  <c r="S24" i="10"/>
  <c r="T24" i="10"/>
  <c r="O25" i="10"/>
  <c r="P25" i="10"/>
  <c r="R25" i="10"/>
  <c r="S25" i="10"/>
  <c r="T25" i="10"/>
  <c r="N29" i="10"/>
  <c r="O29" i="10"/>
  <c r="P29" i="10"/>
  <c r="R29" i="10"/>
  <c r="S29" i="10"/>
  <c r="T29" i="10"/>
  <c r="N31" i="10"/>
  <c r="O31" i="10"/>
  <c r="R31" i="10"/>
  <c r="S31" i="10"/>
  <c r="O32" i="10"/>
  <c r="P32" i="10"/>
  <c r="R32" i="10"/>
  <c r="S32" i="10"/>
  <c r="T32" i="10"/>
  <c r="O33" i="10"/>
  <c r="P33" i="10"/>
  <c r="R33" i="10"/>
  <c r="S33" i="10"/>
  <c r="T33" i="10"/>
  <c r="R34" i="10"/>
  <c r="S34" i="10"/>
  <c r="T34" i="10"/>
  <c r="N39" i="10"/>
  <c r="O39" i="10"/>
  <c r="P39" i="10"/>
  <c r="R39" i="10"/>
  <c r="S39" i="10"/>
  <c r="T39" i="10"/>
  <c r="N40" i="10"/>
  <c r="O40" i="10"/>
  <c r="P40" i="10"/>
  <c r="R40" i="10"/>
  <c r="S40" i="10"/>
  <c r="T40" i="10"/>
  <c r="N41" i="10"/>
  <c r="R41" i="10"/>
  <c r="T41" i="10"/>
  <c r="N42" i="10"/>
  <c r="P42" i="10"/>
  <c r="R42" i="10"/>
  <c r="T42" i="10"/>
  <c r="N43" i="10"/>
  <c r="P43" i="10"/>
  <c r="R43" i="10"/>
  <c r="T43" i="10"/>
  <c r="O44" i="10"/>
  <c r="P44" i="10"/>
  <c r="S44" i="10"/>
  <c r="T44" i="10"/>
  <c r="N45" i="10"/>
  <c r="O45" i="10"/>
  <c r="P45" i="10"/>
  <c r="R45" i="10"/>
  <c r="S45" i="10"/>
  <c r="T45" i="10"/>
  <c r="N46" i="10"/>
  <c r="P46" i="10"/>
  <c r="R46" i="10"/>
  <c r="T46" i="10"/>
  <c r="O47" i="10"/>
  <c r="P47" i="10"/>
  <c r="R47" i="10"/>
  <c r="S47" i="10"/>
  <c r="T47" i="10"/>
  <c r="N48" i="10"/>
  <c r="P48" i="10"/>
  <c r="R48" i="10"/>
  <c r="T48" i="10"/>
  <c r="N49" i="10"/>
  <c r="O49" i="10"/>
  <c r="P49" i="10"/>
  <c r="R49" i="10"/>
  <c r="S49" i="10"/>
  <c r="T49" i="10"/>
  <c r="N50" i="10"/>
  <c r="O50" i="10"/>
  <c r="P50" i="10"/>
  <c r="R50" i="10"/>
  <c r="S50" i="10"/>
  <c r="T50" i="10"/>
  <c r="N52" i="10"/>
  <c r="O52" i="10"/>
  <c r="P52" i="10"/>
  <c r="R52" i="10"/>
  <c r="S52" i="10"/>
  <c r="T52" i="10"/>
  <c r="N55" i="10"/>
  <c r="O55" i="10"/>
  <c r="P55" i="10"/>
  <c r="R55" i="10"/>
  <c r="S55" i="10"/>
  <c r="T55" i="10"/>
  <c r="N60" i="10"/>
  <c r="O60" i="10"/>
  <c r="P60" i="10"/>
  <c r="R60" i="10"/>
  <c r="S60" i="10"/>
  <c r="T60" i="10"/>
  <c r="N61" i="10"/>
  <c r="P61" i="10"/>
  <c r="R61" i="10"/>
  <c r="S61" i="10"/>
  <c r="T61" i="10"/>
  <c r="N63" i="10"/>
  <c r="O63" i="10"/>
  <c r="P63" i="10"/>
  <c r="R63" i="10"/>
  <c r="S63" i="10"/>
  <c r="T63" i="10"/>
  <c r="N66" i="10"/>
  <c r="O66" i="10"/>
  <c r="R66" i="10"/>
  <c r="S66" i="10"/>
  <c r="N67" i="10"/>
  <c r="O67" i="10"/>
  <c r="P67" i="10"/>
  <c r="R67" i="10"/>
  <c r="S67" i="10"/>
  <c r="T67" i="10"/>
  <c r="O68" i="10"/>
  <c r="P68" i="10"/>
  <c r="R68" i="10"/>
  <c r="S68" i="10"/>
  <c r="T68" i="10"/>
  <c r="N69" i="10"/>
  <c r="O69" i="10"/>
  <c r="P69" i="10"/>
  <c r="R69" i="10"/>
  <c r="S69" i="10"/>
  <c r="T69" i="10"/>
  <c r="N70" i="10"/>
  <c r="O70" i="10"/>
  <c r="P70" i="10"/>
  <c r="R70" i="10"/>
  <c r="S70" i="10"/>
  <c r="T70" i="10"/>
  <c r="N71" i="10"/>
  <c r="O71" i="10"/>
  <c r="P71" i="10"/>
  <c r="R71" i="10"/>
  <c r="S71" i="10"/>
  <c r="T71" i="10"/>
  <c r="N72" i="10"/>
  <c r="P72" i="10"/>
  <c r="R72" i="10"/>
  <c r="S72" i="10"/>
  <c r="T72" i="10"/>
  <c r="N73" i="10"/>
  <c r="R73" i="10"/>
  <c r="T73" i="10"/>
  <c r="N74" i="10"/>
  <c r="O74" i="10"/>
  <c r="P74" i="10"/>
  <c r="R74" i="10"/>
  <c r="S74" i="10"/>
  <c r="T74" i="10"/>
  <c r="N75" i="10"/>
  <c r="O75" i="10"/>
  <c r="P75" i="10"/>
  <c r="R75" i="10"/>
  <c r="S75" i="10"/>
  <c r="T75" i="10"/>
  <c r="N76" i="10"/>
  <c r="O76" i="10"/>
  <c r="P76" i="10"/>
  <c r="R76" i="10"/>
  <c r="S76" i="10"/>
  <c r="T76" i="10"/>
  <c r="N77" i="10"/>
  <c r="O77" i="10"/>
  <c r="P77" i="10"/>
  <c r="R77" i="10"/>
  <c r="S77" i="10"/>
  <c r="T77" i="10"/>
  <c r="N101" i="10"/>
  <c r="O101" i="10"/>
  <c r="P101" i="10"/>
  <c r="R101" i="10"/>
  <c r="S101" i="10"/>
  <c r="T101" i="10"/>
  <c r="N102" i="10"/>
  <c r="O102" i="10"/>
  <c r="P102" i="10"/>
  <c r="R102" i="10"/>
  <c r="S102" i="10"/>
  <c r="T102" i="10"/>
  <c r="O103" i="10"/>
  <c r="P103" i="10"/>
  <c r="S103" i="10"/>
  <c r="T103" i="10"/>
  <c r="N104" i="10"/>
  <c r="O104" i="10"/>
  <c r="P104" i="10"/>
  <c r="R104" i="10"/>
  <c r="S104" i="10"/>
  <c r="T104" i="10"/>
  <c r="O105" i="10"/>
  <c r="P105" i="10"/>
  <c r="R105" i="10"/>
  <c r="S105" i="10"/>
  <c r="T105" i="10"/>
  <c r="N107" i="10"/>
  <c r="O107" i="10"/>
  <c r="P107" i="10"/>
  <c r="R107" i="10"/>
  <c r="S107" i="10"/>
  <c r="T107" i="10"/>
  <c r="N111" i="10"/>
  <c r="O111" i="10"/>
  <c r="P111" i="10"/>
  <c r="R111" i="10"/>
  <c r="S111" i="10"/>
  <c r="T111" i="10"/>
  <c r="N112" i="10"/>
  <c r="O112" i="10"/>
  <c r="P112" i="10"/>
  <c r="R112" i="10"/>
  <c r="S112" i="10"/>
  <c r="T112" i="10"/>
  <c r="N113" i="10"/>
  <c r="O113" i="10"/>
  <c r="P113" i="10"/>
  <c r="R113" i="10"/>
  <c r="S113" i="10"/>
  <c r="T113" i="10"/>
  <c r="R115" i="10"/>
  <c r="S115" i="10"/>
  <c r="T115" i="10"/>
  <c r="N116" i="10"/>
  <c r="R116" i="10"/>
  <c r="S116" i="10"/>
  <c r="T116" i="10"/>
  <c r="N117" i="10"/>
  <c r="O117" i="10"/>
  <c r="P117" i="10"/>
  <c r="R117" i="10"/>
  <c r="S117" i="10"/>
  <c r="T117" i="10"/>
  <c r="O118" i="10"/>
  <c r="P118" i="10"/>
  <c r="S118" i="10"/>
  <c r="T118" i="10"/>
  <c r="N121" i="10"/>
  <c r="O121" i="10"/>
  <c r="P121" i="10"/>
  <c r="R121" i="10"/>
  <c r="S121" i="10"/>
  <c r="T121" i="10"/>
  <c r="N124" i="10"/>
  <c r="O124" i="10"/>
  <c r="P124" i="10"/>
  <c r="R124" i="10"/>
  <c r="S124" i="10"/>
  <c r="T124" i="10"/>
  <c r="O125" i="10"/>
  <c r="P125" i="10"/>
  <c r="S125" i="10"/>
  <c r="T125" i="10"/>
  <c r="O126" i="10"/>
  <c r="P126" i="10"/>
  <c r="S126" i="10"/>
  <c r="T126" i="10"/>
  <c r="N127" i="10"/>
  <c r="O127" i="10"/>
  <c r="P127" i="10"/>
  <c r="R127" i="10"/>
  <c r="S127" i="10"/>
  <c r="T127" i="10"/>
  <c r="N133" i="10"/>
  <c r="O133" i="10"/>
  <c r="P133" i="10"/>
  <c r="R133" i="10"/>
  <c r="S133" i="10"/>
  <c r="T133" i="10"/>
  <c r="N134" i="10"/>
  <c r="O134" i="10"/>
  <c r="P134" i="10"/>
  <c r="R134" i="10"/>
  <c r="S134" i="10"/>
  <c r="T134" i="10"/>
  <c r="R136" i="10"/>
  <c r="S136" i="10"/>
  <c r="T136" i="10"/>
  <c r="N138" i="10"/>
  <c r="O138" i="10"/>
  <c r="P138" i="10"/>
  <c r="R138" i="10"/>
  <c r="S138" i="10"/>
  <c r="T138" i="10"/>
  <c r="R139" i="10"/>
  <c r="S139" i="10"/>
  <c r="T139" i="10"/>
  <c r="N143" i="10"/>
  <c r="R143" i="10"/>
  <c r="S143" i="10"/>
  <c r="T143" i="10"/>
  <c r="N145" i="10"/>
  <c r="O145" i="10"/>
  <c r="P145" i="10"/>
  <c r="R145" i="10"/>
  <c r="S145" i="10"/>
  <c r="T145" i="10"/>
  <c r="N146" i="10"/>
  <c r="R146" i="10"/>
  <c r="N149" i="10"/>
  <c r="O149" i="10"/>
  <c r="P149" i="10"/>
  <c r="R149" i="10"/>
  <c r="S149" i="10"/>
  <c r="T149" i="10"/>
  <c r="N151" i="10"/>
  <c r="O151" i="10"/>
  <c r="P151" i="10"/>
  <c r="R151" i="10"/>
  <c r="S151" i="10"/>
  <c r="T151" i="10"/>
  <c r="N154" i="10"/>
  <c r="O154" i="10"/>
  <c r="P154" i="10"/>
  <c r="R154" i="10"/>
  <c r="S154" i="10"/>
  <c r="T154" i="10"/>
  <c r="O156" i="10"/>
  <c r="P156" i="10"/>
  <c r="S156" i="10"/>
  <c r="T156" i="10"/>
  <c r="N157" i="10"/>
  <c r="O157" i="10"/>
  <c r="P157" i="10"/>
  <c r="R157" i="10"/>
  <c r="S157" i="10"/>
  <c r="T157" i="10"/>
  <c r="N158" i="10"/>
  <c r="O158" i="10"/>
  <c r="P158" i="10"/>
  <c r="R158" i="10"/>
  <c r="S158" i="10"/>
  <c r="T158" i="10"/>
  <c r="N161" i="10"/>
  <c r="O161" i="10"/>
  <c r="P161" i="10"/>
  <c r="R161" i="10"/>
  <c r="S161" i="10"/>
  <c r="T161" i="10"/>
  <c r="N162" i="10"/>
  <c r="O162" i="10"/>
  <c r="P162" i="10"/>
  <c r="R162" i="10"/>
  <c r="S162" i="10"/>
  <c r="T162" i="10"/>
  <c r="N164" i="10"/>
  <c r="O164" i="10"/>
  <c r="P164" i="10"/>
  <c r="R164" i="10"/>
  <c r="S164" i="10"/>
  <c r="T164" i="10"/>
  <c r="O165" i="10"/>
  <c r="P165" i="10"/>
  <c r="R165" i="10"/>
  <c r="S165" i="10"/>
  <c r="T165" i="10"/>
  <c r="R166" i="10"/>
  <c r="S166" i="10"/>
  <c r="T166" i="10"/>
  <c r="O146" i="10" l="1"/>
  <c r="S146" i="10"/>
  <c r="P146" i="10"/>
  <c r="T146" i="10"/>
  <c r="S48" i="10"/>
  <c r="S11" i="10"/>
  <c r="S46" i="10" l="1"/>
  <c r="S41" i="10"/>
  <c r="S73" i="10"/>
  <c r="S42" i="10"/>
  <c r="O42" i="10"/>
  <c r="S43" i="10"/>
  <c r="I139" i="10"/>
  <c r="H10" i="10"/>
  <c r="H9" i="10" s="1"/>
  <c r="G10" i="10"/>
  <c r="G9" i="10" l="1"/>
  <c r="O10" i="10"/>
  <c r="P9" i="10"/>
  <c r="O9" i="10"/>
  <c r="S10" i="10"/>
  <c r="R126" i="10"/>
  <c r="N126" i="10"/>
  <c r="P10" i="10"/>
  <c r="T10" i="10"/>
  <c r="R44" i="10"/>
  <c r="N44" i="10"/>
  <c r="R156" i="10"/>
  <c r="N156" i="10"/>
  <c r="N103" i="10"/>
  <c r="R103" i="10"/>
  <c r="N118" i="10"/>
  <c r="R118" i="10"/>
  <c r="R20" i="10"/>
  <c r="N125" i="10"/>
  <c r="R125" i="10"/>
  <c r="R148" i="10" l="1"/>
  <c r="N148" i="10"/>
  <c r="I157" i="10"/>
  <c r="E157" i="10"/>
  <c r="E112" i="10"/>
  <c r="I112" i="10"/>
  <c r="N131" i="10" l="1"/>
  <c r="R131" i="10"/>
  <c r="N110" i="10"/>
  <c r="R110" i="10"/>
  <c r="P148" i="10"/>
  <c r="T148" i="10"/>
  <c r="O148" i="10"/>
  <c r="S148" i="10"/>
  <c r="Q157" i="10"/>
  <c r="M157" i="10"/>
  <c r="M112" i="10"/>
  <c r="Q112" i="10"/>
  <c r="O65" i="10"/>
  <c r="S65" i="10"/>
  <c r="L109" i="10"/>
  <c r="T110" i="10"/>
  <c r="P66" i="10"/>
  <c r="T66" i="10"/>
  <c r="K109" i="10"/>
  <c r="S110" i="10"/>
  <c r="N65" i="10"/>
  <c r="R65" i="10"/>
  <c r="P65" i="10" l="1"/>
  <c r="T65" i="10"/>
  <c r="T18" i="10"/>
  <c r="P31" i="10" l="1"/>
  <c r="T31" i="10"/>
  <c r="T19" i="10"/>
  <c r="F10" i="10"/>
  <c r="F9" i="10" s="1"/>
  <c r="E10" i="10" l="1"/>
  <c r="T131" i="10" l="1"/>
  <c r="P131" i="10"/>
  <c r="S131" i="10"/>
  <c r="O131" i="10"/>
  <c r="I34" i="10"/>
  <c r="E34" i="10"/>
  <c r="M34" i="10" l="1"/>
  <c r="Q34" i="10"/>
  <c r="T38" i="10" l="1"/>
  <c r="S38" i="10"/>
  <c r="R38" i="10" l="1"/>
  <c r="N38" i="10"/>
  <c r="I158" i="10"/>
  <c r="E158" i="10"/>
  <c r="I143" i="10"/>
  <c r="E143" i="10"/>
  <c r="Q143" i="10" l="1"/>
  <c r="M158" i="10"/>
  <c r="Q158" i="10"/>
  <c r="E63" i="10"/>
  <c r="Q63" i="10" s="1"/>
  <c r="E24" i="10" l="1"/>
  <c r="E25" i="10"/>
  <c r="E29" i="10"/>
  <c r="E23" i="10"/>
  <c r="I70" i="10" l="1"/>
  <c r="I31" i="10" l="1"/>
  <c r="J10" i="10"/>
  <c r="J9" i="10" s="1"/>
  <c r="N10" i="10" l="1"/>
  <c r="R10" i="10"/>
  <c r="E134" i="10" l="1"/>
  <c r="E136" i="10"/>
  <c r="E133" i="10"/>
  <c r="E127" i="10" l="1"/>
  <c r="Q127" i="10" l="1"/>
  <c r="H8" i="10"/>
  <c r="G8" i="10"/>
  <c r="E52" i="10" l="1"/>
  <c r="E139" i="10" l="1"/>
  <c r="I138" i="10"/>
  <c r="E138" i="10"/>
  <c r="I136" i="10"/>
  <c r="I124" i="10"/>
  <c r="E124" i="10"/>
  <c r="I116" i="10"/>
  <c r="E116" i="10"/>
  <c r="Q136" i="10" l="1"/>
  <c r="M136" i="10"/>
  <c r="Q139" i="10"/>
  <c r="M139" i="10"/>
  <c r="Q116" i="10"/>
  <c r="Q124" i="10"/>
  <c r="M124" i="10"/>
  <c r="M138" i="10"/>
  <c r="Q138" i="10"/>
  <c r="I47" i="10"/>
  <c r="E47" i="10"/>
  <c r="I32" i="10"/>
  <c r="E32" i="10"/>
  <c r="I15" i="10"/>
  <c r="M47" i="10" l="1"/>
  <c r="Q32" i="10"/>
  <c r="Q47" i="10"/>
  <c r="E16" i="10" l="1"/>
  <c r="I14" i="10" l="1"/>
  <c r="I145" i="10"/>
  <c r="E145" i="10"/>
  <c r="I154" i="10"/>
  <c r="E154" i="10"/>
  <c r="I134" i="10"/>
  <c r="M134" i="10" l="1"/>
  <c r="Q134" i="10"/>
  <c r="M154" i="10"/>
  <c r="Q154" i="10"/>
  <c r="M145" i="10"/>
  <c r="Q145" i="10"/>
  <c r="I29" i="10"/>
  <c r="M29" i="10" s="1"/>
  <c r="I13" i="10"/>
  <c r="I12" i="10"/>
  <c r="M12" i="10" s="1"/>
  <c r="I11" i="10"/>
  <c r="M11" i="10" s="1"/>
  <c r="I16" i="10"/>
  <c r="N9" i="10" l="1"/>
  <c r="R22" i="10"/>
  <c r="Q29" i="10"/>
  <c r="Q16" i="10"/>
  <c r="M16" i="10"/>
  <c r="I10" i="10"/>
  <c r="M10" i="10" s="1"/>
  <c r="J109" i="10"/>
  <c r="I115" i="10"/>
  <c r="E115" i="10"/>
  <c r="I102" i="10"/>
  <c r="E102" i="10"/>
  <c r="M115" i="10" l="1"/>
  <c r="M102" i="10"/>
  <c r="Q102" i="10"/>
  <c r="Q115" i="10"/>
  <c r="Q10" i="10"/>
  <c r="R9" i="10" l="1"/>
  <c r="G147" i="10"/>
  <c r="H147" i="10"/>
  <c r="I39" i="10" l="1"/>
  <c r="I107" i="10" l="1"/>
  <c r="I104" i="10"/>
  <c r="I105" i="10"/>
  <c r="I101" i="10"/>
  <c r="I52" i="10"/>
  <c r="P160" i="10" l="1"/>
  <c r="O160" i="10"/>
  <c r="T160" i="10"/>
  <c r="R160" i="10"/>
  <c r="S160" i="10"/>
  <c r="Q52" i="10"/>
  <c r="M52" i="10"/>
  <c r="I103" i="10"/>
  <c r="I38" i="10"/>
  <c r="K37" i="10"/>
  <c r="O37" i="10" s="1"/>
  <c r="S37" i="10" l="1"/>
  <c r="I37" i="10"/>
  <c r="J37" i="10"/>
  <c r="O22" i="10" l="1"/>
  <c r="S22" i="10"/>
  <c r="T22" i="10"/>
  <c r="P22" i="10"/>
  <c r="I9" i="10"/>
  <c r="I22" i="10"/>
  <c r="T9" i="10" l="1"/>
  <c r="S9" i="10"/>
  <c r="I151" i="10"/>
  <c r="E151" i="10"/>
  <c r="E146" i="10"/>
  <c r="Q151" i="10" l="1"/>
  <c r="M151" i="10"/>
  <c r="I146" i="10"/>
  <c r="E126" i="10"/>
  <c r="E125" i="10"/>
  <c r="I19" i="10"/>
  <c r="E19" i="10"/>
  <c r="E20" i="10"/>
  <c r="M19" i="10" l="1"/>
  <c r="Q19" i="10"/>
  <c r="M146" i="10"/>
  <c r="Q146" i="10"/>
  <c r="I126" i="10"/>
  <c r="I125" i="10"/>
  <c r="I20" i="10"/>
  <c r="I148" i="10"/>
  <c r="M125" i="10" l="1"/>
  <c r="Q125" i="10"/>
  <c r="Q126" i="10"/>
  <c r="M126" i="10"/>
  <c r="Q20" i="10"/>
  <c r="I65" i="10"/>
  <c r="E55" i="10" l="1"/>
  <c r="H130" i="10" l="1"/>
  <c r="G130" i="10" l="1"/>
  <c r="I33" i="10" l="1"/>
  <c r="E33" i="10"/>
  <c r="Q33" i="10" l="1"/>
  <c r="I113" i="10"/>
  <c r="E113" i="10"/>
  <c r="Q113" i="10" l="1"/>
  <c r="M113" i="10"/>
  <c r="E149" i="10"/>
  <c r="E156" i="10" l="1"/>
  <c r="E117" i="10" l="1"/>
  <c r="I40" i="10" l="1"/>
  <c r="E40" i="10"/>
  <c r="M40" i="10" l="1"/>
  <c r="Q40" i="10"/>
  <c r="I165" i="10"/>
  <c r="E165" i="10"/>
  <c r="Q165" i="10" l="1"/>
  <c r="E43" i="10"/>
  <c r="I55" i="10" l="1"/>
  <c r="M55" i="10" l="1"/>
  <c r="Q55" i="10"/>
  <c r="E18" i="10"/>
  <c r="E17" i="10"/>
  <c r="E15" i="10"/>
  <c r="I18" i="10"/>
  <c r="I17" i="10"/>
  <c r="Q17" i="10" l="1"/>
  <c r="M17" i="10"/>
  <c r="M18" i="10"/>
  <c r="Q18" i="10"/>
  <c r="M15" i="10"/>
  <c r="Q15" i="10"/>
  <c r="I50" i="10"/>
  <c r="I49" i="10"/>
  <c r="I45" i="10"/>
  <c r="I44" i="10"/>
  <c r="E166" i="10"/>
  <c r="E45" i="10"/>
  <c r="E44" i="10"/>
  <c r="E50" i="10"/>
  <c r="E49" i="10"/>
  <c r="I43" i="10"/>
  <c r="I42" i="10"/>
  <c r="I166" i="10"/>
  <c r="Q44" i="10" l="1"/>
  <c r="M44" i="10"/>
  <c r="M50" i="10"/>
  <c r="Q50" i="10"/>
  <c r="M45" i="10"/>
  <c r="Q45" i="10"/>
  <c r="M166" i="10"/>
  <c r="Q166" i="10"/>
  <c r="M43" i="10"/>
  <c r="Q43" i="10"/>
  <c r="Q49" i="10"/>
  <c r="M49" i="10"/>
  <c r="I160" i="10"/>
  <c r="I110" i="10"/>
  <c r="I131" i="10"/>
  <c r="E42" i="10"/>
  <c r="M42" i="10" s="1"/>
  <c r="Q42" i="10" l="1"/>
  <c r="E31" i="10"/>
  <c r="M31" i="10" s="1"/>
  <c r="E164" i="10"/>
  <c r="H159" i="10"/>
  <c r="G159" i="10"/>
  <c r="F159" i="10"/>
  <c r="E121" i="10"/>
  <c r="E111" i="10"/>
  <c r="E107" i="10"/>
  <c r="E105" i="10"/>
  <c r="E104" i="10"/>
  <c r="E103" i="10"/>
  <c r="E101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H64" i="10"/>
  <c r="G64" i="10"/>
  <c r="E61" i="10"/>
  <c r="E60" i="10"/>
  <c r="E48" i="10"/>
  <c r="E46" i="10"/>
  <c r="E39" i="10"/>
  <c r="F37" i="10"/>
  <c r="E21" i="10"/>
  <c r="Q31" i="10" l="1"/>
  <c r="Q103" i="10"/>
  <c r="M103" i="10"/>
  <c r="M101" i="10"/>
  <c r="Q101" i="10"/>
  <c r="M14" i="10"/>
  <c r="Q14" i="10"/>
  <c r="M39" i="10"/>
  <c r="Q39" i="10"/>
  <c r="Q13" i="10"/>
  <c r="M13" i="10"/>
  <c r="M107" i="10"/>
  <c r="Q107" i="10"/>
  <c r="Q12" i="10"/>
  <c r="Q104" i="10"/>
  <c r="M104" i="10"/>
  <c r="Q105" i="10"/>
  <c r="N37" i="10"/>
  <c r="R37" i="10"/>
  <c r="M70" i="10"/>
  <c r="Q70" i="10"/>
  <c r="H109" i="10"/>
  <c r="G109" i="10"/>
  <c r="F109" i="10"/>
  <c r="E65" i="10"/>
  <c r="E41" i="10"/>
  <c r="E118" i="10"/>
  <c r="E22" i="10"/>
  <c r="F130" i="10"/>
  <c r="F147" i="10"/>
  <c r="E160" i="10"/>
  <c r="Q11" i="10" l="1"/>
  <c r="Q22" i="10"/>
  <c r="M65" i="10"/>
  <c r="Q65" i="10"/>
  <c r="N109" i="10"/>
  <c r="R109" i="10"/>
  <c r="S109" i="10"/>
  <c r="O109" i="10"/>
  <c r="Q160" i="10"/>
  <c r="M160" i="10"/>
  <c r="T109" i="10"/>
  <c r="P109" i="10"/>
  <c r="H167" i="10"/>
  <c r="G167" i="10"/>
  <c r="E64" i="10"/>
  <c r="E159" i="10"/>
  <c r="E131" i="10"/>
  <c r="E38" i="10"/>
  <c r="F64" i="10"/>
  <c r="E110" i="10"/>
  <c r="E148" i="10"/>
  <c r="E9" i="10"/>
  <c r="F8" i="10"/>
  <c r="M131" i="10" l="1"/>
  <c r="Q131" i="10"/>
  <c r="Q38" i="10"/>
  <c r="M38" i="10"/>
  <c r="Q148" i="10"/>
  <c r="M148" i="10"/>
  <c r="Q110" i="10"/>
  <c r="M110" i="10"/>
  <c r="E8" i="10"/>
  <c r="M9" i="10"/>
  <c r="F167" i="10"/>
  <c r="E167" i="10" s="1"/>
  <c r="E147" i="10"/>
  <c r="E37" i="10"/>
  <c r="E130" i="10"/>
  <c r="E109" i="10"/>
  <c r="M37" i="10" l="1"/>
  <c r="Q37" i="10"/>
  <c r="I21" i="10"/>
  <c r="I23" i="10"/>
  <c r="M23" i="10" s="1"/>
  <c r="I24" i="10"/>
  <c r="I25" i="10"/>
  <c r="I41" i="10"/>
  <c r="I46" i="10"/>
  <c r="I48" i="10"/>
  <c r="I66" i="10"/>
  <c r="I67" i="10"/>
  <c r="I68" i="10"/>
  <c r="M68" i="10" s="1"/>
  <c r="I69" i="10"/>
  <c r="I71" i="10"/>
  <c r="I72" i="10"/>
  <c r="I73" i="10"/>
  <c r="I74" i="10"/>
  <c r="I75" i="10"/>
  <c r="I76" i="10"/>
  <c r="I77" i="10"/>
  <c r="I111" i="10"/>
  <c r="I117" i="10"/>
  <c r="I118" i="10"/>
  <c r="I121" i="10"/>
  <c r="I133" i="10"/>
  <c r="I149" i="10"/>
  <c r="I156" i="10"/>
  <c r="I161" i="10"/>
  <c r="I162" i="10"/>
  <c r="I164" i="10"/>
  <c r="Q149" i="10" l="1"/>
  <c r="M149" i="10"/>
  <c r="M121" i="10"/>
  <c r="Q121" i="10"/>
  <c r="M61" i="10"/>
  <c r="Q61" i="10"/>
  <c r="M76" i="10"/>
  <c r="Q76" i="10"/>
  <c r="Q74" i="10"/>
  <c r="M74" i="10"/>
  <c r="Q66" i="10"/>
  <c r="M66" i="10"/>
  <c r="Q77" i="10"/>
  <c r="M77" i="10"/>
  <c r="M48" i="10"/>
  <c r="Q48" i="10"/>
  <c r="Q41" i="10"/>
  <c r="M41" i="10"/>
  <c r="Q23" i="10"/>
  <c r="Q156" i="10"/>
  <c r="M156" i="10"/>
  <c r="M60" i="10"/>
  <c r="Q60" i="10"/>
  <c r="M75" i="10"/>
  <c r="Q75" i="10"/>
  <c r="M73" i="10"/>
  <c r="Q73" i="10"/>
  <c r="Q24" i="10"/>
  <c r="M118" i="10"/>
  <c r="Q118" i="10"/>
  <c r="M117" i="10"/>
  <c r="Q117" i="10"/>
  <c r="Q25" i="10"/>
  <c r="M71" i="10"/>
  <c r="Q71" i="10"/>
  <c r="M164" i="10"/>
  <c r="Q164" i="10"/>
  <c r="Q162" i="10"/>
  <c r="M162" i="10"/>
  <c r="M133" i="10"/>
  <c r="Q133" i="10"/>
  <c r="M46" i="10"/>
  <c r="Q46" i="10"/>
  <c r="M111" i="10"/>
  <c r="Q111" i="10"/>
  <c r="Q72" i="10"/>
  <c r="M72" i="10"/>
  <c r="Q69" i="10"/>
  <c r="M69" i="10"/>
  <c r="Q21" i="10"/>
  <c r="M21" i="10"/>
  <c r="Q68" i="10"/>
  <c r="Q161" i="10"/>
  <c r="M161" i="10"/>
  <c r="M67" i="10"/>
  <c r="Q67" i="10"/>
  <c r="K8" i="10"/>
  <c r="O8" i="10" s="1"/>
  <c r="J130" i="10"/>
  <c r="J159" i="10"/>
  <c r="K159" i="10"/>
  <c r="L159" i="10"/>
  <c r="K147" i="10"/>
  <c r="L147" i="10"/>
  <c r="L130" i="10"/>
  <c r="L64" i="10"/>
  <c r="L37" i="10"/>
  <c r="K64" i="10"/>
  <c r="J147" i="10"/>
  <c r="K130" i="10"/>
  <c r="J64" i="10"/>
  <c r="T37" i="10" l="1"/>
  <c r="P37" i="10"/>
  <c r="T159" i="10"/>
  <c r="P159" i="10"/>
  <c r="S159" i="10"/>
  <c r="O159" i="10"/>
  <c r="O147" i="10"/>
  <c r="S147" i="10"/>
  <c r="R64" i="10"/>
  <c r="N64" i="10"/>
  <c r="N147" i="10"/>
  <c r="R147" i="10"/>
  <c r="N130" i="10"/>
  <c r="R130" i="10"/>
  <c r="P147" i="10"/>
  <c r="T147" i="10"/>
  <c r="S64" i="10"/>
  <c r="O64" i="10"/>
  <c r="S130" i="10"/>
  <c r="O130" i="10"/>
  <c r="R159" i="10"/>
  <c r="T64" i="10"/>
  <c r="P64" i="10"/>
  <c r="T130" i="10"/>
  <c r="P130" i="10"/>
  <c r="Q9" i="10"/>
  <c r="K167" i="10"/>
  <c r="I159" i="10"/>
  <c r="I147" i="10"/>
  <c r="I130" i="10"/>
  <c r="I109" i="10"/>
  <c r="L8" i="10"/>
  <c r="P8" i="10" s="1"/>
  <c r="I64" i="10"/>
  <c r="J8" i="10"/>
  <c r="M64" i="10" l="1"/>
  <c r="Q64" i="10"/>
  <c r="O167" i="10"/>
  <c r="S167" i="10"/>
  <c r="M109" i="10"/>
  <c r="Q109" i="10"/>
  <c r="M130" i="10"/>
  <c r="Q130" i="10"/>
  <c r="M147" i="10"/>
  <c r="Q147" i="10"/>
  <c r="Q159" i="10"/>
  <c r="J167" i="10"/>
  <c r="N8" i="10"/>
  <c r="L167" i="10"/>
  <c r="I8" i="10"/>
  <c r="T8" i="10"/>
  <c r="S8" i="10"/>
  <c r="R8" i="10"/>
  <c r="P167" i="10" l="1"/>
  <c r="T167" i="10"/>
  <c r="N167" i="10"/>
  <c r="R167" i="10"/>
  <c r="Q8" i="10"/>
  <c r="M8" i="10"/>
  <c r="I167" i="10"/>
  <c r="M167" i="10" l="1"/>
  <c r="Q167" i="10"/>
</calcChain>
</file>

<file path=xl/sharedStrings.xml><?xml version="1.0" encoding="utf-8"?>
<sst xmlns="http://schemas.openxmlformats.org/spreadsheetml/2006/main" count="602" uniqueCount="382">
  <si>
    <t>бюджет розвитку</t>
  </si>
  <si>
    <t>РАЗОМ</t>
  </si>
  <si>
    <t>Реверсна дотація</t>
  </si>
  <si>
    <t>0111</t>
  </si>
  <si>
    <t>1090</t>
  </si>
  <si>
    <t>0320</t>
  </si>
  <si>
    <t>0133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</si>
  <si>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</si>
  <si>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</si>
  <si>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</si>
  <si>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</si>
  <si>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</si>
  <si>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</si>
  <si>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</si>
  <si>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</si>
  <si>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</si>
  <si>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</si>
  <si>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</si>
  <si>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</si>
  <si>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</si>
  <si>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</si>
  <si>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</si>
  <si>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</si>
  <si>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</si>
  <si>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</si>
  <si>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</si>
  <si>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</si>
  <si>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</si>
  <si>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</si>
  <si>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</si>
  <si>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</si>
  <si>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</si>
  <si>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</si>
  <si>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Надання пільг окремим категоріям громадян з оплати послуг зв'язку</t>
  </si>
  <si>
    <t>3112</t>
  </si>
  <si>
    <t>4060</t>
  </si>
  <si>
    <t>0824</t>
  </si>
  <si>
    <t>0828</t>
  </si>
  <si>
    <t>0829</t>
  </si>
  <si>
    <t>0610</t>
  </si>
  <si>
    <t>6030</t>
  </si>
  <si>
    <t>0456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</si>
  <si>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</si>
  <si>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</si>
  <si>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</si>
  <si>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</si>
  <si>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</si>
  <si>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</si>
  <si>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</si>
  <si>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</si>
  <si>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</si>
  <si>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Забезпечення діяльності місцевих центрів фізичного здоров я населення "Спорт для всіх" та проведення фізкультурно-масових заходів серед населення регіону</t>
  </si>
  <si>
    <t>0150</t>
  </si>
  <si>
    <t xml:space="preserve">Організаційне, інформатично-аналітичне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</si>
  <si>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2100</t>
  </si>
  <si>
    <t>Організація благоустрою  населених пунктів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</si>
  <si>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</si>
  <si>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</si>
  <si>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</si>
  <si>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</si>
  <si>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</si>
  <si>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</si>
  <si>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</si>
  <si>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</si>
  <si>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</si>
  <si>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</si>
  <si>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</si>
  <si>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</si>
  <si>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</si>
  <si>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</si>
  <si>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</si>
  <si>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</si>
  <si>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</si>
  <si>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</si>
  <si>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</si>
  <si>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Утримання та забезпечення діяльності центрів соціальних служб для сім'ї, дітей та молоді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</si>
  <si>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</si>
  <si>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</si>
  <si>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</si>
  <si>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</si>
  <si>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</si>
  <si>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</si>
  <si>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</si>
  <si>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</si>
  <si>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Забезпечення діяльності музеїв і виставок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</si>
  <si>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</si>
  <si>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</si>
  <si>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1110160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</si>
  <si>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</si>
  <si>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</si>
  <si>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</si>
  <si>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</si>
  <si>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</si>
  <si>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</si>
  <si>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</si>
  <si>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</si>
  <si>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</si>
  <si>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</si>
  <si>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</si>
  <si>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</si>
  <si>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</si>
  <si>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</si>
  <si>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</si>
  <si>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</si>
  <si>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</si>
  <si>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</si>
  <si>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Інша діяльність у сфері державного управління</t>
  </si>
  <si>
    <t>3710180</t>
  </si>
  <si>
    <t>9110</t>
  </si>
  <si>
    <t>3719110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</si>
  <si>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</si>
  <si>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</si>
  <si>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</si>
  <si>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</si>
  <si>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</si>
  <si>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</si>
  <si>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</si>
  <si>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</si>
  <si>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</si>
  <si>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 xml:space="preserve">Інша діяльність у сфері державного управління </t>
  </si>
  <si>
    <t>3104</t>
  </si>
  <si>
    <t>0813104</t>
  </si>
  <si>
    <t>1217461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</si>
  <si>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</si>
  <si>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</si>
  <si>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</si>
  <si>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</si>
  <si>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</si>
  <si>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</si>
  <si>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7693</t>
  </si>
  <si>
    <t>Інші заходи, пов'язані з економічною діяльністю</t>
  </si>
  <si>
    <t>Заходи із запобігання та ліквідації надзвичайних ситуацій та наслідків стихійного лиха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</si>
  <si>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</si>
  <si>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</si>
  <si>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</si>
  <si>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Надання соціальних гарантій  фізичним особам, які надають соціальні послуги громадянам похилого віку,  особам з інвалідністю,  дітям з інвалідністю,  хворим, які не здатні до самообслуговування і потребують сторонньої допомоги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</si>
  <si>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</si>
  <si>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</si>
  <si>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</si>
  <si>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0813192</t>
  </si>
  <si>
    <t>3192</t>
  </si>
  <si>
    <t>Надання фінансової підтримки громадським організаціям ветеранів і осіб з інвалідністю,  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</si>
  <si>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</si>
  <si>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</si>
  <si>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</si>
  <si>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</si>
  <si>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</si>
  <si>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</si>
  <si>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</si>
  <si>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</si>
  <si>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</si>
  <si>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Інша діяльність, пов'язана з експлуатацією об'єктів житлово - комунального господарства</t>
  </si>
  <si>
    <t>9800</t>
  </si>
  <si>
    <t>Субвенція з місцевого бюджету державному бюджету на виконання програм соціально - економічного розвитку регіонів</t>
  </si>
  <si>
    <t>3719800</t>
  </si>
  <si>
    <t>Багатопрофільна стаціонарна медична допомога населенню</t>
  </si>
  <si>
    <t>9770</t>
  </si>
  <si>
    <t>Інші субвенції з місцевого бюджету</t>
  </si>
  <si>
    <t>3719770</t>
  </si>
  <si>
    <t>0810180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</si>
  <si>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</si>
  <si>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</si>
  <si>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</si>
  <si>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</si>
  <si>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</si>
  <si>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</si>
  <si>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</si>
  <si>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</si>
  <si>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</si>
  <si>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</si>
  <si>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</si>
  <si>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</si>
  <si>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</si>
  <si>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</si>
  <si>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спеціальний фонд</t>
  </si>
  <si>
    <t>загальний  фонд</t>
  </si>
  <si>
    <t xml:space="preserve">з них </t>
  </si>
  <si>
    <t>в тому числ:</t>
  </si>
  <si>
    <t>Темп росту, %</t>
  </si>
  <si>
    <t>Начальник фінансового управління</t>
  </si>
  <si>
    <t>0218210</t>
  </si>
  <si>
    <t>8210</t>
  </si>
  <si>
    <t>Муніципальні формування з охорони громадського порядку</t>
  </si>
  <si>
    <t>2152</t>
  </si>
  <si>
    <t>0611021</t>
  </si>
  <si>
    <t>0611022</t>
  </si>
  <si>
    <t>1021</t>
  </si>
  <si>
    <t>1022</t>
  </si>
  <si>
    <t>Надання спеціальної освіти мистецькими школами</t>
  </si>
  <si>
    <t>1011080</t>
  </si>
  <si>
    <t>1080</t>
  </si>
  <si>
    <t>0611031</t>
  </si>
  <si>
    <t>1031</t>
  </si>
  <si>
    <t>0611032</t>
  </si>
  <si>
    <t>1032</t>
  </si>
  <si>
    <t>0611141</t>
  </si>
  <si>
    <t>1141</t>
  </si>
  <si>
    <t>0611151</t>
  </si>
  <si>
    <t>1151</t>
  </si>
  <si>
    <t xml:space="preserve">Забезпечення діяльності інклюзивно - ресурсних центрів  за  рахунок  коштів  місцевого бюджету </t>
  </si>
  <si>
    <t>0611152</t>
  </si>
  <si>
    <t>1152</t>
  </si>
  <si>
    <t>Забезпечення діяльності інклюзивно - ресурсних центрів  за  рахунок  освітньої  субвенції</t>
  </si>
  <si>
    <t>Виконавчий комітет Чорноморської міської ради Одеського району  Одеської області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</si>
  <si>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</si>
  <si>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</si>
  <si>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</si>
  <si>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Управління капітального будівництва Чорноморської міської ради Одеського району Одеської області</t>
  </si>
  <si>
    <t>Управління комунальної  власності  та земельних відносин Чорноморської 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</si>
  <si>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</si>
  <si>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Фінансове управління Чорноморської міської ради Одеського району 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</si>
  <si>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</si>
  <si>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</si>
  <si>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</si>
  <si>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Ольга ЯКОВЕНКО</t>
  </si>
  <si>
    <t>Відділ комунального господарства та благоустрою Чорноморської  міської ради Одеського району Одеської області</t>
  </si>
  <si>
    <t>0380</t>
  </si>
  <si>
    <t>Стоматологічна допомога населенню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</si>
  <si>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</si>
  <si>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</si>
  <si>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</si>
  <si>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позашкільної освіти закладами позашкільної  освіти, заходи із позашкільної роботи з дітьми</t>
  </si>
  <si>
    <t>0610180</t>
  </si>
  <si>
    <t>1210180</t>
  </si>
  <si>
    <t>0218230</t>
  </si>
  <si>
    <t>8230</t>
  </si>
  <si>
    <t>Інші заходи громадського порядку та безпеки</t>
  </si>
  <si>
    <t>Керівництво і управління у відповідній сфері у містах (місті Києві), селищах, селах, територіальних громадах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</si>
  <si>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</si>
  <si>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</si>
  <si>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</si>
  <si>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</si>
  <si>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</si>
  <si>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Інші заходи, пов`язані з економічною діяльністю</t>
  </si>
  <si>
    <t>Заходи та роботи з територіальної оборони</t>
  </si>
  <si>
    <t>1518110</t>
  </si>
  <si>
    <t>3116017</t>
  </si>
  <si>
    <t>Інша діяльність, пов`язана з експлуатацією об`єктів житлово-комунального господарства</t>
  </si>
  <si>
    <t>8240</t>
  </si>
  <si>
    <t>Відхилення, грн</t>
  </si>
  <si>
    <t>Забезпечення діяльності центрів професійного розвитку педагогічних працівників</t>
  </si>
  <si>
    <t>Надання  загальної  середньої  освіти  закладами  загальної  середньої  освіти за  рахунок коштів  місцевого  бюджету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</si>
  <si>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розвитку, за  рахунок  місцевого бюджету</t>
  </si>
  <si>
    <t>Надання  загальної  середньої  освіти  закладами  загальної  середньої  освіти за  рахунок  освітньої  субвенції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</si>
  <si>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 за рахунок  освітньої  субвенції</t>
  </si>
  <si>
    <t>Управління освіти Чорноморської  міської ради Одеського району Одеської області</t>
  </si>
  <si>
    <t>Управління освіти Чорноморської  міської ради  Одеського району Одеської області</t>
  </si>
  <si>
    <t>Відділ молоді та спорту Чорноморської  міської ради  Одеського району Одеської області</t>
  </si>
  <si>
    <t>Відділ молоді та спорту Чорноморської  міської ради Одеського району Одеської області</t>
  </si>
  <si>
    <t>1010180</t>
  </si>
  <si>
    <t>1110180</t>
  </si>
  <si>
    <t>0217680</t>
  </si>
  <si>
    <t>7680</t>
  </si>
  <si>
    <t>Членські внески до асоціацій органів місцевого самоврядування</t>
  </si>
  <si>
    <t>1510180</t>
  </si>
  <si>
    <t>0443</t>
  </si>
  <si>
    <t>Розроблення схем планування та забудови територій (містобудівної документації)</t>
  </si>
  <si>
    <t>1517640</t>
  </si>
  <si>
    <t>7640</t>
  </si>
  <si>
    <t>0470</t>
  </si>
  <si>
    <t>Заходи з енергозбереження</t>
  </si>
  <si>
    <t>0218220</t>
  </si>
  <si>
    <t>Заходи та роботи з мобілізаційної підготовки місцевого значення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</si>
  <si>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</si>
  <si>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</si>
  <si>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</si>
  <si>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</si>
  <si>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0900000</t>
  </si>
  <si>
    <t/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</si>
  <si>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</si>
  <si>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</si>
  <si>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</si>
  <si>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</si>
  <si>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1216015</t>
  </si>
  <si>
    <t>6015</t>
  </si>
  <si>
    <t>Забезпечення надійної та безперебійної експлуатації ліфтів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</si>
  <si>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</si>
  <si>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1516013</t>
  </si>
  <si>
    <t>1516015</t>
  </si>
  <si>
    <t>0611160</t>
  </si>
  <si>
    <t>Разом</t>
  </si>
  <si>
    <t>усього</t>
  </si>
  <si>
    <t>0618110</t>
  </si>
  <si>
    <t>Реалізація інших заходів щодо соціально-економічного розвитку територій</t>
  </si>
  <si>
    <t>3118240</t>
  </si>
  <si>
    <t>1210170</t>
  </si>
  <si>
    <t>0218240</t>
  </si>
  <si>
    <t>у 5 разів</t>
  </si>
  <si>
    <t>у 3 рази</t>
  </si>
  <si>
    <t>у 4 рази</t>
  </si>
  <si>
    <t>0217640</t>
  </si>
  <si>
    <t>Внески до статутного капіталу суб'єктів господарювання</t>
  </si>
  <si>
    <t>1517368</t>
  </si>
  <si>
    <t>7368</t>
  </si>
  <si>
    <t>Виконання інвестиційних проектів за рахунок субвенцій з інших бюджетів</t>
  </si>
  <si>
    <t>0217520</t>
  </si>
  <si>
    <t>0460</t>
  </si>
  <si>
    <t>Реалізація Національної програми інформатизації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</si>
  <si>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</si>
  <si>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</si>
  <si>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</si>
  <si>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0617520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</si>
  <si>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</si>
  <si>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</si>
  <si>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</si>
  <si>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0817520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</si>
  <si>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</si>
  <si>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</si>
  <si>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0640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</si>
  <si>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</si>
  <si>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</si>
  <si>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</si>
  <si>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0917520</t>
  </si>
  <si>
    <t>7520</t>
  </si>
  <si>
    <t>1117520</t>
  </si>
  <si>
    <t>1517520</t>
  </si>
  <si>
    <t>3116090</t>
  </si>
  <si>
    <t>Інша діяльність у сфері житлово-комунального господарства</t>
  </si>
  <si>
    <t>3117520</t>
  </si>
  <si>
    <t>3717520</t>
  </si>
  <si>
    <t>Показники  бюджету Чорноморської міської територіальної громади за видатками  за  1  півріччя  2025 року  порівняно з аналогічними показниками за   відповідний  період  попереднього  бюджетного  періоду   із зазначенням динаміки їх зміни</t>
  </si>
  <si>
    <t>Виконано за  1  півріччя  2025  року, грн</t>
  </si>
  <si>
    <t>Виконано за  1  півріччя  2024  року, грн</t>
  </si>
  <si>
    <t>0217350</t>
  </si>
  <si>
    <t>0218340</t>
  </si>
  <si>
    <t>0540</t>
  </si>
  <si>
    <t>Природоохоронні заходи за рахунок цільових фондів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</si>
  <si>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</si>
  <si>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</si>
  <si>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</si>
  <si>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</si>
  <si>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</si>
  <si>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</si>
  <si>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</si>
  <si>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</si>
  <si>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</si>
  <si>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</si>
  <si>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</si>
  <si>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</si>
  <si>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</si>
  <si>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</si>
  <si>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</si>
  <si>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1213210</t>
  </si>
  <si>
    <t>33210</t>
  </si>
  <si>
    <t>1050</t>
  </si>
  <si>
    <t>Організація та проведення громадських робіт</t>
  </si>
  <si>
    <t>7310</t>
  </si>
  <si>
    <t>Будівництво об'єктів житлово-комунального господарства</t>
  </si>
  <si>
    <t>3110180</t>
  </si>
  <si>
    <t>0218110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</si>
  <si>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</si>
  <si>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</si>
  <si>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</si>
  <si>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</si>
  <si>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3117130</t>
  </si>
  <si>
    <t>7130</t>
  </si>
  <si>
    <t>0421</t>
  </si>
  <si>
    <t>Здійснення заходів із землеустрою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</si>
  <si>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</si>
  <si>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</si>
  <si>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</si>
  <si>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</si>
  <si>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</si>
  <si>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</si>
  <si>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</si>
  <si>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1300</t>
  </si>
  <si>
    <t>Будівництво освітніх установ та закладів</t>
  </si>
  <si>
    <t>2171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</si>
  <si>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</si>
  <si>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6091</t>
  </si>
  <si>
    <t>у 8 разів</t>
  </si>
  <si>
    <t>у 2 рази</t>
  </si>
  <si>
    <t>у 6 разів</t>
  </si>
  <si>
    <t>у 19 разів</t>
  </si>
  <si>
    <t>у 70 разів</t>
  </si>
  <si>
    <t>у 310 разів</t>
  </si>
  <si>
    <t xml:space="preserve">у 3 рази </t>
  </si>
  <si>
    <t>у 16 разів</t>
  </si>
  <si>
    <t>у 121 раз</t>
  </si>
  <si>
    <t>у 134 разів</t>
  </si>
  <si>
    <t>у 102 рази</t>
  </si>
  <si>
    <t>у 2,5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</si>
</sst>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%"/>
  </numFmts>
  <fonts count="38">
    <font>
      <sz val="11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rgb="FF333333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5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23" fillId="0" borderId="0"/>
    <xf numFmtId="0" fontId="22" fillId="0" borderId="0"/>
    <xf numFmtId="0" fontId="24" fillId="0" borderId="0"/>
    <xf numFmtId="0" fontId="34" fillId="3" borderId="0" applyNumberFormat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5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26" fillId="2" borderId="0" xfId="0" applyFont="1" applyFill="1"/>
    <xf numFmtId="49" fontId="26" fillId="2" borderId="0" xfId="0" applyNumberFormat="1" applyFont="1" applyFill="1"/>
    <xf numFmtId="164" fontId="26" fillId="2" borderId="0" xfId="2" applyNumberFormat="1" applyFont="1" applyFill="1"/>
    <xf numFmtId="0" fontId="26" fillId="2" borderId="0" xfId="2" applyFont="1" applyFill="1"/>
    <xf numFmtId="4" fontId="26" fillId="2" borderId="0" xfId="0" applyNumberFormat="1" applyFont="1" applyFill="1"/>
    <xf numFmtId="2" fontId="26" fillId="2" borderId="0" xfId="0" applyNumberFormat="1" applyFont="1" applyFill="1"/>
    <xf numFmtId="3" fontId="26" fillId="2" borderId="0" xfId="2" applyNumberFormat="1" applyFont="1" applyFill="1"/>
    <xf numFmtId="0" fontId="26" fillId="2" borderId="1" xfId="2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7" fillId="2" borderId="1" xfId="2" applyFont="1" applyFill="1" applyBorder="1" applyAlignment="1">
      <alignment horizontal="left" vertical="center" wrapText="1"/>
    </xf>
    <xf numFmtId="0" fontId="28" fillId="2" borderId="1" xfId="2" applyFont="1" applyFill="1" applyBorder="1" applyAlignment="1">
      <alignment horizontal="left" vertical="center" wrapText="1"/>
    </xf>
    <xf numFmtId="49" fontId="29" fillId="2" borderId="0" xfId="0" applyNumberFormat="1" applyFont="1" applyFill="1" applyAlignment="1">
      <alignment horizontal="left" vertical="center" wrapText="1"/>
    </xf>
    <xf numFmtId="0" fontId="26" fillId="2" borderId="1" xfId="3" applyFont="1" applyFill="1" applyBorder="1" applyAlignment="1">
      <alignment horizontal="left" vertical="center" wrapText="1"/>
    </xf>
    <xf numFmtId="49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27" fillId="2" borderId="1" xfId="2" applyFont="1" applyFill="1" applyBorder="1" applyAlignment="1">
      <alignment horizontal="left" vertical="center"/>
    </xf>
    <xf numFmtId="0" fontId="33" fillId="2" borderId="1" xfId="4" quotePrefix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9" fillId="2" borderId="5" xfId="4" quotePrefix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33" fillId="2" borderId="1" xfId="4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vertical="center"/>
    </xf>
    <xf numFmtId="2" fontId="26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165" fontId="26" fillId="2" borderId="0" xfId="0" applyNumberFormat="1" applyFont="1" applyFill="1"/>
    <xf numFmtId="3" fontId="26" fillId="2" borderId="0" xfId="0" applyNumberFormat="1" applyFont="1" applyFill="1"/>
    <xf numFmtId="0" fontId="27" fillId="2" borderId="1" xfId="0" applyFont="1" applyFill="1" applyBorder="1" applyAlignment="1">
      <alignment horizontal="center" vertical="center" wrapText="1"/>
    </xf>
    <xf numFmtId="0" fontId="33" fillId="2" borderId="1" xfId="4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9" fillId="2" borderId="1" xfId="12" quotePrefix="1" applyFont="1" applyFill="1" applyBorder="1" applyAlignment="1">
      <alignment horizontal="left" vertical="center" wrapText="1"/>
    </xf>
    <xf numFmtId="0" fontId="29" fillId="0" borderId="5" xfId="0" quotePrefix="1" applyFont="1" applyFill="1" applyBorder="1" applyAlignment="1">
      <alignment horizontal="left" vertical="center" wrapText="1"/>
    </xf>
    <xf numFmtId="49" fontId="29" fillId="2" borderId="1" xfId="12" applyNumberFormat="1" applyFont="1" applyFill="1" applyBorder="1" applyAlignment="1">
      <alignment horizontal="center" vertical="center" wrapText="1"/>
    </xf>
    <xf numFmtId="0" fontId="29" fillId="2" borderId="1" xfId="12" applyFont="1" applyFill="1" applyBorder="1" applyAlignment="1">
      <alignment horizontal="center" vertical="center" wrapText="1"/>
    </xf>
    <xf numFmtId="0" fontId="29" fillId="2" borderId="1" xfId="13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horizontal="left" vertical="center"/>
    </xf>
    <xf numFmtId="3" fontId="27" fillId="2" borderId="0" xfId="2" applyNumberFormat="1" applyFont="1" applyFill="1" applyBorder="1" applyAlignment="1">
      <alignment horizontal="left" vertical="center"/>
    </xf>
    <xf numFmtId="166" fontId="27" fillId="2" borderId="0" xfId="2" applyNumberFormat="1" applyFont="1" applyFill="1" applyBorder="1" applyAlignment="1">
      <alignment horizontal="left" vertical="center"/>
    </xf>
    <xf numFmtId="3" fontId="27" fillId="2" borderId="0" xfId="0" applyNumberFormat="1" applyFont="1" applyFill="1" applyBorder="1" applyAlignment="1">
      <alignment horizontal="left" vertical="center"/>
    </xf>
    <xf numFmtId="3" fontId="27" fillId="2" borderId="1" xfId="2" applyNumberFormat="1" applyFont="1" applyFill="1" applyBorder="1" applyAlignment="1">
      <alignment horizontal="center" vertical="center" wrapText="1"/>
    </xf>
    <xf numFmtId="166" fontId="27" fillId="2" borderId="1" xfId="2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3" fontId="27" fillId="2" borderId="1" xfId="2" applyNumberFormat="1" applyFont="1" applyFill="1" applyBorder="1" applyAlignment="1">
      <alignment horizontal="center" vertical="center"/>
    </xf>
    <xf numFmtId="3" fontId="26" fillId="2" borderId="1" xfId="2" applyNumberFormat="1" applyFont="1" applyFill="1" applyBorder="1" applyAlignment="1">
      <alignment horizontal="center" vertical="center"/>
    </xf>
    <xf numFmtId="166" fontId="26" fillId="2" borderId="1" xfId="2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8" fillId="2" borderId="1" xfId="2" applyNumberFormat="1" applyFont="1" applyFill="1" applyBorder="1" applyAlignment="1">
      <alignment horizontal="center" vertical="center"/>
    </xf>
    <xf numFmtId="166" fontId="28" fillId="2" borderId="1" xfId="2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49" fontId="29" fillId="2" borderId="1" xfId="18" applyNumberFormat="1" applyFont="1" applyFill="1" applyBorder="1" applyAlignment="1">
      <alignment horizontal="center" vertical="center" wrapText="1"/>
    </xf>
    <xf numFmtId="0" fontId="29" fillId="2" borderId="1" xfId="18" applyFont="1" applyFill="1" applyBorder="1" applyAlignment="1">
      <alignment horizontal="center" vertical="center" wrapText="1"/>
    </xf>
    <xf numFmtId="49" fontId="29" fillId="2" borderId="1" xfId="22" applyNumberFormat="1" applyFont="1" applyFill="1" applyBorder="1" applyAlignment="1">
      <alignment horizontal="center" vertical="center" wrapText="1"/>
    </xf>
    <xf numFmtId="0" fontId="29" fillId="2" borderId="1" xfId="22" applyFont="1" applyFill="1" applyBorder="1" applyAlignment="1">
      <alignment horizontal="center" vertical="center" wrapText="1"/>
    </xf>
    <xf numFmtId="49" fontId="26" fillId="2" borderId="1" xfId="18" applyNumberFormat="1" applyFont="1" applyFill="1" applyBorder="1" applyAlignment="1">
      <alignment horizontal="center" vertical="center"/>
    </xf>
    <xf numFmtId="49" fontId="29" fillId="2" borderId="1" xfId="19" applyNumberFormat="1" applyFont="1" applyFill="1" applyBorder="1" applyAlignment="1">
      <alignment horizontal="center" vertical="center" wrapText="1"/>
    </xf>
    <xf numFmtId="0" fontId="29" fillId="2" borderId="1" xfId="20" applyFont="1" applyFill="1" applyBorder="1" applyAlignment="1">
      <alignment horizontal="center" vertical="center" wrapText="1"/>
    </xf>
    <xf numFmtId="49" fontId="29" fillId="2" borderId="1" xfId="20" applyNumberFormat="1" applyFont="1" applyFill="1" applyBorder="1" applyAlignment="1">
      <alignment horizontal="center" vertical="center" wrapText="1"/>
    </xf>
    <xf numFmtId="3" fontId="2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1" xfId="33" quotePrefix="1" applyFont="1" applyFill="1" applyBorder="1" applyAlignment="1">
      <alignment horizontal="left" vertical="center" wrapText="1"/>
    </xf>
    <xf numFmtId="49" fontId="29" fillId="2" borderId="1" xfId="33" applyNumberFormat="1" applyFont="1" applyFill="1" applyBorder="1" applyAlignment="1">
      <alignment horizontal="center" vertical="center" wrapText="1"/>
    </xf>
    <xf numFmtId="0" fontId="29" fillId="2" borderId="1" xfId="33" applyFont="1" applyFill="1" applyBorder="1" applyAlignment="1">
      <alignment horizontal="center" vertical="center" wrapText="1"/>
    </xf>
    <xf numFmtId="0" fontId="29" fillId="2" borderId="1" xfId="31" quotePrefix="1" applyFont="1" applyFill="1" applyBorder="1" applyAlignment="1">
      <alignment horizontal="left" vertical="center" wrapText="1"/>
    </xf>
    <xf numFmtId="49" fontId="29" fillId="2" borderId="1" xfId="31" applyNumberFormat="1" applyFont="1" applyFill="1" applyBorder="1" applyAlignment="1">
      <alignment horizontal="center" vertical="center" wrapText="1"/>
    </xf>
    <xf numFmtId="0" fontId="29" fillId="2" borderId="1" xfId="3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1" xfId="32" applyFont="1" applyFill="1" applyBorder="1" applyAlignment="1">
      <alignment horizontal="left" vertical="center" wrapText="1"/>
    </xf>
    <xf numFmtId="49" fontId="26" fillId="2" borderId="1" xfId="32" applyNumberFormat="1" applyFont="1" applyFill="1" applyBorder="1" applyAlignment="1">
      <alignment horizontal="center" vertical="center"/>
    </xf>
    <xf numFmtId="3" fontId="28" fillId="2" borderId="1" xfId="2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9" fillId="2" borderId="1" xfId="40" quotePrefix="1" applyFont="1" applyFill="1" applyBorder="1" applyAlignment="1">
      <alignment horizontal="left" vertical="center" wrapText="1"/>
    </xf>
    <xf numFmtId="49" fontId="29" fillId="2" borderId="1" xfId="40" applyNumberFormat="1" applyFont="1" applyFill="1" applyBorder="1" applyAlignment="1">
      <alignment horizontal="center" vertical="center" wrapText="1"/>
    </xf>
    <xf numFmtId="0" fontId="29" fillId="2" borderId="1" xfId="4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9" fillId="2" borderId="1" xfId="4" applyFont="1" applyFill="1" applyBorder="1" applyAlignment="1">
      <alignment horizontal="center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0" fontId="29" fillId="2" borderId="1" xfId="4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9" fontId="26" fillId="2" borderId="1" xfId="42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9" fillId="2" borderId="1" xfId="48" quotePrefix="1" applyFont="1" applyFill="1" applyBorder="1" applyAlignment="1">
      <alignment horizontal="left" vertical="center" wrapText="1"/>
    </xf>
    <xf numFmtId="0" fontId="29" fillId="2" borderId="1" xfId="48" applyFont="1" applyFill="1" applyBorder="1" applyAlignment="1">
      <alignment horizontal="center" vertical="center" wrapText="1"/>
    </xf>
    <xf numFmtId="49" fontId="29" fillId="2" borderId="1" xfId="48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9" fillId="0" borderId="1" xfId="0" quotePrefix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left" vertical="center"/>
    </xf>
    <xf numFmtId="49" fontId="29" fillId="2" borderId="1" xfId="49" applyNumberFormat="1" applyFont="1" applyFill="1" applyBorder="1" applyAlignment="1">
      <alignment horizontal="center" vertical="center" wrapText="1"/>
    </xf>
    <xf numFmtId="49" fontId="29" fillId="2" borderId="1" xfId="28" applyNumberFormat="1" applyFont="1" applyFill="1" applyBorder="1" applyAlignment="1">
      <alignment horizontal="center" vertical="center" wrapText="1"/>
    </xf>
    <xf numFmtId="0" fontId="29" fillId="2" borderId="1" xfId="49" applyFont="1" applyFill="1" applyBorder="1" applyAlignment="1">
      <alignment horizontal="center" vertical="center" wrapText="1"/>
    </xf>
    <xf numFmtId="0" fontId="29" fillId="2" borderId="1" xfId="28" applyFont="1" applyFill="1" applyBorder="1" applyAlignment="1">
      <alignment horizontal="center" vertical="center" wrapText="1"/>
    </xf>
    <xf numFmtId="0" fontId="29" fillId="2" borderId="1" xfId="18" quotePrefix="1" applyFont="1" applyFill="1" applyBorder="1" applyAlignment="1">
      <alignment horizontal="left" vertical="center" wrapText="1"/>
    </xf>
    <xf numFmtId="0" fontId="29" fillId="2" borderId="1" xfId="49" quotePrefix="1" applyFont="1" applyFill="1" applyBorder="1" applyAlignment="1">
      <alignment horizontal="left" vertical="center" wrapText="1"/>
    </xf>
    <xf numFmtId="0" fontId="30" fillId="2" borderId="1" xfId="18" applyFont="1" applyFill="1" applyBorder="1" applyAlignment="1">
      <alignment horizontal="left" vertical="center" wrapText="1"/>
    </xf>
    <xf numFmtId="0" fontId="29" fillId="2" borderId="1" xfId="28" quotePrefix="1" applyFont="1" applyFill="1" applyBorder="1" applyAlignment="1">
      <alignment horizontal="left" vertical="center" wrapText="1"/>
    </xf>
    <xf numFmtId="49" fontId="36" fillId="2" borderId="0" xfId="0" applyNumberFormat="1" applyFont="1" applyFill="1" applyAlignment="1">
      <alignment horizontal="left" wrapText="1"/>
    </xf>
    <xf numFmtId="0" fontId="29" fillId="2" borderId="1" xfId="19" quotePrefix="1" applyFont="1" applyFill="1" applyBorder="1" applyAlignment="1">
      <alignment horizontal="left" vertical="center" wrapText="1"/>
    </xf>
    <xf numFmtId="0" fontId="29" fillId="2" borderId="1" xfId="20" quotePrefix="1" applyFont="1" applyFill="1" applyBorder="1" applyAlignment="1">
      <alignment horizontal="left" vertical="center" wrapText="1"/>
    </xf>
    <xf numFmtId="0" fontId="30" fillId="2" borderId="1" xfId="42" applyFont="1" applyFill="1" applyBorder="1" applyAlignment="1">
      <alignment horizontal="left" vertical="center" wrapText="1"/>
    </xf>
    <xf numFmtId="0" fontId="29" fillId="2" borderId="1" xfId="13" quotePrefix="1" applyFont="1" applyFill="1" applyBorder="1" applyAlignment="1">
      <alignment horizontal="left" vertical="center" wrapText="1"/>
    </xf>
    <xf numFmtId="0" fontId="29" fillId="2" borderId="1" xfId="22" quotePrefix="1" applyFont="1" applyFill="1" applyBorder="1" applyAlignment="1">
      <alignment horizontal="left" vertical="center" wrapText="1"/>
    </xf>
    <xf numFmtId="4" fontId="27" fillId="2" borderId="1" xfId="2" applyNumberFormat="1" applyFont="1" applyFill="1" applyBorder="1" applyAlignment="1">
      <alignment horizontal="center" vertical="center"/>
    </xf>
    <xf numFmtId="4" fontId="27" fillId="2" borderId="0" xfId="2" applyNumberFormat="1" applyFont="1" applyFill="1" applyBorder="1" applyAlignment="1">
      <alignment horizontal="left" vertical="center"/>
    </xf>
    <xf numFmtId="4" fontId="37" fillId="2" borderId="0" xfId="2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49" fontId="26" fillId="2" borderId="2" xfId="1" applyNumberFormat="1" applyFont="1" applyFill="1" applyBorder="1" applyAlignment="1" applyProtection="1">
      <alignment horizontal="center" vertical="center" wrapText="1"/>
    </xf>
    <xf numFmtId="49" fontId="26" fillId="2" borderId="3" xfId="1" applyNumberFormat="1" applyFont="1" applyFill="1" applyBorder="1" applyAlignment="1" applyProtection="1">
      <alignment horizontal="center" vertical="center" wrapText="1"/>
    </xf>
    <xf numFmtId="49" fontId="26" fillId="2" borderId="4" xfId="1" applyNumberFormat="1" applyFont="1" applyFill="1" applyBorder="1" applyAlignment="1" applyProtection="1">
      <alignment horizontal="center" vertical="center" wrapText="1"/>
    </xf>
    <xf numFmtId="49" fontId="26" fillId="2" borderId="1" xfId="1" applyNumberFormat="1" applyFont="1" applyFill="1" applyBorder="1" applyAlignment="1" applyProtection="1">
      <alignment horizontal="center" vertical="center" wrapText="1"/>
    </xf>
    <xf numFmtId="0" fontId="26" fillId="2" borderId="1" xfId="1" applyNumberFormat="1" applyFont="1" applyFill="1" applyBorder="1" applyAlignment="1" applyProtection="1">
      <alignment horizontal="center" vertical="center" wrapText="1"/>
    </xf>
  </cellXfs>
  <cellStyles count="50">
    <cellStyle name="Гарний 2" xfId="9"/>
    <cellStyle name="Звичайний" xfId="0" builtinId="0"/>
    <cellStyle name="Звичайний 10" xfId="16"/>
    <cellStyle name="Звичайний 11" xfId="17"/>
    <cellStyle name="Звичайний 12" xfId="18"/>
    <cellStyle name="Звичайний 13" xfId="19"/>
    <cellStyle name="Звичайний 14" xfId="20"/>
    <cellStyle name="Звичайний 15" xfId="21"/>
    <cellStyle name="Звичайний 16" xfId="22"/>
    <cellStyle name="Звичайний 17" xfId="23"/>
    <cellStyle name="Звичайний 18" xfId="28"/>
    <cellStyle name="Звичайний 19" xfId="49"/>
    <cellStyle name="Звичайний 2" xfId="4"/>
    <cellStyle name="Звичайний 3" xfId="6"/>
    <cellStyle name="Звичайний 3 2" xfId="24"/>
    <cellStyle name="Звичайний 3 3" xfId="26"/>
    <cellStyle name="Звичайний 3 4" xfId="29"/>
    <cellStyle name="Звичайний 3 5" xfId="35"/>
    <cellStyle name="Звичайний 3 6" xfId="37"/>
    <cellStyle name="Звичайний 3 7" xfId="43"/>
    <cellStyle name="Звичайний 4" xfId="7"/>
    <cellStyle name="Звичайний 4 2" xfId="25"/>
    <cellStyle name="Звичайний 4 3" xfId="27"/>
    <cellStyle name="Звичайний 4 4" xfId="30"/>
    <cellStyle name="Звичайний 4 5" xfId="36"/>
    <cellStyle name="Звичайний 4 6" xfId="38"/>
    <cellStyle name="Звичайний 4 7" xfId="44"/>
    <cellStyle name="Звичайний 5" xfId="10"/>
    <cellStyle name="Звичайний 5 2" xfId="31"/>
    <cellStyle name="Звичайний 5 3" xfId="39"/>
    <cellStyle name="Звичайний 5 4" xfId="45"/>
    <cellStyle name="Звичайний 6" xfId="11"/>
    <cellStyle name="Звичайний 6 2" xfId="32"/>
    <cellStyle name="Звичайний 6 3" xfId="40"/>
    <cellStyle name="Звичайний 6 4" xfId="46"/>
    <cellStyle name="Звичайний 7" xfId="12"/>
    <cellStyle name="Звичайний 7 2" xfId="33"/>
    <cellStyle name="Звичайний 7 3" xfId="41"/>
    <cellStyle name="Звичайний 7 4" xfId="47"/>
    <cellStyle name="Звичайний 8" xfId="13"/>
    <cellStyle name="Звичайний 8 2" xfId="34"/>
    <cellStyle name="Звичайний 8 3" xfId="42"/>
    <cellStyle name="Звичайний 8 4" xfId="48"/>
    <cellStyle name="Звичайний 9" xfId="14"/>
    <cellStyle name="Обычный 2" xfId="5"/>
    <cellStyle name="Обычный 2 2" xfId="8"/>
    <cellStyle name="Обычный 3" xfId="1"/>
    <cellStyle name="Обычный 9" xfId="15"/>
    <cellStyle name="Обычный_дод 2" xfId="3"/>
    <cellStyle name="Обычный_до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7"/>
  <sheetViews>
    <sheetView showZeros="0" tabSelected="1" view="pageBreakPreview" zoomScale="73" zoomScaleNormal="75" zoomScaleSheetLayoutView="73" workbookViewId="0">
      <pane xSplit="4" ySplit="7" topLeftCell="E166" activePane="bottomRight" state="frozen"/>
      <selection pane="topRight" activeCell="E1" sqref="E1"/>
      <selection pane="bottomLeft" activeCell="A9" sqref="A9"/>
      <selection pane="bottomRight" activeCell="K169" sqref="K169"/>
    </sheetView>
  </sheetViews>
  <sheetFormatPr defaultColWidth="8.85546875" defaultRowHeight="18.75"/>
  <cols>
    <col min="1" max="1" width="15.28515625" style="26" customWidth="1"/>
    <col min="2" max="2" width="11.42578125" style="2" customWidth="1"/>
    <col min="3" max="3" width="14.28515625" style="2" customWidth="1"/>
    <col min="4" max="4" width="53.28515625" style="1" customWidth="1"/>
    <col min="5" max="5" width="17.5703125" style="1" customWidth="1"/>
    <col min="6" max="6" width="18.42578125" style="1" customWidth="1"/>
    <col min="7" max="7" width="17.7109375" style="1" customWidth="1"/>
    <col min="8" max="8" width="19.7109375" style="1" customWidth="1"/>
    <col min="9" max="9" width="22.42578125" style="1" customWidth="1"/>
    <col min="10" max="10" width="19.7109375" style="1" customWidth="1"/>
    <col min="11" max="11" width="19.140625" style="1" customWidth="1"/>
    <col min="12" max="12" width="21.5703125" style="1" customWidth="1"/>
    <col min="13" max="13" width="14.140625" style="1" customWidth="1"/>
    <col min="14" max="14" width="14.5703125" style="1" customWidth="1"/>
    <col min="15" max="15" width="18.85546875" style="1" customWidth="1"/>
    <col min="16" max="16" width="19.7109375" style="1" customWidth="1"/>
    <col min="17" max="17" width="21.140625" style="1" customWidth="1"/>
    <col min="18" max="18" width="20.140625" style="1" customWidth="1"/>
    <col min="19" max="19" width="19.140625" style="1" customWidth="1"/>
    <col min="20" max="20" width="20" style="1" customWidth="1"/>
    <col min="21" max="21" width="14.28515625" style="1" bestFit="1" customWidth="1"/>
    <col min="22" max="22" width="15.7109375" style="1" bestFit="1" customWidth="1"/>
    <col min="23" max="16384" width="8.85546875" style="1"/>
  </cols>
  <sheetData>
    <row r="1" spans="1:21" ht="59.25" customHeight="1">
      <c r="A1" s="119" t="s">
        <v>320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1" ht="20.45" customHeight="1">
      <c r="A2" s="125" t="s">
        <v>160</v>
      </c>
      <c r="B2" s="125" t="s">
        <v>161</v>
      </c>
      <c r="C2" s="128" t="s">
        <v>162</v>
      </c>
      <c r="D2" s="129" t="s">
        <v>163</v>
      </c>
      <c r="E2" s="122" t="s">
        <v>322</v>
      </c>
      <c r="F2" s="123"/>
      <c r="G2" s="123"/>
      <c r="H2" s="124"/>
      <c r="I2" s="122" t="s">
        <v>321</v>
      </c>
      <c r="J2" s="123"/>
      <c r="K2" s="123"/>
      <c r="L2" s="124"/>
      <c r="M2" s="122" t="s">
        <v>178</v>
      </c>
      <c r="N2" s="123"/>
      <c r="O2" s="123"/>
      <c r="P2" s="124"/>
      <c r="Q2" s="122" t="s">
        <v>239</v>
      </c>
      <c r="R2" s="123"/>
      <c r="S2" s="123"/>
      <c r="T2" s="124"/>
    </row>
    <row r="3" spans="1:21" ht="25.5" customHeight="1">
      <c r="A3" s="126"/>
      <c r="B3" s="126"/>
      <c r="C3" s="128"/>
      <c r="D3" s="129"/>
      <c r="E3" s="120" t="s">
        <v>280</v>
      </c>
      <c r="F3" s="120" t="s">
        <v>177</v>
      </c>
      <c r="G3" s="120"/>
      <c r="H3" s="120"/>
      <c r="I3" s="120" t="s">
        <v>280</v>
      </c>
      <c r="J3" s="120" t="s">
        <v>177</v>
      </c>
      <c r="K3" s="120"/>
      <c r="L3" s="120"/>
      <c r="M3" s="120" t="s">
        <v>280</v>
      </c>
      <c r="N3" s="120" t="s">
        <v>177</v>
      </c>
      <c r="O3" s="120"/>
      <c r="P3" s="120"/>
      <c r="Q3" s="120" t="s">
        <v>280</v>
      </c>
      <c r="R3" s="120" t="s">
        <v>177</v>
      </c>
      <c r="S3" s="120"/>
      <c r="T3" s="120"/>
    </row>
    <row r="4" spans="1:21" ht="15" customHeight="1">
      <c r="A4" s="126"/>
      <c r="B4" s="126"/>
      <c r="C4" s="128"/>
      <c r="D4" s="129"/>
      <c r="E4" s="120"/>
      <c r="F4" s="120" t="s">
        <v>175</v>
      </c>
      <c r="G4" s="120" t="s">
        <v>174</v>
      </c>
      <c r="H4" s="120"/>
      <c r="I4" s="120"/>
      <c r="J4" s="120" t="s">
        <v>175</v>
      </c>
      <c r="K4" s="120" t="s">
        <v>174</v>
      </c>
      <c r="L4" s="120"/>
      <c r="M4" s="120"/>
      <c r="N4" s="120" t="s">
        <v>175</v>
      </c>
      <c r="O4" s="120" t="s">
        <v>174</v>
      </c>
      <c r="P4" s="120"/>
      <c r="Q4" s="120"/>
      <c r="R4" s="120" t="s">
        <v>175</v>
      </c>
      <c r="S4" s="120" t="s">
        <v>174</v>
      </c>
      <c r="T4" s="120"/>
    </row>
    <row r="5" spans="1:21" ht="24" customHeight="1">
      <c r="A5" s="126"/>
      <c r="B5" s="126"/>
      <c r="C5" s="128"/>
      <c r="D5" s="129"/>
      <c r="E5" s="120"/>
      <c r="F5" s="121"/>
      <c r="G5" s="120" t="s">
        <v>281</v>
      </c>
      <c r="H5" s="33" t="s">
        <v>176</v>
      </c>
      <c r="I5" s="120"/>
      <c r="J5" s="121"/>
      <c r="K5" s="120" t="s">
        <v>281</v>
      </c>
      <c r="L5" s="33" t="s">
        <v>176</v>
      </c>
      <c r="M5" s="120"/>
      <c r="N5" s="121"/>
      <c r="O5" s="120" t="s">
        <v>281</v>
      </c>
      <c r="P5" s="33" t="s">
        <v>176</v>
      </c>
      <c r="Q5" s="120"/>
      <c r="R5" s="121"/>
      <c r="S5" s="120" t="s">
        <v>281</v>
      </c>
      <c r="T5" s="33" t="s">
        <v>176</v>
      </c>
    </row>
    <row r="6" spans="1:21" ht="168.75" customHeight="1">
      <c r="A6" s="127"/>
      <c r="B6" s="127"/>
      <c r="C6" s="128"/>
      <c r="D6" s="129"/>
      <c r="E6" s="120"/>
      <c r="F6" s="121"/>
      <c r="G6" s="120"/>
      <c r="H6" s="33" t="s">
        <v>0</v>
      </c>
      <c r="I6" s="120"/>
      <c r="J6" s="121"/>
      <c r="K6" s="120"/>
      <c r="L6" s="33" t="s">
        <v>0</v>
      </c>
      <c r="M6" s="120"/>
      <c r="N6" s="121"/>
      <c r="O6" s="120"/>
      <c r="P6" s="33" t="s">
        <v>0</v>
      </c>
      <c r="Q6" s="120"/>
      <c r="R6" s="121"/>
      <c r="S6" s="120"/>
      <c r="T6" s="33" t="s">
        <v>0</v>
      </c>
    </row>
    <row r="7" spans="1:21">
      <c r="A7" s="21">
        <v>1</v>
      </c>
      <c r="B7" s="21">
        <v>2</v>
      </c>
      <c r="C7" s="21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9">
        <v>17</v>
      </c>
      <c r="R7" s="9">
        <v>18</v>
      </c>
      <c r="S7" s="9">
        <v>19</v>
      </c>
      <c r="T7" s="9">
        <v>20</v>
      </c>
    </row>
    <row r="8" spans="1:21" s="28" customFormat="1" ht="56.25">
      <c r="A8" s="23" t="s">
        <v>63</v>
      </c>
      <c r="B8" s="23"/>
      <c r="C8" s="23"/>
      <c r="D8" s="10" t="s">
        <v>203</v>
      </c>
      <c r="E8" s="49">
        <f t="shared" ref="E8:L8" si="0">E9</f>
        <v>74960268.469999999</v>
      </c>
      <c r="F8" s="49">
        <f t="shared" si="0"/>
        <v>67584941.239999995</v>
      </c>
      <c r="G8" s="49">
        <f t="shared" si="0"/>
        <v>7375327.2300000004</v>
      </c>
      <c r="H8" s="49">
        <f t="shared" si="0"/>
        <v>3971136.25</v>
      </c>
      <c r="I8" s="49">
        <f t="shared" si="0"/>
        <v>103272550.91</v>
      </c>
      <c r="J8" s="49">
        <f t="shared" si="0"/>
        <v>97041051.560000002</v>
      </c>
      <c r="K8" s="49">
        <f t="shared" si="0"/>
        <v>6231499.3499999996</v>
      </c>
      <c r="L8" s="49">
        <f t="shared" si="0"/>
        <v>1509949.3399999999</v>
      </c>
      <c r="M8" s="50">
        <f>IFERROR((I8/E8),"")</f>
        <v>1.3776971856941909</v>
      </c>
      <c r="N8" s="50">
        <f t="shared" ref="N8:P8" si="1">IFERROR((J8/F8),"")</f>
        <v>1.4358383654636733</v>
      </c>
      <c r="O8" s="50">
        <f t="shared" si="1"/>
        <v>0.84491157553696761</v>
      </c>
      <c r="P8" s="50">
        <f t="shared" si="1"/>
        <v>0.38023105855408507</v>
      </c>
      <c r="Q8" s="51">
        <f>I8-E8</f>
        <v>28312282.439999998</v>
      </c>
      <c r="R8" s="51">
        <f>J8-F8</f>
        <v>29456110.320000008</v>
      </c>
      <c r="S8" s="51">
        <f t="shared" ref="S8:T8" si="2">K8-G8</f>
        <v>-1143827.8800000008</v>
      </c>
      <c r="T8" s="51">
        <f t="shared" si="2"/>
        <v>-2461186.91</v>
      </c>
    </row>
    <row r="9" spans="1:21" s="28" customFormat="1" ht="56.25">
      <c r="A9" s="23" t="s">
        <v>64</v>
      </c>
      <c r="B9" s="23"/>
      <c r="C9" s="23"/>
      <c r="D9" s="10" t="s">
        <v>204</v>
      </c>
      <c r="E9" s="52">
        <f>F9+G9</f>
        <v>74960268.469999999</v>
      </c>
      <c r="F9" s="52">
        <f>F10+F15+F16+F17+F18+F19+F20+F21+F22+F33+F31+F29+F32+F34+F28+F27+F35+F26+F36+F30</f>
        <v>67584941.239999995</v>
      </c>
      <c r="G9" s="52">
        <f t="shared" ref="G9:H9" si="3">G10+G15+G16+G17+G18+G19+G20+G21+G22+G33+G31+G29+G32+G34+G28+G27+G35+G26+G36+G30</f>
        <v>7375327.2300000004</v>
      </c>
      <c r="H9" s="52">
        <f t="shared" si="3"/>
        <v>3971136.25</v>
      </c>
      <c r="I9" s="52">
        <f>J9+K9</f>
        <v>103272550.91</v>
      </c>
      <c r="J9" s="52">
        <f>J10+J15+J16+J17+J18+J19+J20+J21+J22+J33+J31+J29+J32+J34+J28+J27+J35+J26+J36+J30</f>
        <v>97041051.560000002</v>
      </c>
      <c r="K9" s="52">
        <f t="shared" ref="K9:L9" si="4">K10+K15+K16+K17+K18+K19+K20+K21+K22+K33+K31+K29+K32+K34+K28+K27+K35+K26+K36+K30</f>
        <v>6231499.3499999996</v>
      </c>
      <c r="L9" s="52">
        <f t="shared" si="4"/>
        <v>1509949.3399999999</v>
      </c>
      <c r="M9" s="50">
        <f t="shared" ref="M9:M10" si="5">IFERROR((I9/E9),"")</f>
        <v>1.3776971856941909</v>
      </c>
      <c r="N9" s="50">
        <f t="shared" ref="N9:P10" si="6">IFERROR((J9/F9),"")</f>
        <v>1.4358383654636733</v>
      </c>
      <c r="O9" s="50">
        <f t="shared" si="6"/>
        <v>0.84491157553696761</v>
      </c>
      <c r="P9" s="50">
        <f t="shared" si="6"/>
        <v>0.38023105855408507</v>
      </c>
      <c r="Q9" s="51">
        <f t="shared" ref="Q9" si="7">I9-E9</f>
        <v>28312282.439999998</v>
      </c>
      <c r="R9" s="51">
        <f t="shared" ref="R9" si="8">J9-F9</f>
        <v>29456110.320000008</v>
      </c>
      <c r="S9" s="51">
        <f t="shared" ref="S9" si="9">K9-G9</f>
        <v>-1143827.8800000008</v>
      </c>
      <c r="T9" s="51">
        <f t="shared" ref="T9" si="10">L9-H9</f>
        <v>-2461186.91</v>
      </c>
    </row>
    <row r="10" spans="1:21" s="37" customFormat="1" ht="93.75">
      <c r="A10" s="93" t="s">
        <v>65</v>
      </c>
      <c r="B10" s="93" t="s">
        <v>52</v>
      </c>
      <c r="C10" s="93" t="s">
        <v>3</v>
      </c>
      <c r="D10" s="22" t="s">
        <v>53</v>
      </c>
      <c r="E10" s="53">
        <f>F10+G10</f>
        <v>37558394.399999999</v>
      </c>
      <c r="F10" s="53">
        <f>F11+F12+F13+F14</f>
        <v>34174203.420000002</v>
      </c>
      <c r="G10" s="53">
        <f>G11+G12+G13+G14</f>
        <v>3384190.98</v>
      </c>
      <c r="H10" s="53">
        <f>H11+H12+H13+H14</f>
        <v>0</v>
      </c>
      <c r="I10" s="53">
        <f>J10+K10</f>
        <v>51590838.380000003</v>
      </c>
      <c r="J10" s="53">
        <f>J11+J12+J13+J14</f>
        <v>46869288.370000005</v>
      </c>
      <c r="K10" s="53">
        <f>K11+K12+K13+K14</f>
        <v>4721550.01</v>
      </c>
      <c r="L10" s="53">
        <f>L11+L12+L13+L14</f>
        <v>0</v>
      </c>
      <c r="M10" s="57">
        <f t="shared" si="5"/>
        <v>1.3736167161607953</v>
      </c>
      <c r="N10" s="57">
        <f t="shared" si="6"/>
        <v>1.3714815176224524</v>
      </c>
      <c r="O10" s="57">
        <f t="shared" si="6"/>
        <v>1.3951783566304523</v>
      </c>
      <c r="P10" s="54" t="str">
        <f t="shared" ref="P10:P76" si="11">IFERROR((L10/H10),"")</f>
        <v/>
      </c>
      <c r="Q10" s="55">
        <f t="shared" ref="Q10:Q76" si="12">I10-E10</f>
        <v>14032443.980000004</v>
      </c>
      <c r="R10" s="55">
        <f t="shared" ref="R10:R76" si="13">J10-F10</f>
        <v>12695084.950000003</v>
      </c>
      <c r="S10" s="55">
        <f t="shared" ref="S10:S76" si="14">K10-G10</f>
        <v>1337359.0299999998</v>
      </c>
      <c r="T10" s="55">
        <f t="shared" ref="T10:T76" si="15">L10-H10</f>
        <v>0</v>
      </c>
      <c r="U10" s="29"/>
    </row>
    <row r="11" spans="1:21" s="30" customFormat="1" ht="56.25">
      <c r="A11" s="24"/>
      <c r="B11" s="24"/>
      <c r="C11" s="24"/>
      <c r="D11" s="11" t="s">
        <v>204</v>
      </c>
      <c r="E11" s="56">
        <f>F11+G11</f>
        <v>34039104.780000001</v>
      </c>
      <c r="F11" s="80">
        <v>30655938.84</v>
      </c>
      <c r="G11" s="80">
        <v>3383165.94</v>
      </c>
      <c r="H11" s="80"/>
      <c r="I11" s="56">
        <f>J11+K11</f>
        <v>46338200.450000003</v>
      </c>
      <c r="J11" s="56">
        <v>41616841.780000001</v>
      </c>
      <c r="K11" s="56">
        <f>10978.76+4710379.91</f>
        <v>4721358.67</v>
      </c>
      <c r="L11" s="56"/>
      <c r="M11" s="57">
        <f t="shared" ref="M11" si="16">IFERROR((I11/E11),"")</f>
        <v>1.361322536226818</v>
      </c>
      <c r="N11" s="57">
        <f t="shared" ref="N11:O11" si="17">IFERROR((J11/F11),"")</f>
        <v>1.3575458248793923</v>
      </c>
      <c r="O11" s="57">
        <f t="shared" si="17"/>
        <v>1.3955445147334393</v>
      </c>
      <c r="P11" s="57" t="str">
        <f t="shared" si="11"/>
        <v/>
      </c>
      <c r="Q11" s="58">
        <f t="shared" si="12"/>
        <v>12299095.670000002</v>
      </c>
      <c r="R11" s="58">
        <f t="shared" si="13"/>
        <v>10960902.940000001</v>
      </c>
      <c r="S11" s="58">
        <f t="shared" si="14"/>
        <v>1338192.73</v>
      </c>
      <c r="T11" s="58">
        <f t="shared" si="15"/>
        <v>0</v>
      </c>
    </row>
    <row r="12" spans="1:21" s="30" customFormat="1" ht="56.25">
      <c r="A12" s="24"/>
      <c r="B12" s="24"/>
      <c r="C12" s="24"/>
      <c r="D12" s="11" t="s">
        <v>211</v>
      </c>
      <c r="E12" s="56">
        <f t="shared" ref="E12:E14" si="18">F12+G12</f>
        <v>1397715.08</v>
      </c>
      <c r="F12" s="80">
        <v>1396690.04</v>
      </c>
      <c r="G12" s="80">
        <v>1025.04</v>
      </c>
      <c r="H12" s="80"/>
      <c r="I12" s="56">
        <f t="shared" ref="I12:I13" si="19">J12+K12</f>
        <v>2179887.65</v>
      </c>
      <c r="J12" s="56">
        <v>2179696.31</v>
      </c>
      <c r="K12" s="56">
        <f>191.34</f>
        <v>191.34</v>
      </c>
      <c r="L12" s="56"/>
      <c r="M12" s="57">
        <f t="shared" ref="M12" si="20">IFERROR((I12/E12),"")</f>
        <v>1.5596080211140027</v>
      </c>
      <c r="N12" s="57">
        <f t="shared" ref="N12:O12" si="21">IFERROR((J12/F12),"")</f>
        <v>1.5606156323703719</v>
      </c>
      <c r="O12" s="57">
        <f t="shared" si="21"/>
        <v>0.18666588620931868</v>
      </c>
      <c r="P12" s="57"/>
      <c r="Q12" s="58">
        <f t="shared" si="12"/>
        <v>782172.56999999983</v>
      </c>
      <c r="R12" s="58">
        <f t="shared" si="13"/>
        <v>783006.27</v>
      </c>
      <c r="S12" s="58">
        <f t="shared" si="14"/>
        <v>-833.69999999999993</v>
      </c>
      <c r="T12" s="58">
        <f t="shared" si="15"/>
        <v>0</v>
      </c>
    </row>
    <row r="13" spans="1:21" s="30" customFormat="1" ht="56.25">
      <c r="A13" s="24"/>
      <c r="B13" s="24"/>
      <c r="C13" s="24"/>
      <c r="D13" s="11" t="s">
        <v>212</v>
      </c>
      <c r="E13" s="56">
        <f t="shared" si="18"/>
        <v>992856.19</v>
      </c>
      <c r="F13" s="80">
        <v>992856.19</v>
      </c>
      <c r="G13" s="80"/>
      <c r="H13" s="80"/>
      <c r="I13" s="56">
        <f t="shared" si="19"/>
        <v>1466448.44</v>
      </c>
      <c r="J13" s="56">
        <v>1466448.44</v>
      </c>
      <c r="K13" s="56"/>
      <c r="L13" s="56"/>
      <c r="M13" s="57">
        <f t="shared" ref="M13:P76" si="22">IFERROR((I13/E13),"")</f>
        <v>1.476999846271795</v>
      </c>
      <c r="N13" s="57">
        <f t="shared" ref="M13:P76" si="23">IFERROR((J13/F13),"")</f>
        <v>1.476999846271795</v>
      </c>
      <c r="O13" s="57" t="str">
        <f t="shared" ref="O13" si="24">IFERROR((K13/G13),"")</f>
        <v/>
      </c>
      <c r="P13" s="57" t="str">
        <f t="shared" ref="P13" si="25">IFERROR((L13/H13),"")</f>
        <v/>
      </c>
      <c r="Q13" s="58">
        <f t="shared" si="12"/>
        <v>473592.25</v>
      </c>
      <c r="R13" s="58">
        <f t="shared" si="13"/>
        <v>473592.25</v>
      </c>
      <c r="S13" s="58">
        <f t="shared" si="14"/>
        <v>0</v>
      </c>
      <c r="T13" s="58">
        <f t="shared" si="15"/>
        <v>0</v>
      </c>
    </row>
    <row r="14" spans="1:21" s="30" customFormat="1" ht="56.25">
      <c r="A14" s="24"/>
      <c r="B14" s="24"/>
      <c r="C14" s="24"/>
      <c r="D14" s="11" t="s">
        <v>213</v>
      </c>
      <c r="E14" s="56">
        <f t="shared" si="18"/>
        <v>1128718.3500000001</v>
      </c>
      <c r="F14" s="80">
        <v>1128718.3500000001</v>
      </c>
      <c r="G14" s="80"/>
      <c r="H14" s="80"/>
      <c r="I14" s="56">
        <f t="shared" ref="I14:I69" si="26">J14+K14</f>
        <v>1606301.84</v>
      </c>
      <c r="J14" s="56">
        <v>1606301.84</v>
      </c>
      <c r="K14" s="56"/>
      <c r="L14" s="56"/>
      <c r="M14" s="57">
        <f t="shared" si="22"/>
        <v>1.4231201610215694</v>
      </c>
      <c r="N14" s="57">
        <f t="shared" si="23"/>
        <v>1.4231201610215694</v>
      </c>
      <c r="O14" s="57" t="str">
        <f t="shared" ref="O14:O15" si="27">IFERROR((K14/G14),"")</f>
        <v/>
      </c>
      <c r="P14" s="57" t="str">
        <f t="shared" ref="P14:P15" si="28">IFERROR((L14/H14),"")</f>
        <v/>
      </c>
      <c r="Q14" s="58">
        <f t="shared" si="12"/>
        <v>477583.49</v>
      </c>
      <c r="R14" s="58">
        <f t="shared" si="13"/>
        <v>477583.49</v>
      </c>
      <c r="S14" s="58">
        <f t="shared" si="14"/>
        <v>0</v>
      </c>
      <c r="T14" s="58">
        <f t="shared" si="15"/>
        <v>0</v>
      </c>
    </row>
    <row r="15" spans="1:21" s="37" customFormat="1" ht="56.25">
      <c r="A15" s="93" t="s">
        <v>114</v>
      </c>
      <c r="B15" s="93" t="s">
        <v>115</v>
      </c>
      <c r="C15" s="93" t="s">
        <v>116</v>
      </c>
      <c r="D15" s="22" t="s">
        <v>117</v>
      </c>
      <c r="E15" s="53">
        <f>F15</f>
        <v>4400</v>
      </c>
      <c r="F15" s="101">
        <v>4400</v>
      </c>
      <c r="G15" s="101"/>
      <c r="H15" s="101"/>
      <c r="I15" s="53">
        <f t="shared" si="26"/>
        <v>4800</v>
      </c>
      <c r="J15" s="53">
        <v>4800</v>
      </c>
      <c r="K15" s="53"/>
      <c r="L15" s="53"/>
      <c r="M15" s="54">
        <f t="shared" si="22"/>
        <v>1.0909090909090908</v>
      </c>
      <c r="N15" s="54">
        <f t="shared" si="23"/>
        <v>1.0909090909090908</v>
      </c>
      <c r="O15" s="54" t="str">
        <f t="shared" si="27"/>
        <v/>
      </c>
      <c r="P15" s="54" t="str">
        <f t="shared" si="28"/>
        <v/>
      </c>
      <c r="Q15" s="55">
        <f t="shared" si="12"/>
        <v>400</v>
      </c>
      <c r="R15" s="55">
        <f t="shared" si="13"/>
        <v>400</v>
      </c>
      <c r="S15" s="55">
        <f t="shared" si="14"/>
        <v>0</v>
      </c>
      <c r="T15" s="55">
        <f t="shared" si="15"/>
        <v>0</v>
      </c>
    </row>
    <row r="16" spans="1:21" s="37" customFormat="1" ht="37.5">
      <c r="A16" s="93" t="s">
        <v>118</v>
      </c>
      <c r="B16" s="93" t="s">
        <v>8</v>
      </c>
      <c r="C16" s="93" t="s">
        <v>6</v>
      </c>
      <c r="D16" s="22" t="s">
        <v>119</v>
      </c>
      <c r="E16" s="53">
        <f t="shared" ref="E16:E29" si="29">F16+G16</f>
        <v>777518.8</v>
      </c>
      <c r="F16" s="101">
        <v>777518.8</v>
      </c>
      <c r="G16" s="101"/>
      <c r="H16" s="101"/>
      <c r="I16" s="53">
        <f t="shared" si="26"/>
        <v>740672.87</v>
      </c>
      <c r="J16" s="53">
        <v>740672.87</v>
      </c>
      <c r="K16" s="53"/>
      <c r="L16" s="53"/>
      <c r="M16" s="54">
        <f t="shared" si="22"/>
        <v>0.95261088220632084</v>
      </c>
      <c r="N16" s="54">
        <f t="shared" si="23"/>
        <v>0.95261088220632084</v>
      </c>
      <c r="O16" s="54" t="str">
        <f t="shared" ref="O16:O76" si="30">IFERROR((K16/G16),"")</f>
        <v/>
      </c>
      <c r="P16" s="54" t="str">
        <f t="shared" si="11"/>
        <v/>
      </c>
      <c r="Q16" s="55">
        <f t="shared" si="12"/>
        <v>-36845.930000000051</v>
      </c>
      <c r="R16" s="55">
        <f t="shared" si="13"/>
        <v>-36845.930000000051</v>
      </c>
      <c r="S16" s="55">
        <f t="shared" si="14"/>
        <v>0</v>
      </c>
      <c r="T16" s="55">
        <f t="shared" si="15"/>
        <v>0</v>
      </c>
    </row>
    <row r="17" spans="1:21" s="37" customFormat="1" ht="37.5">
      <c r="A17" s="93" t="s">
        <v>66</v>
      </c>
      <c r="B17" s="93" t="s">
        <v>28</v>
      </c>
      <c r="C17" s="93" t="s">
        <v>29</v>
      </c>
      <c r="D17" s="36" t="s">
        <v>155</v>
      </c>
      <c r="E17" s="53">
        <f t="shared" si="29"/>
        <v>12504813.26</v>
      </c>
      <c r="F17" s="101">
        <v>10070176.01</v>
      </c>
      <c r="G17" s="101">
        <v>2434637.25</v>
      </c>
      <c r="H17" s="101">
        <v>2434637.25</v>
      </c>
      <c r="I17" s="53">
        <f t="shared" si="26"/>
        <v>15313174.76</v>
      </c>
      <c r="J17" s="53">
        <v>15313174.76</v>
      </c>
      <c r="K17" s="53"/>
      <c r="L17" s="53"/>
      <c r="M17" s="54">
        <f t="shared" si="22"/>
        <v>1.224582442105177</v>
      </c>
      <c r="N17" s="54">
        <f t="shared" si="23"/>
        <v>1.5206461877919053</v>
      </c>
      <c r="O17" s="54">
        <f t="shared" si="23"/>
        <v>0</v>
      </c>
      <c r="P17" s="54"/>
      <c r="Q17" s="55">
        <f t="shared" si="12"/>
        <v>2808361.5</v>
      </c>
      <c r="R17" s="55">
        <f t="shared" si="13"/>
        <v>5242998.75</v>
      </c>
      <c r="S17" s="55">
        <f t="shared" si="14"/>
        <v>-2434637.25</v>
      </c>
      <c r="T17" s="55">
        <f t="shared" si="15"/>
        <v>-2434637.25</v>
      </c>
      <c r="U17" s="29"/>
    </row>
    <row r="18" spans="1:21" s="37" customFormat="1" ht="30" customHeight="1">
      <c r="A18" s="93" t="s">
        <v>67</v>
      </c>
      <c r="B18" s="93" t="s">
        <v>54</v>
      </c>
      <c r="C18" s="93" t="s">
        <v>30</v>
      </c>
      <c r="D18" s="36" t="s">
        <v>217</v>
      </c>
      <c r="E18" s="53">
        <f t="shared" si="29"/>
        <v>3291673.44</v>
      </c>
      <c r="F18" s="101">
        <v>3291673.44</v>
      </c>
      <c r="G18" s="101"/>
      <c r="H18" s="101"/>
      <c r="I18" s="53">
        <f t="shared" si="26"/>
        <v>3843544.29</v>
      </c>
      <c r="J18" s="53">
        <v>3843544.29</v>
      </c>
      <c r="K18" s="53"/>
      <c r="L18" s="53"/>
      <c r="M18" s="54">
        <f t="shared" si="22"/>
        <v>1.1676566220979685</v>
      </c>
      <c r="N18" s="54">
        <f t="shared" si="23"/>
        <v>1.1676566220979685</v>
      </c>
      <c r="O18" s="54"/>
      <c r="P18" s="54"/>
      <c r="Q18" s="55">
        <f t="shared" si="12"/>
        <v>551870.85000000009</v>
      </c>
      <c r="R18" s="55">
        <f t="shared" si="13"/>
        <v>551870.85000000009</v>
      </c>
      <c r="S18" s="55">
        <f t="shared" si="14"/>
        <v>0</v>
      </c>
      <c r="T18" s="55">
        <f t="shared" si="15"/>
        <v>0</v>
      </c>
    </row>
    <row r="19" spans="1:21" s="37" customFormat="1" ht="56.25">
      <c r="A19" s="86" t="s">
        <v>228</v>
      </c>
      <c r="B19" s="86">
        <v>2111</v>
      </c>
      <c r="C19" s="86" t="s">
        <v>229</v>
      </c>
      <c r="D19" s="88" t="s">
        <v>230</v>
      </c>
      <c r="E19" s="53">
        <f t="shared" si="29"/>
        <v>3807273.5</v>
      </c>
      <c r="F19" s="101">
        <v>3807273.5</v>
      </c>
      <c r="G19" s="101"/>
      <c r="H19" s="101"/>
      <c r="I19" s="53">
        <f t="shared" si="26"/>
        <v>1479058.23</v>
      </c>
      <c r="J19" s="53">
        <v>1171228.33</v>
      </c>
      <c r="K19" s="53">
        <v>307829.90000000002</v>
      </c>
      <c r="L19" s="53">
        <v>307829.90000000002</v>
      </c>
      <c r="M19" s="54">
        <f t="shared" ref="M19" si="31">IFERROR((I19/E19),"")</f>
        <v>0.38848226427652227</v>
      </c>
      <c r="N19" s="54">
        <f t="shared" ref="N19" si="32">IFERROR((J19/F19),"")</f>
        <v>0.30762915508959365</v>
      </c>
      <c r="O19" s="54"/>
      <c r="P19" s="54"/>
      <c r="Q19" s="55">
        <f t="shared" si="12"/>
        <v>-2328215.27</v>
      </c>
      <c r="R19" s="55">
        <f t="shared" si="13"/>
        <v>-2636045.17</v>
      </c>
      <c r="S19" s="55">
        <f t="shared" si="14"/>
        <v>307829.90000000002</v>
      </c>
      <c r="T19" s="55">
        <f t="shared" si="15"/>
        <v>307829.90000000002</v>
      </c>
    </row>
    <row r="20" spans="1:21" s="37" customFormat="1" ht="37.5">
      <c r="A20" s="86" t="s">
        <v>231</v>
      </c>
      <c r="B20" s="86" t="s">
        <v>183</v>
      </c>
      <c r="C20" s="86" t="s">
        <v>123</v>
      </c>
      <c r="D20" s="88" t="s">
        <v>232</v>
      </c>
      <c r="E20" s="53">
        <f t="shared" si="29"/>
        <v>721639.05999999994</v>
      </c>
      <c r="F20" s="101">
        <v>721639.05999999994</v>
      </c>
      <c r="G20" s="101"/>
      <c r="H20" s="101"/>
      <c r="I20" s="53">
        <f t="shared" si="26"/>
        <v>5957369.0999999996</v>
      </c>
      <c r="J20" s="53">
        <f>581076.58+1075164.14+4301128.38</f>
        <v>5957369.0999999996</v>
      </c>
      <c r="K20" s="53"/>
      <c r="L20" s="53"/>
      <c r="M20" s="54" t="s">
        <v>370</v>
      </c>
      <c r="N20" s="54" t="s">
        <v>370</v>
      </c>
      <c r="O20" s="54" t="str">
        <f t="shared" si="30"/>
        <v/>
      </c>
      <c r="P20" s="54" t="str">
        <f t="shared" si="11"/>
        <v/>
      </c>
      <c r="Q20" s="55">
        <f t="shared" si="12"/>
        <v>5235730.04</v>
      </c>
      <c r="R20" s="55">
        <f t="shared" si="13"/>
        <v>5235730.04</v>
      </c>
      <c r="S20" s="55">
        <f t="shared" si="14"/>
        <v>0</v>
      </c>
      <c r="T20" s="55">
        <f t="shared" si="15"/>
        <v>0</v>
      </c>
    </row>
    <row r="21" spans="1:21" s="37" customFormat="1" ht="37.5">
      <c r="A21" s="93" t="s">
        <v>144</v>
      </c>
      <c r="B21" s="93" t="s">
        <v>142</v>
      </c>
      <c r="C21" s="93" t="s">
        <v>4</v>
      </c>
      <c r="D21" s="22" t="s">
        <v>143</v>
      </c>
      <c r="E21" s="53">
        <f t="shared" si="29"/>
        <v>1614500</v>
      </c>
      <c r="F21" s="101">
        <v>1614500</v>
      </c>
      <c r="G21" s="53"/>
      <c r="H21" s="53"/>
      <c r="I21" s="53">
        <f t="shared" si="26"/>
        <v>1959900</v>
      </c>
      <c r="J21" s="53">
        <v>1959900</v>
      </c>
      <c r="K21" s="53"/>
      <c r="L21" s="53"/>
      <c r="M21" s="54">
        <f t="shared" si="22"/>
        <v>1.2139362031588727</v>
      </c>
      <c r="N21" s="54">
        <f t="shared" si="23"/>
        <v>1.2139362031588727</v>
      </c>
      <c r="O21" s="54" t="str">
        <f t="shared" si="30"/>
        <v/>
      </c>
      <c r="P21" s="54" t="str">
        <f t="shared" si="11"/>
        <v/>
      </c>
      <c r="Q21" s="55">
        <f t="shared" si="12"/>
        <v>345400</v>
      </c>
      <c r="R21" s="55">
        <f t="shared" si="13"/>
        <v>345400</v>
      </c>
      <c r="S21" s="55">
        <f t="shared" si="14"/>
        <v>0</v>
      </c>
      <c r="T21" s="55">
        <f t="shared" si="15"/>
        <v>0</v>
      </c>
    </row>
    <row r="22" spans="1:21" s="37" customFormat="1" ht="33.6" customHeight="1">
      <c r="A22" s="93" t="s">
        <v>68</v>
      </c>
      <c r="B22" s="93" t="s">
        <v>40</v>
      </c>
      <c r="C22" s="93" t="s">
        <v>7</v>
      </c>
      <c r="D22" s="22" t="s">
        <v>55</v>
      </c>
      <c r="E22" s="53">
        <f t="shared" si="29"/>
        <v>2261073.6500000004</v>
      </c>
      <c r="F22" s="53">
        <f>F23+F24+F25</f>
        <v>2261073.6500000004</v>
      </c>
      <c r="G22" s="53">
        <f t="shared" ref="G22:L22" si="33">G23+G24+G25</f>
        <v>0</v>
      </c>
      <c r="H22" s="53">
        <f t="shared" si="33"/>
        <v>0</v>
      </c>
      <c r="I22" s="53">
        <f t="shared" si="26"/>
        <v>5156792.75</v>
      </c>
      <c r="J22" s="53">
        <f>J23+J24+J25</f>
        <v>5156792.75</v>
      </c>
      <c r="K22" s="53">
        <f t="shared" si="33"/>
        <v>0</v>
      </c>
      <c r="L22" s="53">
        <f t="shared" si="33"/>
        <v>0</v>
      </c>
      <c r="M22" s="54" t="s">
        <v>371</v>
      </c>
      <c r="N22" s="54" t="s">
        <v>371</v>
      </c>
      <c r="O22" s="54" t="str">
        <f t="shared" si="30"/>
        <v/>
      </c>
      <c r="P22" s="54" t="str">
        <f t="shared" si="11"/>
        <v/>
      </c>
      <c r="Q22" s="55">
        <f t="shared" si="12"/>
        <v>2895719.0999999996</v>
      </c>
      <c r="R22" s="55">
        <f t="shared" si="13"/>
        <v>2895719.0999999996</v>
      </c>
      <c r="S22" s="55">
        <f t="shared" si="14"/>
        <v>0</v>
      </c>
      <c r="T22" s="55">
        <f t="shared" si="15"/>
        <v>0</v>
      </c>
    </row>
    <row r="23" spans="1:21" s="30" customFormat="1" ht="56.25">
      <c r="A23" s="24"/>
      <c r="B23" s="24"/>
      <c r="C23" s="24"/>
      <c r="D23" s="11" t="s">
        <v>211</v>
      </c>
      <c r="E23" s="56">
        <f t="shared" si="29"/>
        <v>1773981.36</v>
      </c>
      <c r="F23" s="80">
        <v>1773981.36</v>
      </c>
      <c r="G23" s="56"/>
      <c r="H23" s="56"/>
      <c r="I23" s="56">
        <f t="shared" si="26"/>
        <v>2506095.4</v>
      </c>
      <c r="J23" s="56">
        <v>2506095.4</v>
      </c>
      <c r="K23" s="56"/>
      <c r="L23" s="56"/>
      <c r="M23" s="54">
        <f t="shared" ref="M23" si="34">IFERROR((I23/E23),"")</f>
        <v>1.4126954524482713</v>
      </c>
      <c r="N23" s="54">
        <f t="shared" ref="N23" si="35">IFERROR((J23/F23),"")</f>
        <v>1.4126954524482713</v>
      </c>
      <c r="O23" s="57" t="str">
        <f t="shared" si="30"/>
        <v/>
      </c>
      <c r="P23" s="57" t="str">
        <f t="shared" si="11"/>
        <v/>
      </c>
      <c r="Q23" s="58">
        <f t="shared" si="12"/>
        <v>732114.0399999998</v>
      </c>
      <c r="R23" s="58">
        <f t="shared" si="13"/>
        <v>732114.0399999998</v>
      </c>
      <c r="S23" s="58">
        <f t="shared" si="14"/>
        <v>0</v>
      </c>
      <c r="T23" s="58">
        <f t="shared" si="15"/>
        <v>0</v>
      </c>
    </row>
    <row r="24" spans="1:21" s="30" customFormat="1" ht="56.25">
      <c r="A24" s="24"/>
      <c r="B24" s="24"/>
      <c r="C24" s="24"/>
      <c r="D24" s="11" t="s">
        <v>212</v>
      </c>
      <c r="E24" s="56">
        <f t="shared" si="29"/>
        <v>242478.29</v>
      </c>
      <c r="F24" s="80">
        <v>242478.29</v>
      </c>
      <c r="G24" s="56"/>
      <c r="H24" s="56"/>
      <c r="I24" s="56">
        <f t="shared" si="26"/>
        <v>998386.2</v>
      </c>
      <c r="J24" s="56">
        <v>998386.2</v>
      </c>
      <c r="K24" s="56"/>
      <c r="L24" s="56"/>
      <c r="M24" s="57" t="s">
        <v>289</v>
      </c>
      <c r="N24" s="57" t="s">
        <v>289</v>
      </c>
      <c r="O24" s="57" t="str">
        <f t="shared" si="30"/>
        <v/>
      </c>
      <c r="P24" s="57" t="str">
        <f t="shared" si="11"/>
        <v/>
      </c>
      <c r="Q24" s="58">
        <f t="shared" si="12"/>
        <v>755907.90999999992</v>
      </c>
      <c r="R24" s="58">
        <f t="shared" si="13"/>
        <v>755907.90999999992</v>
      </c>
      <c r="S24" s="58">
        <f t="shared" si="14"/>
        <v>0</v>
      </c>
      <c r="T24" s="58">
        <f t="shared" si="15"/>
        <v>0</v>
      </c>
    </row>
    <row r="25" spans="1:21" s="30" customFormat="1" ht="56.25">
      <c r="A25" s="24"/>
      <c r="B25" s="24"/>
      <c r="C25" s="24"/>
      <c r="D25" s="11" t="s">
        <v>213</v>
      </c>
      <c r="E25" s="56">
        <f t="shared" si="29"/>
        <v>244614</v>
      </c>
      <c r="F25" s="80">
        <v>244614</v>
      </c>
      <c r="G25" s="56"/>
      <c r="H25" s="56"/>
      <c r="I25" s="56">
        <f t="shared" si="26"/>
        <v>1652311.15</v>
      </c>
      <c r="J25" s="56">
        <v>1652311.15</v>
      </c>
      <c r="K25" s="56"/>
      <c r="L25" s="56"/>
      <c r="M25" s="57" t="s">
        <v>372</v>
      </c>
      <c r="N25" s="57" t="s">
        <v>372</v>
      </c>
      <c r="O25" s="57" t="str">
        <f t="shared" si="30"/>
        <v/>
      </c>
      <c r="P25" s="57" t="str">
        <f t="shared" si="11"/>
        <v/>
      </c>
      <c r="Q25" s="58">
        <f t="shared" si="12"/>
        <v>1407697.15</v>
      </c>
      <c r="R25" s="58">
        <f t="shared" si="13"/>
        <v>1407697.15</v>
      </c>
      <c r="S25" s="58">
        <f t="shared" si="14"/>
        <v>0</v>
      </c>
      <c r="T25" s="58">
        <f t="shared" si="15"/>
        <v>0</v>
      </c>
    </row>
    <row r="26" spans="1:21" s="30" customFormat="1" ht="37.5">
      <c r="A26" s="71" t="s">
        <v>323</v>
      </c>
      <c r="B26" s="72">
        <v>7350</v>
      </c>
      <c r="C26" s="71" t="s">
        <v>255</v>
      </c>
      <c r="D26" s="70" t="s">
        <v>256</v>
      </c>
      <c r="E26" s="56">
        <f t="shared" ref="E26" si="36">F26+G26</f>
        <v>259999</v>
      </c>
      <c r="F26" s="80"/>
      <c r="G26" s="80">
        <v>259999</v>
      </c>
      <c r="H26" s="80">
        <v>259999</v>
      </c>
      <c r="I26" s="56">
        <f t="shared" ref="I26" si="37">J26+K26</f>
        <v>0</v>
      </c>
      <c r="J26" s="56"/>
      <c r="K26" s="56"/>
      <c r="L26" s="56"/>
      <c r="M26" s="57">
        <f t="shared" ref="M26" si="38">IFERROR((I26/E26),"")</f>
        <v>0</v>
      </c>
      <c r="N26" s="57" t="str">
        <f t="shared" ref="N26" si="39">IFERROR((J26/F26),"")</f>
        <v/>
      </c>
      <c r="O26" s="57">
        <f t="shared" ref="O26" si="40">IFERROR((K26/G26),"")</f>
        <v>0</v>
      </c>
      <c r="P26" s="57">
        <f t="shared" ref="P26" si="41">IFERROR((L26/H26),"")</f>
        <v>0</v>
      </c>
      <c r="Q26" s="58">
        <f t="shared" ref="Q26" si="42">I26-E26</f>
        <v>-259999</v>
      </c>
      <c r="R26" s="58">
        <f t="shared" ref="R26" si="43">J26-F26</f>
        <v>0</v>
      </c>
      <c r="S26" s="58">
        <f t="shared" ref="S26" si="44">K26-G26</f>
        <v>-259999</v>
      </c>
      <c r="T26" s="58">
        <f t="shared" ref="T26" si="45">L26-H26</f>
        <v>-259999</v>
      </c>
    </row>
    <row r="27" spans="1:21" s="30" customFormat="1" ht="37.5">
      <c r="A27" s="59" t="s">
        <v>295</v>
      </c>
      <c r="B27" s="60">
        <v>7520</v>
      </c>
      <c r="C27" s="59" t="s">
        <v>296</v>
      </c>
      <c r="D27" s="106" t="s">
        <v>297</v>
      </c>
      <c r="E27" s="56">
        <f t="shared" ref="E27" si="46">F27+G27</f>
        <v>0</v>
      </c>
      <c r="F27" s="101"/>
      <c r="G27" s="101"/>
      <c r="H27" s="101"/>
      <c r="I27" s="56">
        <f t="shared" ref="I27" si="47">J27+K27</f>
        <v>997771.91999999993</v>
      </c>
      <c r="J27" s="56">
        <f>268321.92+450+450+4800+60750+129000</f>
        <v>463771.92</v>
      </c>
      <c r="K27" s="56">
        <v>534000</v>
      </c>
      <c r="L27" s="56">
        <v>534000</v>
      </c>
      <c r="M27" s="54"/>
      <c r="N27" s="54" t="str">
        <f t="shared" ref="N27" si="48">IFERROR((J27/F27),"")</f>
        <v/>
      </c>
      <c r="O27" s="54" t="str">
        <f t="shared" ref="O27" si="49">IFERROR((K27/G27),"")</f>
        <v/>
      </c>
      <c r="P27" s="54" t="str">
        <f t="shared" ref="P27" si="50">IFERROR((L27/H27),"")</f>
        <v/>
      </c>
      <c r="Q27" s="55">
        <f t="shared" ref="Q27" si="51">I27-E27</f>
        <v>997771.91999999993</v>
      </c>
      <c r="R27" s="55">
        <f t="shared" ref="R27" si="52">J27-F27</f>
        <v>463771.92</v>
      </c>
      <c r="S27" s="55">
        <f t="shared" ref="S27" si="53">K27-G27</f>
        <v>534000</v>
      </c>
      <c r="T27" s="55">
        <f t="shared" ref="T27" si="54">L27-H27</f>
        <v>534000</v>
      </c>
    </row>
    <row r="28" spans="1:21" s="30" customFormat="1">
      <c r="A28" s="87" t="s">
        <v>290</v>
      </c>
      <c r="B28" s="87" t="s">
        <v>258</v>
      </c>
      <c r="C28" s="87" t="s">
        <v>259</v>
      </c>
      <c r="D28" s="88" t="s">
        <v>260</v>
      </c>
      <c r="E28" s="56">
        <f t="shared" ref="E28" si="55">F28+G28</f>
        <v>0</v>
      </c>
      <c r="F28" s="101"/>
      <c r="G28" s="101"/>
      <c r="H28" s="101"/>
      <c r="I28" s="56">
        <f t="shared" ref="I28" si="56">J28+K28</f>
        <v>116613.84</v>
      </c>
      <c r="J28" s="56"/>
      <c r="K28" s="56">
        <v>116613.84</v>
      </c>
      <c r="L28" s="56">
        <v>116613.84</v>
      </c>
      <c r="M28" s="54"/>
      <c r="N28" s="54" t="str">
        <f t="shared" ref="N28" si="57">IFERROR((J28/F28),"")</f>
        <v/>
      </c>
      <c r="O28" s="54" t="str">
        <f t="shared" ref="O28" si="58">IFERROR((K28/G28),"")</f>
        <v/>
      </c>
      <c r="P28" s="54" t="str">
        <f t="shared" ref="P28" si="59">IFERROR((L28/H28),"")</f>
        <v/>
      </c>
      <c r="Q28" s="55">
        <f t="shared" ref="Q28" si="60">I28-E28</f>
        <v>116613.84</v>
      </c>
      <c r="R28" s="55">
        <f t="shared" ref="R28" si="61">J28-F28</f>
        <v>0</v>
      </c>
      <c r="S28" s="55">
        <f t="shared" ref="S28" si="62">K28-G28</f>
        <v>116613.84</v>
      </c>
      <c r="T28" s="55">
        <f t="shared" ref="T28" si="63">L28-H28</f>
        <v>116613.84</v>
      </c>
    </row>
    <row r="29" spans="1:21" s="30" customFormat="1" ht="37.5">
      <c r="A29" s="86" t="s">
        <v>251</v>
      </c>
      <c r="B29" s="86" t="s">
        <v>252</v>
      </c>
      <c r="C29" s="86" t="s">
        <v>20</v>
      </c>
      <c r="D29" s="88" t="s">
        <v>253</v>
      </c>
      <c r="E29" s="53">
        <f t="shared" si="29"/>
        <v>76895</v>
      </c>
      <c r="F29" s="101">
        <v>76895</v>
      </c>
      <c r="G29" s="101"/>
      <c r="H29" s="101"/>
      <c r="I29" s="53">
        <f t="shared" si="26"/>
        <v>110578</v>
      </c>
      <c r="J29" s="53">
        <v>110578</v>
      </c>
      <c r="K29" s="53"/>
      <c r="L29" s="53"/>
      <c r="M29" s="54">
        <f t="shared" si="23"/>
        <v>1.4380388841927303</v>
      </c>
      <c r="N29" s="54">
        <f t="shared" si="23"/>
        <v>1.4380388841927303</v>
      </c>
      <c r="O29" s="54" t="str">
        <f t="shared" si="30"/>
        <v/>
      </c>
      <c r="P29" s="54" t="str">
        <f t="shared" si="11"/>
        <v/>
      </c>
      <c r="Q29" s="55">
        <f t="shared" si="12"/>
        <v>33683</v>
      </c>
      <c r="R29" s="55">
        <f t="shared" si="13"/>
        <v>33683</v>
      </c>
      <c r="S29" s="55">
        <f t="shared" si="14"/>
        <v>0</v>
      </c>
      <c r="T29" s="55">
        <f t="shared" si="15"/>
        <v>0</v>
      </c>
    </row>
    <row r="30" spans="1:21" s="30" customFormat="1" ht="56.25">
      <c r="A30" s="102" t="s">
        <v>349</v>
      </c>
      <c r="B30" s="102">
        <v>8110</v>
      </c>
      <c r="C30" s="102" t="s">
        <v>5</v>
      </c>
      <c r="D30" s="107" t="s">
        <v>131</v>
      </c>
      <c r="E30" s="53">
        <f t="shared" ref="E30" si="64">F30+G30</f>
        <v>0</v>
      </c>
      <c r="F30" s="101"/>
      <c r="G30" s="101"/>
      <c r="H30" s="101"/>
      <c r="I30" s="53">
        <f t="shared" ref="I30" si="65">J30+K30</f>
        <v>34462.479999999996</v>
      </c>
      <c r="J30" s="53">
        <f>21886.43+12576.05</f>
        <v>34462.479999999996</v>
      </c>
      <c r="K30" s="53"/>
      <c r="L30" s="53"/>
      <c r="M30" s="54"/>
      <c r="N30" s="54" t="str">
        <f t="shared" ref="N30" si="66">IFERROR((J30/F30),"")</f>
        <v/>
      </c>
      <c r="O30" s="54" t="str">
        <f t="shared" ref="O30" si="67">IFERROR((K30/G30),"")</f>
        <v/>
      </c>
      <c r="P30" s="54" t="str">
        <f t="shared" ref="P30" si="68">IFERROR((L30/H30),"")</f>
        <v/>
      </c>
      <c r="Q30" s="55">
        <f t="shared" ref="Q30" si="69">I30-E30</f>
        <v>34462.479999999996</v>
      </c>
      <c r="R30" s="55">
        <f t="shared" ref="R30" si="70">J30-F30</f>
        <v>34462.479999999996</v>
      </c>
      <c r="S30" s="55">
        <f t="shared" ref="S30" si="71">K30-G30</f>
        <v>0</v>
      </c>
      <c r="T30" s="55">
        <f t="shared" ref="T30" si="72">L30-H30</f>
        <v>0</v>
      </c>
    </row>
    <row r="31" spans="1:21" s="37" customFormat="1" ht="37.5">
      <c r="A31" s="93" t="s">
        <v>180</v>
      </c>
      <c r="B31" s="93" t="s">
        <v>181</v>
      </c>
      <c r="C31" s="93" t="s">
        <v>5</v>
      </c>
      <c r="D31" s="36" t="s">
        <v>182</v>
      </c>
      <c r="E31" s="53">
        <f t="shared" ref="E31:E34" si="73">F31+G31</f>
        <v>9251677.6400000006</v>
      </c>
      <c r="F31" s="101">
        <v>9251677.6400000006</v>
      </c>
      <c r="G31" s="101"/>
      <c r="H31" s="101"/>
      <c r="I31" s="53">
        <f t="shared" ref="I31:I34" si="74">J31+K31</f>
        <v>12915054.689999999</v>
      </c>
      <c r="J31" s="53">
        <v>12915054.689999999</v>
      </c>
      <c r="K31" s="53"/>
      <c r="L31" s="53"/>
      <c r="M31" s="54">
        <f t="shared" si="23"/>
        <v>1.3959689466655476</v>
      </c>
      <c r="N31" s="54">
        <f t="shared" si="23"/>
        <v>1.3959689466655476</v>
      </c>
      <c r="O31" s="54" t="str">
        <f t="shared" si="30"/>
        <v/>
      </c>
      <c r="P31" s="54" t="str">
        <f t="shared" si="11"/>
        <v/>
      </c>
      <c r="Q31" s="55">
        <f t="shared" si="12"/>
        <v>3663377.0499999989</v>
      </c>
      <c r="R31" s="55">
        <f t="shared" si="13"/>
        <v>3663377.0499999989</v>
      </c>
      <c r="S31" s="55">
        <f t="shared" si="14"/>
        <v>0</v>
      </c>
      <c r="T31" s="55">
        <f t="shared" si="15"/>
        <v>0</v>
      </c>
    </row>
    <row r="32" spans="1:21" s="37" customFormat="1" ht="37.5">
      <c r="A32" s="87" t="s">
        <v>261</v>
      </c>
      <c r="B32" s="86">
        <v>8220</v>
      </c>
      <c r="C32" s="86" t="s">
        <v>216</v>
      </c>
      <c r="D32" s="88" t="s">
        <v>262</v>
      </c>
      <c r="E32" s="53">
        <f t="shared" si="73"/>
        <v>62010</v>
      </c>
      <c r="F32" s="101">
        <v>62010</v>
      </c>
      <c r="G32" s="101"/>
      <c r="H32" s="101"/>
      <c r="I32" s="53">
        <f t="shared" si="74"/>
        <v>129600</v>
      </c>
      <c r="J32" s="53">
        <v>129600</v>
      </c>
      <c r="K32" s="53"/>
      <c r="L32" s="53"/>
      <c r="M32" s="54" t="s">
        <v>371</v>
      </c>
      <c r="N32" s="54" t="s">
        <v>371</v>
      </c>
      <c r="O32" s="54" t="str">
        <f t="shared" si="30"/>
        <v/>
      </c>
      <c r="P32" s="54" t="str">
        <f t="shared" si="11"/>
        <v/>
      </c>
      <c r="Q32" s="55">
        <f t="shared" si="12"/>
        <v>67590</v>
      </c>
      <c r="R32" s="55">
        <f t="shared" si="13"/>
        <v>67590</v>
      </c>
      <c r="S32" s="55">
        <f t="shared" si="14"/>
        <v>0</v>
      </c>
      <c r="T32" s="55">
        <f t="shared" si="15"/>
        <v>0</v>
      </c>
    </row>
    <row r="33" spans="1:20" s="37" customFormat="1" ht="34.5" customHeight="1">
      <c r="A33" s="93" t="s">
        <v>224</v>
      </c>
      <c r="B33" s="93" t="s">
        <v>225</v>
      </c>
      <c r="C33" s="93" t="s">
        <v>216</v>
      </c>
      <c r="D33" s="22" t="s">
        <v>226</v>
      </c>
      <c r="E33" s="53">
        <f t="shared" si="73"/>
        <v>992556</v>
      </c>
      <c r="F33" s="101">
        <v>992556</v>
      </c>
      <c r="G33" s="101"/>
      <c r="H33" s="101"/>
      <c r="I33" s="53">
        <f t="shared" si="74"/>
        <v>2737897.6</v>
      </c>
      <c r="J33" s="53">
        <v>2243047.6</v>
      </c>
      <c r="K33" s="53">
        <v>494850</v>
      </c>
      <c r="L33" s="53">
        <v>494850</v>
      </c>
      <c r="M33" s="54" t="s">
        <v>371</v>
      </c>
      <c r="N33" s="54" t="s">
        <v>371</v>
      </c>
      <c r="O33" s="54" t="str">
        <f t="shared" si="30"/>
        <v/>
      </c>
      <c r="P33" s="54" t="str">
        <f t="shared" si="11"/>
        <v/>
      </c>
      <c r="Q33" s="55">
        <f t="shared" si="12"/>
        <v>1745341.6</v>
      </c>
      <c r="R33" s="55">
        <f t="shared" si="13"/>
        <v>1250491.6000000001</v>
      </c>
      <c r="S33" s="55">
        <f t="shared" si="14"/>
        <v>494850</v>
      </c>
      <c r="T33" s="55">
        <f t="shared" si="15"/>
        <v>494850</v>
      </c>
    </row>
    <row r="34" spans="1:20" s="37" customFormat="1" ht="25.9" customHeight="1">
      <c r="A34" s="40" t="s">
        <v>286</v>
      </c>
      <c r="B34" s="41">
        <v>8240</v>
      </c>
      <c r="C34" s="40" t="s">
        <v>216</v>
      </c>
      <c r="D34" s="38" t="s">
        <v>234</v>
      </c>
      <c r="E34" s="53">
        <f t="shared" si="73"/>
        <v>1276500</v>
      </c>
      <c r="F34" s="101"/>
      <c r="G34" s="101">
        <v>1276500</v>
      </c>
      <c r="H34" s="101">
        <v>1276500</v>
      </c>
      <c r="I34" s="53">
        <f t="shared" si="74"/>
        <v>184422</v>
      </c>
      <c r="J34" s="53">
        <v>127766.39999999999</v>
      </c>
      <c r="K34" s="53">
        <v>56655.6</v>
      </c>
      <c r="L34" s="53">
        <v>56655.6</v>
      </c>
      <c r="M34" s="54">
        <f t="shared" si="23"/>
        <v>0.14447473560517038</v>
      </c>
      <c r="N34" s="54"/>
      <c r="O34" s="54">
        <f t="shared" si="23"/>
        <v>4.4383548766157459E-2</v>
      </c>
      <c r="P34" s="54">
        <f t="shared" si="23"/>
        <v>4.4383548766157459E-2</v>
      </c>
      <c r="Q34" s="55">
        <f t="shared" si="12"/>
        <v>-1092078</v>
      </c>
      <c r="R34" s="55">
        <f t="shared" si="13"/>
        <v>127766.39999999999</v>
      </c>
      <c r="S34" s="55">
        <f t="shared" si="14"/>
        <v>-1219844.3999999999</v>
      </c>
      <c r="T34" s="55">
        <f t="shared" si="15"/>
        <v>-1219844.3999999999</v>
      </c>
    </row>
    <row r="35" spans="1:20" s="68" customFormat="1" ht="40.5" customHeight="1">
      <c r="A35" s="71" t="s">
        <v>324</v>
      </c>
      <c r="B35" s="72">
        <v>8340</v>
      </c>
      <c r="C35" s="72" t="s">
        <v>325</v>
      </c>
      <c r="D35" s="70" t="s">
        <v>326</v>
      </c>
      <c r="E35" s="53">
        <f t="shared" ref="E35" si="75">F35+G35</f>
        <v>20000</v>
      </c>
      <c r="F35" s="101"/>
      <c r="G35" s="101">
        <v>20000</v>
      </c>
      <c r="H35" s="101"/>
      <c r="I35" s="53">
        <f t="shared" ref="I35" si="76">J35+K35</f>
        <v>0</v>
      </c>
      <c r="J35" s="53"/>
      <c r="K35" s="53"/>
      <c r="L35" s="53"/>
      <c r="M35" s="54">
        <f t="shared" ref="M35" si="77">IFERROR((I35/E35),"")</f>
        <v>0</v>
      </c>
      <c r="N35" s="54"/>
      <c r="O35" s="54">
        <f t="shared" ref="O35" si="78">IFERROR((K35/G35),"")</f>
        <v>0</v>
      </c>
      <c r="P35" s="54" t="str">
        <f t="shared" ref="P35" si="79">IFERROR((L35/H35),"")</f>
        <v/>
      </c>
      <c r="Q35" s="55">
        <f t="shared" ref="Q35" si="80">I35-E35</f>
        <v>-20000</v>
      </c>
      <c r="R35" s="55">
        <f t="shared" ref="R35" si="81">J35-F35</f>
        <v>0</v>
      </c>
      <c r="S35" s="55">
        <f t="shared" ref="S35" si="82">K35-G35</f>
        <v>-20000</v>
      </c>
      <c r="T35" s="55">
        <f t="shared" ref="T35" si="83">L35-H35</f>
        <v>0</v>
      </c>
    </row>
    <row r="36" spans="1:20" s="69" customFormat="1" ht="39" customHeight="1">
      <c r="A36" s="74" t="s">
        <v>327</v>
      </c>
      <c r="B36" s="75">
        <v>8775</v>
      </c>
      <c r="C36" s="74" t="s">
        <v>6</v>
      </c>
      <c r="D36" s="73" t="s">
        <v>328</v>
      </c>
      <c r="E36" s="53">
        <f t="shared" ref="E36" si="84">F36+G36</f>
        <v>479344.72</v>
      </c>
      <c r="F36" s="101">
        <v>479344.72</v>
      </c>
      <c r="G36" s="101"/>
      <c r="H36" s="101"/>
      <c r="I36" s="53">
        <f t="shared" ref="I36" si="85">J36+K36</f>
        <v>0</v>
      </c>
      <c r="J36" s="53"/>
      <c r="K36" s="53"/>
      <c r="L36" s="53"/>
      <c r="M36" s="54">
        <f t="shared" ref="M36" si="86">IFERROR((I36/E36),"")</f>
        <v>0</v>
      </c>
      <c r="N36" s="54"/>
      <c r="O36" s="54" t="str">
        <f t="shared" ref="O36" si="87">IFERROR((K36/G36),"")</f>
        <v/>
      </c>
      <c r="P36" s="54" t="str">
        <f t="shared" ref="P36" si="88">IFERROR((L36/H36),"")</f>
        <v/>
      </c>
      <c r="Q36" s="55">
        <f t="shared" ref="Q36" si="89">I36-E36</f>
        <v>-479344.72</v>
      </c>
      <c r="R36" s="55">
        <f t="shared" ref="R36" si="90">J36-F36</f>
        <v>-479344.72</v>
      </c>
      <c r="S36" s="55">
        <f t="shared" ref="S36" si="91">K36-G36</f>
        <v>0</v>
      </c>
      <c r="T36" s="55">
        <f t="shared" ref="T36" si="92">L36-H36</f>
        <v>0</v>
      </c>
    </row>
    <row r="37" spans="1:20" s="28" customFormat="1" ht="56.25">
      <c r="A37" s="23" t="s">
        <v>56</v>
      </c>
      <c r="B37" s="23"/>
      <c r="C37" s="23"/>
      <c r="D37" s="10" t="s">
        <v>245</v>
      </c>
      <c r="E37" s="52">
        <f t="shared" ref="E37:L37" si="93">E38</f>
        <v>212859232.85999995</v>
      </c>
      <c r="F37" s="52">
        <f t="shared" si="93"/>
        <v>203974208.06999996</v>
      </c>
      <c r="G37" s="52">
        <f t="shared" si="93"/>
        <v>8885024.790000001</v>
      </c>
      <c r="H37" s="52">
        <f t="shared" si="93"/>
        <v>287282.61</v>
      </c>
      <c r="I37" s="52">
        <f t="shared" si="93"/>
        <v>253675650.63</v>
      </c>
      <c r="J37" s="52">
        <f t="shared" si="93"/>
        <v>237492820.03999999</v>
      </c>
      <c r="K37" s="52">
        <f t="shared" si="93"/>
        <v>16182830.59</v>
      </c>
      <c r="L37" s="52">
        <f t="shared" si="93"/>
        <v>5654665.1500000004</v>
      </c>
      <c r="M37" s="50">
        <f t="shared" si="22"/>
        <v>1.1917531000257127</v>
      </c>
      <c r="N37" s="50">
        <f t="shared" si="23"/>
        <v>1.1643276975415298</v>
      </c>
      <c r="O37" s="50">
        <f t="shared" si="22"/>
        <v>1.82136020691958</v>
      </c>
      <c r="P37" s="50">
        <f t="shared" si="22"/>
        <v>19.683283822853046</v>
      </c>
      <c r="Q37" s="51">
        <f t="shared" si="12"/>
        <v>40816417.770000041</v>
      </c>
      <c r="R37" s="51">
        <f t="shared" si="13"/>
        <v>33518611.970000029</v>
      </c>
      <c r="S37" s="51">
        <f t="shared" si="14"/>
        <v>7297805.7999999989</v>
      </c>
      <c r="T37" s="51">
        <f t="shared" si="15"/>
        <v>5367382.54</v>
      </c>
    </row>
    <row r="38" spans="1:20" s="28" customFormat="1" ht="56.25">
      <c r="A38" s="23" t="s">
        <v>57</v>
      </c>
      <c r="B38" s="23"/>
      <c r="C38" s="23"/>
      <c r="D38" s="10" t="s">
        <v>246</v>
      </c>
      <c r="E38" s="52">
        <f t="shared" ref="E38:E43" si="94">F38+G38</f>
        <v>212859232.85999995</v>
      </c>
      <c r="F38" s="52">
        <f>F39+F40+F41+F42+F43+F44+F45+F46+F48+F49+F50+F55+F60+F61+F52+F47+F63+F57+F62+F58+F56+F59+F51+F53+F54</f>
        <v>203974208.06999996</v>
      </c>
      <c r="G38" s="52">
        <f t="shared" ref="G38:H38" si="95">G39+G40+G41+G42+G43+G44+G45+G46+G48+G49+G50+G55+G60+G61+G52+G47+G63+G57+G62+G58+G56+G59+G51+G53+G54</f>
        <v>8885024.790000001</v>
      </c>
      <c r="H38" s="52">
        <f t="shared" si="95"/>
        <v>287282.61</v>
      </c>
      <c r="I38" s="52">
        <f t="shared" si="26"/>
        <v>253675650.63</v>
      </c>
      <c r="J38" s="52">
        <f>J39+J40+J41+J42+J43+J44+J45+J46+J48+J49+J50+J55+J60+J61+J52+J47+J63+J57+J62+J58+J56+J59+J51+J53+J54</f>
        <v>237492820.03999999</v>
      </c>
      <c r="K38" s="52">
        <f t="shared" ref="K38:L38" si="96">K39+K40+K41+K42+K43+K44+K45+K46+K48+K49+K50+K55+K60+K61+K52+K47+K63+K57+K62+K58+K56+K59+K51+K53+K54</f>
        <v>16182830.59</v>
      </c>
      <c r="L38" s="52">
        <f t="shared" si="96"/>
        <v>5654665.1500000004</v>
      </c>
      <c r="M38" s="50">
        <f t="shared" si="22"/>
        <v>1.1917531000257127</v>
      </c>
      <c r="N38" s="50">
        <f t="shared" si="23"/>
        <v>1.1643276975415298</v>
      </c>
      <c r="O38" s="50">
        <f t="shared" si="22"/>
        <v>1.82136020691958</v>
      </c>
      <c r="P38" s="50" t="s">
        <v>373</v>
      </c>
      <c r="Q38" s="51">
        <f t="shared" si="12"/>
        <v>40816417.770000041</v>
      </c>
      <c r="R38" s="51">
        <f t="shared" si="13"/>
        <v>33518611.970000029</v>
      </c>
      <c r="S38" s="51">
        <f t="shared" si="14"/>
        <v>7297805.7999999989</v>
      </c>
      <c r="T38" s="51">
        <f t="shared" si="15"/>
        <v>5367382.54</v>
      </c>
    </row>
    <row r="39" spans="1:20" s="37" customFormat="1" ht="60" customHeight="1">
      <c r="A39" s="93" t="s">
        <v>59</v>
      </c>
      <c r="B39" s="93" t="s">
        <v>58</v>
      </c>
      <c r="C39" s="93" t="s">
        <v>3</v>
      </c>
      <c r="D39" s="19" t="s">
        <v>227</v>
      </c>
      <c r="E39" s="53">
        <f t="shared" si="94"/>
        <v>2031238.35</v>
      </c>
      <c r="F39" s="101">
        <v>2031238.35</v>
      </c>
      <c r="G39" s="101"/>
      <c r="H39" s="101"/>
      <c r="I39" s="53">
        <f>J39+K39</f>
        <v>3081990.94</v>
      </c>
      <c r="J39" s="53">
        <v>3081990.94</v>
      </c>
      <c r="K39" s="53"/>
      <c r="L39" s="53"/>
      <c r="M39" s="54">
        <f t="shared" si="22"/>
        <v>1.5172965496639033</v>
      </c>
      <c r="N39" s="54">
        <f t="shared" si="23"/>
        <v>1.5172965496639033</v>
      </c>
      <c r="O39" s="54" t="str">
        <f t="shared" si="30"/>
        <v/>
      </c>
      <c r="P39" s="54" t="str">
        <f t="shared" si="11"/>
        <v/>
      </c>
      <c r="Q39" s="55">
        <f t="shared" si="12"/>
        <v>1050752.5899999999</v>
      </c>
      <c r="R39" s="55">
        <f t="shared" si="13"/>
        <v>1050752.5899999999</v>
      </c>
      <c r="S39" s="55">
        <f t="shared" si="14"/>
        <v>0</v>
      </c>
      <c r="T39" s="55">
        <f t="shared" si="15"/>
        <v>0</v>
      </c>
    </row>
    <row r="40" spans="1:20" s="37" customFormat="1" ht="37.5">
      <c r="A40" s="93" t="s">
        <v>222</v>
      </c>
      <c r="B40" s="93" t="s">
        <v>8</v>
      </c>
      <c r="C40" s="93" t="s">
        <v>6</v>
      </c>
      <c r="D40" s="19" t="s">
        <v>119</v>
      </c>
      <c r="E40" s="53">
        <f t="shared" si="94"/>
        <v>44910</v>
      </c>
      <c r="F40" s="101">
        <v>44910</v>
      </c>
      <c r="G40" s="101"/>
      <c r="H40" s="101"/>
      <c r="I40" s="53">
        <f t="shared" si="26"/>
        <v>0</v>
      </c>
      <c r="J40" s="53"/>
      <c r="K40" s="53"/>
      <c r="L40" s="53"/>
      <c r="M40" s="54">
        <f t="shared" si="22"/>
        <v>0</v>
      </c>
      <c r="N40" s="54">
        <f t="shared" si="23"/>
        <v>0</v>
      </c>
      <c r="O40" s="54" t="str">
        <f t="shared" si="30"/>
        <v/>
      </c>
      <c r="P40" s="54" t="str">
        <f t="shared" si="11"/>
        <v/>
      </c>
      <c r="Q40" s="55">
        <f t="shared" si="12"/>
        <v>-44910</v>
      </c>
      <c r="R40" s="55">
        <f t="shared" si="13"/>
        <v>-44910</v>
      </c>
      <c r="S40" s="55">
        <f t="shared" si="14"/>
        <v>0</v>
      </c>
      <c r="T40" s="55">
        <f t="shared" si="15"/>
        <v>0</v>
      </c>
    </row>
    <row r="41" spans="1:20" s="37" customFormat="1" ht="33" customHeight="1">
      <c r="A41" s="93" t="s">
        <v>60</v>
      </c>
      <c r="B41" s="93" t="s">
        <v>9</v>
      </c>
      <c r="C41" s="93" t="s">
        <v>10</v>
      </c>
      <c r="D41" s="36" t="s">
        <v>61</v>
      </c>
      <c r="E41" s="53">
        <f t="shared" si="94"/>
        <v>39671400.020000003</v>
      </c>
      <c r="F41" s="101">
        <v>38529979.810000002</v>
      </c>
      <c r="G41" s="101">
        <v>1141420.21</v>
      </c>
      <c r="H41" s="101">
        <v>287282.61</v>
      </c>
      <c r="I41" s="53">
        <f t="shared" si="26"/>
        <v>45889120.670000002</v>
      </c>
      <c r="J41" s="53">
        <v>44446889.259999998</v>
      </c>
      <c r="K41" s="53">
        <f>1344566.78+97664.63</f>
        <v>1442231.4100000001</v>
      </c>
      <c r="L41" s="53"/>
      <c r="M41" s="54">
        <f t="shared" si="22"/>
        <v>1.1567305577031661</v>
      </c>
      <c r="N41" s="54">
        <f t="shared" si="23"/>
        <v>1.1535663781600096</v>
      </c>
      <c r="O41" s="54">
        <f t="shared" si="23"/>
        <v>1.2635411545761925</v>
      </c>
      <c r="P41" s="54"/>
      <c r="Q41" s="55">
        <f t="shared" si="12"/>
        <v>6217720.6499999985</v>
      </c>
      <c r="R41" s="55">
        <f t="shared" si="13"/>
        <v>5916909.4499999955</v>
      </c>
      <c r="S41" s="55">
        <f t="shared" si="14"/>
        <v>300811.20000000019</v>
      </c>
      <c r="T41" s="55">
        <f t="shared" si="15"/>
        <v>-287282.61</v>
      </c>
    </row>
    <row r="42" spans="1:20" s="37" customFormat="1" ht="63" customHeight="1">
      <c r="A42" s="93" t="s">
        <v>184</v>
      </c>
      <c r="B42" s="93" t="s">
        <v>186</v>
      </c>
      <c r="C42" s="93" t="s">
        <v>12</v>
      </c>
      <c r="D42" s="19" t="s">
        <v>241</v>
      </c>
      <c r="E42" s="53">
        <f t="shared" si="94"/>
        <v>37562679.490000002</v>
      </c>
      <c r="F42" s="101">
        <v>36209505.090000004</v>
      </c>
      <c r="G42" s="92">
        <v>1353174.4000000001</v>
      </c>
      <c r="H42" s="92"/>
      <c r="I42" s="53">
        <f t="shared" si="26"/>
        <v>53061246.380000003</v>
      </c>
      <c r="J42" s="53">
        <v>50857188.600000001</v>
      </c>
      <c r="K42" s="55">
        <f>138583.19+2065474.59</f>
        <v>2204057.7800000003</v>
      </c>
      <c r="L42" s="55"/>
      <c r="M42" s="54">
        <f t="shared" si="22"/>
        <v>1.412605466394538</v>
      </c>
      <c r="N42" s="54">
        <f t="shared" si="23"/>
        <v>1.4045259241625276</v>
      </c>
      <c r="O42" s="54">
        <f t="shared" si="30"/>
        <v>1.6288054074921903</v>
      </c>
      <c r="P42" s="54" t="str">
        <f t="shared" si="11"/>
        <v/>
      </c>
      <c r="Q42" s="55">
        <f t="shared" si="12"/>
        <v>15498566.890000001</v>
      </c>
      <c r="R42" s="55">
        <f t="shared" si="13"/>
        <v>14647683.509999998</v>
      </c>
      <c r="S42" s="55">
        <f t="shared" si="14"/>
        <v>850883.38000000012</v>
      </c>
      <c r="T42" s="55">
        <f t="shared" si="15"/>
        <v>0</v>
      </c>
    </row>
    <row r="43" spans="1:20" s="37" customFormat="1" ht="112.5">
      <c r="A43" s="93" t="s">
        <v>185</v>
      </c>
      <c r="B43" s="93" t="s">
        <v>187</v>
      </c>
      <c r="C43" s="93" t="s">
        <v>14</v>
      </c>
      <c r="D43" s="19" t="s">
        <v>242</v>
      </c>
      <c r="E43" s="53">
        <f t="shared" si="94"/>
        <v>4836022.34</v>
      </c>
      <c r="F43" s="101">
        <v>4770770.91</v>
      </c>
      <c r="G43" s="92">
        <v>65251.43</v>
      </c>
      <c r="H43" s="92"/>
      <c r="I43" s="53">
        <f t="shared" si="26"/>
        <v>6858880.1299999999</v>
      </c>
      <c r="J43" s="53">
        <v>6676720.0099999998</v>
      </c>
      <c r="K43" s="55">
        <f>182160.12</f>
        <v>182160.12</v>
      </c>
      <c r="L43" s="55"/>
      <c r="M43" s="54">
        <f t="shared" si="22"/>
        <v>1.4182895875538903</v>
      </c>
      <c r="N43" s="54">
        <f t="shared" si="23"/>
        <v>1.3995054753111169</v>
      </c>
      <c r="O43" s="54" t="s">
        <v>288</v>
      </c>
      <c r="P43" s="54" t="str">
        <f t="shared" si="11"/>
        <v/>
      </c>
      <c r="Q43" s="55">
        <f t="shared" si="12"/>
        <v>2022857.79</v>
      </c>
      <c r="R43" s="55">
        <f t="shared" si="13"/>
        <v>1905949.0999999996</v>
      </c>
      <c r="S43" s="55">
        <f t="shared" si="14"/>
        <v>116908.69</v>
      </c>
      <c r="T43" s="55">
        <f t="shared" si="15"/>
        <v>0</v>
      </c>
    </row>
    <row r="44" spans="1:20" s="37" customFormat="1" ht="64.5" customHeight="1">
      <c r="A44" s="93" t="s">
        <v>191</v>
      </c>
      <c r="B44" s="93" t="s">
        <v>192</v>
      </c>
      <c r="C44" s="93" t="s">
        <v>12</v>
      </c>
      <c r="D44" s="19" t="s">
        <v>243</v>
      </c>
      <c r="E44" s="53">
        <f t="shared" ref="E44:E45" si="97">F44+G44</f>
        <v>86414891.920000002</v>
      </c>
      <c r="F44" s="101">
        <v>86414891.920000002</v>
      </c>
      <c r="G44" s="92"/>
      <c r="H44" s="92"/>
      <c r="I44" s="53">
        <f t="shared" si="26"/>
        <v>84382352.870000005</v>
      </c>
      <c r="J44" s="53">
        <f>84215819.87+166533</f>
        <v>84382352.870000005</v>
      </c>
      <c r="K44" s="55"/>
      <c r="L44" s="55"/>
      <c r="M44" s="54">
        <f t="shared" si="22"/>
        <v>0.97647929650966114</v>
      </c>
      <c r="N44" s="54">
        <f t="shared" si="23"/>
        <v>0.97647929650966114</v>
      </c>
      <c r="O44" s="54" t="str">
        <f t="shared" si="30"/>
        <v/>
      </c>
      <c r="P44" s="54" t="str">
        <f t="shared" si="11"/>
        <v/>
      </c>
      <c r="Q44" s="55">
        <f t="shared" si="12"/>
        <v>-2032539.049999997</v>
      </c>
      <c r="R44" s="55">
        <f t="shared" si="13"/>
        <v>-2032539.049999997</v>
      </c>
      <c r="S44" s="55">
        <f t="shared" si="14"/>
        <v>0</v>
      </c>
      <c r="T44" s="55">
        <f t="shared" si="15"/>
        <v>0</v>
      </c>
    </row>
    <row r="45" spans="1:20" s="37" customFormat="1" ht="112.5">
      <c r="A45" s="93" t="s">
        <v>193</v>
      </c>
      <c r="B45" s="93" t="s">
        <v>194</v>
      </c>
      <c r="C45" s="93" t="s">
        <v>14</v>
      </c>
      <c r="D45" s="19" t="s">
        <v>244</v>
      </c>
      <c r="E45" s="53">
        <f t="shared" si="97"/>
        <v>6910691.0700000003</v>
      </c>
      <c r="F45" s="101">
        <v>6910691.0700000003</v>
      </c>
      <c r="G45" s="92"/>
      <c r="H45" s="92"/>
      <c r="I45" s="53">
        <f t="shared" si="26"/>
        <v>7891029.2199999997</v>
      </c>
      <c r="J45" s="53">
        <v>7891029.2199999997</v>
      </c>
      <c r="K45" s="55"/>
      <c r="L45" s="55"/>
      <c r="M45" s="54">
        <f t="shared" si="22"/>
        <v>1.1418581933514211</v>
      </c>
      <c r="N45" s="54">
        <f t="shared" si="23"/>
        <v>1.1418581933514211</v>
      </c>
      <c r="O45" s="54" t="str">
        <f t="shared" si="30"/>
        <v/>
      </c>
      <c r="P45" s="54" t="str">
        <f t="shared" si="11"/>
        <v/>
      </c>
      <c r="Q45" s="55">
        <f t="shared" si="12"/>
        <v>980338.14999999944</v>
      </c>
      <c r="R45" s="55">
        <f t="shared" si="13"/>
        <v>980338.14999999944</v>
      </c>
      <c r="S45" s="55">
        <f t="shared" si="14"/>
        <v>0</v>
      </c>
      <c r="T45" s="55">
        <f t="shared" si="15"/>
        <v>0</v>
      </c>
    </row>
    <row r="46" spans="1:20" s="37" customFormat="1" ht="56.25">
      <c r="A46" s="93" t="s">
        <v>62</v>
      </c>
      <c r="B46" s="93" t="s">
        <v>32</v>
      </c>
      <c r="C46" s="93" t="s">
        <v>15</v>
      </c>
      <c r="D46" s="19" t="s">
        <v>221</v>
      </c>
      <c r="E46" s="53">
        <f t="shared" ref="E46:E63" si="98">F46+G46</f>
        <v>10623871.83</v>
      </c>
      <c r="F46" s="101">
        <v>10610183.779999999</v>
      </c>
      <c r="G46" s="92">
        <v>13688.05</v>
      </c>
      <c r="H46" s="92"/>
      <c r="I46" s="53">
        <f t="shared" si="26"/>
        <v>11163155.109999999</v>
      </c>
      <c r="J46" s="53">
        <v>11110634.51</v>
      </c>
      <c r="K46" s="55">
        <f>43569+8951.6</f>
        <v>52520.6</v>
      </c>
      <c r="L46" s="55"/>
      <c r="M46" s="54">
        <f t="shared" si="22"/>
        <v>1.0507614632997695</v>
      </c>
      <c r="N46" s="54">
        <f t="shared" si="23"/>
        <v>1.0471670180627164</v>
      </c>
      <c r="O46" s="54" t="s">
        <v>288</v>
      </c>
      <c r="P46" s="54" t="str">
        <f t="shared" si="11"/>
        <v/>
      </c>
      <c r="Q46" s="55">
        <f t="shared" si="12"/>
        <v>539283.27999999933</v>
      </c>
      <c r="R46" s="55">
        <f t="shared" si="13"/>
        <v>500450.73000000045</v>
      </c>
      <c r="S46" s="55">
        <f t="shared" si="14"/>
        <v>38832.550000000003</v>
      </c>
      <c r="T46" s="55">
        <f t="shared" si="15"/>
        <v>0</v>
      </c>
    </row>
    <row r="47" spans="1:20" s="37" customFormat="1" ht="37.5">
      <c r="A47" s="86" t="s">
        <v>263</v>
      </c>
      <c r="B47" s="86" t="s">
        <v>264</v>
      </c>
      <c r="C47" s="86" t="s">
        <v>265</v>
      </c>
      <c r="D47" s="88" t="s">
        <v>266</v>
      </c>
      <c r="E47" s="53">
        <f t="shared" si="98"/>
        <v>7460</v>
      </c>
      <c r="F47" s="101">
        <v>7460</v>
      </c>
      <c r="G47" s="92"/>
      <c r="H47" s="92"/>
      <c r="I47" s="53">
        <f t="shared" si="26"/>
        <v>13000</v>
      </c>
      <c r="J47" s="53">
        <v>13000</v>
      </c>
      <c r="K47" s="55"/>
      <c r="L47" s="55"/>
      <c r="M47" s="54">
        <f t="shared" si="23"/>
        <v>1.7426273458445041</v>
      </c>
      <c r="N47" s="54">
        <f t="shared" si="23"/>
        <v>1.7426273458445041</v>
      </c>
      <c r="O47" s="54" t="str">
        <f t="shared" si="30"/>
        <v/>
      </c>
      <c r="P47" s="54" t="str">
        <f t="shared" si="11"/>
        <v/>
      </c>
      <c r="Q47" s="55">
        <f t="shared" si="12"/>
        <v>5540</v>
      </c>
      <c r="R47" s="55">
        <f t="shared" si="13"/>
        <v>5540</v>
      </c>
      <c r="S47" s="55">
        <f t="shared" si="14"/>
        <v>0</v>
      </c>
      <c r="T47" s="55">
        <f t="shared" si="15"/>
        <v>0</v>
      </c>
    </row>
    <row r="48" spans="1:20" s="37" customFormat="1" ht="43.9" customHeight="1">
      <c r="A48" s="93" t="s">
        <v>195</v>
      </c>
      <c r="B48" s="93" t="s">
        <v>196</v>
      </c>
      <c r="C48" s="93" t="s">
        <v>16</v>
      </c>
      <c r="D48" s="19" t="s">
        <v>148</v>
      </c>
      <c r="E48" s="53">
        <f t="shared" si="98"/>
        <v>14331885.33</v>
      </c>
      <c r="F48" s="101">
        <v>8025434.6299999999</v>
      </c>
      <c r="G48" s="92">
        <v>6306450.7000000002</v>
      </c>
      <c r="H48" s="92"/>
      <c r="I48" s="53">
        <f t="shared" si="26"/>
        <v>8774038.4299999997</v>
      </c>
      <c r="J48" s="53">
        <v>8774038.4299999997</v>
      </c>
      <c r="K48" s="55"/>
      <c r="L48" s="55"/>
      <c r="M48" s="54">
        <f t="shared" si="22"/>
        <v>0.61220406303655517</v>
      </c>
      <c r="N48" s="54">
        <f t="shared" si="23"/>
        <v>1.0932789106775143</v>
      </c>
      <c r="O48" s="54"/>
      <c r="P48" s="54" t="str">
        <f t="shared" si="11"/>
        <v/>
      </c>
      <c r="Q48" s="55">
        <f t="shared" si="12"/>
        <v>-5557846.9000000004</v>
      </c>
      <c r="R48" s="55">
        <f t="shared" si="13"/>
        <v>748603.79999999981</v>
      </c>
      <c r="S48" s="55">
        <f t="shared" si="14"/>
        <v>-6306450.7000000002</v>
      </c>
      <c r="T48" s="55">
        <f t="shared" si="15"/>
        <v>0</v>
      </c>
    </row>
    <row r="49" spans="1:21" s="37" customFormat="1" ht="64.150000000000006" customHeight="1">
      <c r="A49" s="93" t="s">
        <v>197</v>
      </c>
      <c r="B49" s="93" t="s">
        <v>198</v>
      </c>
      <c r="C49" s="93" t="s">
        <v>16</v>
      </c>
      <c r="D49" s="19" t="s">
        <v>199</v>
      </c>
      <c r="E49" s="53">
        <f t="shared" si="98"/>
        <v>161079.79</v>
      </c>
      <c r="F49" s="101">
        <v>161079.79</v>
      </c>
      <c r="G49" s="92"/>
      <c r="H49" s="55"/>
      <c r="I49" s="53">
        <f t="shared" si="26"/>
        <v>227868.48</v>
      </c>
      <c r="J49" s="53">
        <v>227868.48</v>
      </c>
      <c r="K49" s="55"/>
      <c r="L49" s="55"/>
      <c r="M49" s="54">
        <f t="shared" si="22"/>
        <v>1.4146310967999152</v>
      </c>
      <c r="N49" s="54">
        <f t="shared" si="23"/>
        <v>1.4146310967999152</v>
      </c>
      <c r="O49" s="54" t="str">
        <f t="shared" si="30"/>
        <v/>
      </c>
      <c r="P49" s="54" t="str">
        <f t="shared" si="11"/>
        <v/>
      </c>
      <c r="Q49" s="55">
        <f t="shared" si="12"/>
        <v>66788.69</v>
      </c>
      <c r="R49" s="55">
        <f t="shared" si="13"/>
        <v>66788.69</v>
      </c>
      <c r="S49" s="55">
        <f t="shared" si="14"/>
        <v>0</v>
      </c>
      <c r="T49" s="55">
        <f t="shared" si="15"/>
        <v>0</v>
      </c>
    </row>
    <row r="50" spans="1:21" s="37" customFormat="1" ht="56.25">
      <c r="A50" s="93" t="s">
        <v>200</v>
      </c>
      <c r="B50" s="93" t="s">
        <v>201</v>
      </c>
      <c r="C50" s="93" t="s">
        <v>16</v>
      </c>
      <c r="D50" s="19" t="s">
        <v>202</v>
      </c>
      <c r="E50" s="53">
        <f t="shared" si="98"/>
        <v>840063.6</v>
      </c>
      <c r="F50" s="101">
        <v>840063.6</v>
      </c>
      <c r="G50" s="92"/>
      <c r="H50" s="55"/>
      <c r="I50" s="53">
        <f t="shared" si="26"/>
        <v>1006501.24</v>
      </c>
      <c r="J50" s="53">
        <v>1006501.24</v>
      </c>
      <c r="K50" s="55"/>
      <c r="L50" s="55"/>
      <c r="M50" s="54">
        <f t="shared" si="22"/>
        <v>1.198125046722653</v>
      </c>
      <c r="N50" s="54">
        <f t="shared" si="23"/>
        <v>1.198125046722653</v>
      </c>
      <c r="O50" s="54" t="str">
        <f t="shared" si="30"/>
        <v/>
      </c>
      <c r="P50" s="54" t="str">
        <f t="shared" si="11"/>
        <v/>
      </c>
      <c r="Q50" s="55">
        <f t="shared" si="12"/>
        <v>166437.64000000001</v>
      </c>
      <c r="R50" s="55">
        <f t="shared" si="13"/>
        <v>166437.64000000001</v>
      </c>
      <c r="S50" s="55">
        <f t="shared" si="14"/>
        <v>0</v>
      </c>
      <c r="T50" s="55">
        <f t="shared" si="15"/>
        <v>0</v>
      </c>
    </row>
    <row r="51" spans="1:21" s="81" customFormat="1" ht="131.25">
      <c r="A51" s="83" t="s">
        <v>335</v>
      </c>
      <c r="B51" s="84">
        <v>1154</v>
      </c>
      <c r="C51" s="83" t="s">
        <v>16</v>
      </c>
      <c r="D51" s="82" t="s">
        <v>336</v>
      </c>
      <c r="E51" s="53">
        <f t="shared" ref="E51" si="99">F51+G51</f>
        <v>245454.99</v>
      </c>
      <c r="F51" s="101">
        <v>245454.99</v>
      </c>
      <c r="G51" s="92"/>
      <c r="H51" s="55"/>
      <c r="I51" s="53">
        <f t="shared" ref="I51" si="100">J51+K51</f>
        <v>0</v>
      </c>
      <c r="J51" s="53"/>
      <c r="K51" s="55"/>
      <c r="L51" s="55"/>
      <c r="M51" s="54">
        <f t="shared" ref="M51" si="101">IFERROR((I51/E51),"")</f>
        <v>0</v>
      </c>
      <c r="N51" s="54">
        <f t="shared" ref="N51" si="102">IFERROR((J51/F51),"")</f>
        <v>0</v>
      </c>
      <c r="O51" s="54" t="str">
        <f t="shared" ref="O51" si="103">IFERROR((K51/G51),"")</f>
        <v/>
      </c>
      <c r="P51" s="54" t="str">
        <f t="shared" ref="P51" si="104">IFERROR((L51/H51),"")</f>
        <v/>
      </c>
      <c r="Q51" s="55">
        <f t="shared" ref="Q51" si="105">I51-E51</f>
        <v>-245454.99</v>
      </c>
      <c r="R51" s="55">
        <f t="shared" ref="R51" si="106">J51-F51</f>
        <v>-245454.99</v>
      </c>
      <c r="S51" s="55">
        <f t="shared" ref="S51" si="107">K51-G51</f>
        <v>0</v>
      </c>
      <c r="T51" s="55">
        <f t="shared" ref="T51" si="108">L51-H51</f>
        <v>0</v>
      </c>
    </row>
    <row r="52" spans="1:21" s="37" customFormat="1" ht="56.25">
      <c r="A52" s="87" t="s">
        <v>279</v>
      </c>
      <c r="B52" s="87">
        <v>1160</v>
      </c>
      <c r="C52" s="86" t="s">
        <v>16</v>
      </c>
      <c r="D52" s="88" t="s">
        <v>240</v>
      </c>
      <c r="E52" s="53">
        <f t="shared" ref="E52" si="109">F52+G52</f>
        <v>1891175.87</v>
      </c>
      <c r="F52" s="101">
        <v>1891175.87</v>
      </c>
      <c r="G52" s="92"/>
      <c r="H52" s="55"/>
      <c r="I52" s="53">
        <f t="shared" si="26"/>
        <v>2230972.88</v>
      </c>
      <c r="J52" s="53">
        <v>2230972.88</v>
      </c>
      <c r="K52" s="55"/>
      <c r="L52" s="55"/>
      <c r="M52" s="54">
        <f t="shared" si="22"/>
        <v>1.1796749923633489</v>
      </c>
      <c r="N52" s="54">
        <f t="shared" si="23"/>
        <v>1.1796749923633489</v>
      </c>
      <c r="O52" s="54" t="str">
        <f t="shared" si="30"/>
        <v/>
      </c>
      <c r="P52" s="54" t="str">
        <f t="shared" si="11"/>
        <v/>
      </c>
      <c r="Q52" s="55">
        <f t="shared" si="12"/>
        <v>339797.00999999978</v>
      </c>
      <c r="R52" s="55">
        <f t="shared" si="13"/>
        <v>339797.00999999978</v>
      </c>
      <c r="S52" s="55">
        <f t="shared" si="14"/>
        <v>0</v>
      </c>
      <c r="T52" s="55">
        <f t="shared" si="15"/>
        <v>0</v>
      </c>
    </row>
    <row r="53" spans="1:21" s="98" customFormat="1" ht="131.25">
      <c r="A53" s="102" t="s">
        <v>358</v>
      </c>
      <c r="B53" s="102" t="s">
        <v>359</v>
      </c>
      <c r="C53" s="102" t="s">
        <v>16</v>
      </c>
      <c r="D53" s="107" t="s">
        <v>360</v>
      </c>
      <c r="E53" s="53">
        <f t="shared" ref="E53" si="110">F53+G53</f>
        <v>0</v>
      </c>
      <c r="F53" s="101"/>
      <c r="G53" s="92"/>
      <c r="H53" s="55"/>
      <c r="I53" s="53">
        <f t="shared" ref="I53" si="111">J53+K53</f>
        <v>1275000</v>
      </c>
      <c r="J53" s="53"/>
      <c r="K53" s="55">
        <v>1275000</v>
      </c>
      <c r="L53" s="55">
        <v>1275000</v>
      </c>
      <c r="M53" s="54" t="str">
        <f t="shared" ref="M53" si="112">IFERROR((I53/E53),"")</f>
        <v/>
      </c>
      <c r="N53" s="54" t="str">
        <f t="shared" ref="N53" si="113">IFERROR((J53/F53),"")</f>
        <v/>
      </c>
      <c r="O53" s="54" t="str">
        <f t="shared" ref="O53" si="114">IFERROR((K53/G53),"")</f>
        <v/>
      </c>
      <c r="P53" s="54" t="str">
        <f t="shared" ref="P53" si="115">IFERROR((L53/H53),"")</f>
        <v/>
      </c>
      <c r="Q53" s="55">
        <f t="shared" ref="Q53" si="116">I53-E53</f>
        <v>1275000</v>
      </c>
      <c r="R53" s="55">
        <f t="shared" ref="R53" si="117">J53-F53</f>
        <v>0</v>
      </c>
      <c r="S53" s="55">
        <f t="shared" ref="S53" si="118">K53-G53</f>
        <v>1275000</v>
      </c>
      <c r="T53" s="55">
        <f t="shared" ref="T53" si="119">L53-H53</f>
        <v>1275000</v>
      </c>
    </row>
    <row r="54" spans="1:21" s="98" customFormat="1" ht="103.5" customHeight="1">
      <c r="A54" s="102" t="s">
        <v>361</v>
      </c>
      <c r="B54" s="102" t="s">
        <v>362</v>
      </c>
      <c r="C54" s="102" t="s">
        <v>16</v>
      </c>
      <c r="D54" s="107" t="s">
        <v>363</v>
      </c>
      <c r="E54" s="53">
        <f t="shared" ref="E54" si="120">F54+G54</f>
        <v>0</v>
      </c>
      <c r="F54" s="101"/>
      <c r="G54" s="92"/>
      <c r="H54" s="55"/>
      <c r="I54" s="53">
        <f t="shared" ref="I54" si="121">J54+K54</f>
        <v>1530000</v>
      </c>
      <c r="J54" s="53"/>
      <c r="K54" s="55">
        <v>1530000</v>
      </c>
      <c r="L54" s="55">
        <v>1530000</v>
      </c>
      <c r="M54" s="54" t="str">
        <f t="shared" ref="M54" si="122">IFERROR((I54/E54),"")</f>
        <v/>
      </c>
      <c r="N54" s="54" t="str">
        <f t="shared" ref="N54" si="123">IFERROR((J54/F54),"")</f>
        <v/>
      </c>
      <c r="O54" s="54" t="str">
        <f t="shared" ref="O54" si="124">IFERROR((K54/G54),"")</f>
        <v/>
      </c>
      <c r="P54" s="54" t="str">
        <f t="shared" ref="P54" si="125">IFERROR((L54/H54),"")</f>
        <v/>
      </c>
      <c r="Q54" s="55">
        <f t="shared" ref="Q54" si="126">I54-E54</f>
        <v>1530000</v>
      </c>
      <c r="R54" s="55">
        <f t="shared" ref="R54" si="127">J54-F54</f>
        <v>0</v>
      </c>
      <c r="S54" s="55">
        <f t="shared" ref="S54" si="128">K54-G54</f>
        <v>1530000</v>
      </c>
      <c r="T54" s="55">
        <f t="shared" ref="T54" si="129">L54-H54</f>
        <v>1530000</v>
      </c>
    </row>
    <row r="55" spans="1:21" s="37" customFormat="1" ht="93.75" customHeight="1">
      <c r="A55" s="93" t="s">
        <v>218</v>
      </c>
      <c r="B55" s="93" t="s">
        <v>219</v>
      </c>
      <c r="C55" s="93" t="s">
        <v>16</v>
      </c>
      <c r="D55" s="22" t="s">
        <v>220</v>
      </c>
      <c r="E55" s="53">
        <f t="shared" si="98"/>
        <v>0</v>
      </c>
      <c r="F55" s="101"/>
      <c r="G55" s="53"/>
      <c r="H55" s="53"/>
      <c r="I55" s="53">
        <f t="shared" si="26"/>
        <v>198162.83</v>
      </c>
      <c r="J55" s="53">
        <v>198162.83</v>
      </c>
      <c r="K55" s="53"/>
      <c r="L55" s="53"/>
      <c r="M55" s="54" t="str">
        <f t="shared" si="22"/>
        <v/>
      </c>
      <c r="N55" s="54" t="str">
        <f t="shared" si="23"/>
        <v/>
      </c>
      <c r="O55" s="54" t="str">
        <f t="shared" si="30"/>
        <v/>
      </c>
      <c r="P55" s="54" t="str">
        <f t="shared" si="11"/>
        <v/>
      </c>
      <c r="Q55" s="55">
        <f t="shared" si="12"/>
        <v>198162.83</v>
      </c>
      <c r="R55" s="55">
        <f t="shared" si="13"/>
        <v>198162.83</v>
      </c>
      <c r="S55" s="55">
        <f t="shared" si="14"/>
        <v>0</v>
      </c>
      <c r="T55" s="55">
        <f t="shared" si="15"/>
        <v>0</v>
      </c>
    </row>
    <row r="56" spans="1:21" s="76" customFormat="1" ht="93.75" customHeight="1">
      <c r="A56" s="79" t="s">
        <v>329</v>
      </c>
      <c r="B56" s="79" t="s">
        <v>330</v>
      </c>
      <c r="C56" s="79" t="s">
        <v>16</v>
      </c>
      <c r="D56" s="78" t="s">
        <v>331</v>
      </c>
      <c r="E56" s="53">
        <f t="shared" ref="E56" si="130">F56+G56</f>
        <v>94848.34</v>
      </c>
      <c r="F56" s="101">
        <v>94848.34</v>
      </c>
      <c r="G56" s="53"/>
      <c r="H56" s="53"/>
      <c r="I56" s="53">
        <f t="shared" ref="I56" si="131">J56+K56</f>
        <v>0</v>
      </c>
      <c r="J56" s="53"/>
      <c r="K56" s="53"/>
      <c r="L56" s="53"/>
      <c r="M56" s="54">
        <f t="shared" ref="M56" si="132">IFERROR((I56/E56),"")</f>
        <v>0</v>
      </c>
      <c r="N56" s="54">
        <f t="shared" ref="N56" si="133">IFERROR((J56/F56),"")</f>
        <v>0</v>
      </c>
      <c r="O56" s="54" t="str">
        <f t="shared" ref="O56" si="134">IFERROR((K56/G56),"")</f>
        <v/>
      </c>
      <c r="P56" s="54" t="str">
        <f t="shared" ref="P56" si="135">IFERROR((L56/H56),"")</f>
        <v/>
      </c>
      <c r="Q56" s="55">
        <f t="shared" ref="Q56" si="136">I56-E56</f>
        <v>-94848.34</v>
      </c>
      <c r="R56" s="55">
        <f t="shared" ref="R56" si="137">J56-F56</f>
        <v>-94848.34</v>
      </c>
      <c r="S56" s="55">
        <f t="shared" ref="S56" si="138">K56-G56</f>
        <v>0</v>
      </c>
      <c r="T56" s="55">
        <f t="shared" ref="T56" si="139">L56-H56</f>
        <v>0</v>
      </c>
    </row>
    <row r="57" spans="1:21" s="37" customFormat="1" ht="69.75" customHeight="1">
      <c r="A57" s="63" t="s">
        <v>298</v>
      </c>
      <c r="B57" s="63" t="s">
        <v>299</v>
      </c>
      <c r="C57" s="63" t="s">
        <v>16</v>
      </c>
      <c r="D57" s="108" t="s">
        <v>300</v>
      </c>
      <c r="E57" s="53">
        <f t="shared" ref="E57" si="140">F57+G57</f>
        <v>0</v>
      </c>
      <c r="F57" s="53"/>
      <c r="G57" s="55"/>
      <c r="H57" s="53"/>
      <c r="I57" s="53">
        <f t="shared" ref="I57" si="141">J57+K57</f>
        <v>6597205.5300000003</v>
      </c>
      <c r="J57" s="53"/>
      <c r="K57" s="53">
        <v>6597205.5300000003</v>
      </c>
      <c r="L57" s="53"/>
      <c r="M57" s="54" t="str">
        <f t="shared" ref="M57" si="142">IFERROR((I57/E57),"")</f>
        <v/>
      </c>
      <c r="N57" s="54" t="str">
        <f t="shared" ref="N57" si="143">IFERROR((J57/F57),"")</f>
        <v/>
      </c>
      <c r="O57" s="54" t="str">
        <f t="shared" ref="O57" si="144">IFERROR((K57/G57),"")</f>
        <v/>
      </c>
      <c r="P57" s="54" t="str">
        <f t="shared" ref="P57" si="145">IFERROR((L57/H57),"")</f>
        <v/>
      </c>
      <c r="Q57" s="55">
        <f t="shared" ref="Q57" si="146">I57-E57</f>
        <v>6597205.5300000003</v>
      </c>
      <c r="R57" s="55">
        <f t="shared" ref="R57" si="147">J57-F57</f>
        <v>0</v>
      </c>
      <c r="S57" s="55">
        <f t="shared" ref="S57" si="148">K57-G57</f>
        <v>6597205.5300000003</v>
      </c>
      <c r="T57" s="55">
        <f t="shared" ref="T57" si="149">L57-H57</f>
        <v>0</v>
      </c>
    </row>
    <row r="58" spans="1:21" s="37" customFormat="1" ht="72.75" customHeight="1">
      <c r="A58" s="63" t="s">
        <v>309</v>
      </c>
      <c r="B58" s="103" t="s">
        <v>310</v>
      </c>
      <c r="C58" s="103" t="s">
        <v>16</v>
      </c>
      <c r="D58" s="109" t="s">
        <v>311</v>
      </c>
      <c r="E58" s="53">
        <f t="shared" ref="E58" si="150">F58+G58</f>
        <v>0</v>
      </c>
      <c r="F58" s="53"/>
      <c r="G58" s="55"/>
      <c r="H58" s="53"/>
      <c r="I58" s="53">
        <f t="shared" ref="I58:I63" si="151">J58+K58</f>
        <v>6921053.5999999996</v>
      </c>
      <c r="J58" s="53">
        <v>6921053.5999999996</v>
      </c>
      <c r="K58" s="53"/>
      <c r="L58" s="53"/>
      <c r="M58" s="54" t="str">
        <f t="shared" ref="M58" si="152">IFERROR((I58/E58),"")</f>
        <v/>
      </c>
      <c r="N58" s="54" t="str">
        <f t="shared" ref="N58" si="153">IFERROR((J58/F58),"")</f>
        <v/>
      </c>
      <c r="O58" s="54" t="str">
        <f t="shared" ref="O58" si="154">IFERROR((K58/G58),"")</f>
        <v/>
      </c>
      <c r="P58" s="54" t="str">
        <f t="shared" ref="P58" si="155">IFERROR((L58/H58),"")</f>
        <v/>
      </c>
      <c r="Q58" s="55">
        <f t="shared" ref="Q58" si="156">I58-E58</f>
        <v>6921053.5999999996</v>
      </c>
      <c r="R58" s="55">
        <f t="shared" ref="R58" si="157">J58-F58</f>
        <v>6921053.5999999996</v>
      </c>
      <c r="S58" s="55">
        <f t="shared" ref="S58" si="158">K58-G58</f>
        <v>0</v>
      </c>
      <c r="T58" s="55">
        <f t="shared" ref="T58" si="159">L58-H58</f>
        <v>0</v>
      </c>
    </row>
    <row r="59" spans="1:21" s="77" customFormat="1" ht="72.75" customHeight="1">
      <c r="A59" s="86" t="s">
        <v>332</v>
      </c>
      <c r="B59" s="86" t="s">
        <v>333</v>
      </c>
      <c r="C59" s="86" t="s">
        <v>17</v>
      </c>
      <c r="D59" s="88" t="s">
        <v>334</v>
      </c>
      <c r="E59" s="53">
        <f t="shared" ref="E59" si="160">F59+G59</f>
        <v>1164942</v>
      </c>
      <c r="F59" s="101">
        <v>1164942</v>
      </c>
      <c r="G59" s="101"/>
      <c r="H59" s="53"/>
      <c r="I59" s="53">
        <f t="shared" si="151"/>
        <v>2123582.04</v>
      </c>
      <c r="J59" s="53">
        <v>2123582.04</v>
      </c>
      <c r="K59" s="53"/>
      <c r="L59" s="53"/>
      <c r="M59" s="54">
        <f t="shared" ref="M59" si="161">IFERROR((I59/E59),"")</f>
        <v>1.82290795593257</v>
      </c>
      <c r="N59" s="54">
        <f t="shared" ref="N59" si="162">IFERROR((J59/F59),"")</f>
        <v>1.82290795593257</v>
      </c>
      <c r="O59" s="54" t="str">
        <f t="shared" ref="O59" si="163">IFERROR((K59/G59),"")</f>
        <v/>
      </c>
      <c r="P59" s="54" t="str">
        <f t="shared" ref="P59" si="164">IFERROR((L59/H59),"")</f>
        <v/>
      </c>
      <c r="Q59" s="55">
        <f t="shared" ref="Q59" si="165">I59-E59</f>
        <v>958640.04</v>
      </c>
      <c r="R59" s="55">
        <f t="shared" ref="R59" si="166">J59-F59</f>
        <v>958640.04</v>
      </c>
      <c r="S59" s="55">
        <f t="shared" ref="S59" si="167">K59-G59</f>
        <v>0</v>
      </c>
      <c r="T59" s="55">
        <f t="shared" ref="T59" si="168">L59-H59</f>
        <v>0</v>
      </c>
    </row>
    <row r="60" spans="1:21" s="37" customFormat="1" ht="45.6" customHeight="1">
      <c r="A60" s="93" t="s">
        <v>145</v>
      </c>
      <c r="B60" s="93" t="s">
        <v>142</v>
      </c>
      <c r="C60" s="93" t="s">
        <v>4</v>
      </c>
      <c r="D60" s="19" t="s">
        <v>143</v>
      </c>
      <c r="E60" s="53">
        <f t="shared" si="98"/>
        <v>1156719.1399999999</v>
      </c>
      <c r="F60" s="101">
        <v>1156719.1399999999</v>
      </c>
      <c r="G60" s="101"/>
      <c r="H60" s="101"/>
      <c r="I60" s="53">
        <f t="shared" si="151"/>
        <v>1976809.12</v>
      </c>
      <c r="J60" s="53">
        <v>1976809.12</v>
      </c>
      <c r="K60" s="53"/>
      <c r="L60" s="53"/>
      <c r="M60" s="54">
        <f t="shared" si="22"/>
        <v>1.708979346533507</v>
      </c>
      <c r="N60" s="54">
        <f t="shared" si="23"/>
        <v>1.708979346533507</v>
      </c>
      <c r="O60" s="54" t="str">
        <f t="shared" si="30"/>
        <v/>
      </c>
      <c r="P60" s="54" t="str">
        <f t="shared" si="11"/>
        <v/>
      </c>
      <c r="Q60" s="55">
        <f t="shared" si="12"/>
        <v>820089.98000000021</v>
      </c>
      <c r="R60" s="55">
        <f t="shared" si="13"/>
        <v>820089.98000000021</v>
      </c>
      <c r="S60" s="55">
        <f t="shared" si="14"/>
        <v>0</v>
      </c>
      <c r="T60" s="55">
        <f t="shared" si="15"/>
        <v>0</v>
      </c>
    </row>
    <row r="61" spans="1:21" s="37" customFormat="1" ht="56.25">
      <c r="A61" s="93" t="s">
        <v>69</v>
      </c>
      <c r="B61" s="93" t="s">
        <v>47</v>
      </c>
      <c r="C61" s="93" t="s">
        <v>18</v>
      </c>
      <c r="D61" s="36" t="s">
        <v>19</v>
      </c>
      <c r="E61" s="53">
        <f t="shared" si="98"/>
        <v>4861690.78</v>
      </c>
      <c r="F61" s="101">
        <v>4856650.78</v>
      </c>
      <c r="G61" s="92">
        <v>5040</v>
      </c>
      <c r="H61" s="92"/>
      <c r="I61" s="53">
        <f t="shared" si="151"/>
        <v>5720710.0099999998</v>
      </c>
      <c r="J61" s="53">
        <v>5366450.01</v>
      </c>
      <c r="K61" s="55">
        <f>49990+304270</f>
        <v>354260</v>
      </c>
      <c r="L61" s="55">
        <v>304270</v>
      </c>
      <c r="M61" s="54">
        <f t="shared" si="22"/>
        <v>1.1766914575344505</v>
      </c>
      <c r="N61" s="54">
        <f t="shared" si="23"/>
        <v>1.1049692994397262</v>
      </c>
      <c r="O61" s="54" t="s">
        <v>374</v>
      </c>
      <c r="P61" s="54" t="str">
        <f t="shared" si="11"/>
        <v/>
      </c>
      <c r="Q61" s="55">
        <f t="shared" si="12"/>
        <v>859019.22999999952</v>
      </c>
      <c r="R61" s="55">
        <f t="shared" si="13"/>
        <v>509799.22999999952</v>
      </c>
      <c r="S61" s="55">
        <f t="shared" si="14"/>
        <v>349220</v>
      </c>
      <c r="T61" s="55">
        <f t="shared" si="15"/>
        <v>304270</v>
      </c>
    </row>
    <row r="62" spans="1:21" s="37" customFormat="1" ht="33.75" customHeight="1">
      <c r="A62" s="59" t="s">
        <v>301</v>
      </c>
      <c r="B62" s="60">
        <v>7520</v>
      </c>
      <c r="C62" s="59" t="s">
        <v>296</v>
      </c>
      <c r="D62" s="106" t="s">
        <v>297</v>
      </c>
      <c r="E62" s="53">
        <f t="shared" ref="E62" si="169">F62+G62</f>
        <v>0</v>
      </c>
      <c r="F62" s="101"/>
      <c r="G62" s="92"/>
      <c r="H62" s="55"/>
      <c r="I62" s="53">
        <f t="shared" si="151"/>
        <v>207576</v>
      </c>
      <c r="J62" s="53">
        <v>207576</v>
      </c>
      <c r="K62" s="55"/>
      <c r="L62" s="55"/>
      <c r="M62" s="54" t="str">
        <f t="shared" ref="M62" si="170">IFERROR((I62/E62),"")</f>
        <v/>
      </c>
      <c r="N62" s="54" t="str">
        <f t="shared" ref="N62" si="171">IFERROR((J62/F62),"")</f>
        <v/>
      </c>
      <c r="O62" s="54" t="str">
        <f t="shared" ref="O62" si="172">IFERROR((K62/G62),"")</f>
        <v/>
      </c>
      <c r="P62" s="54" t="str">
        <f t="shared" ref="P62" si="173">IFERROR((L62/H62),"")</f>
        <v/>
      </c>
      <c r="Q62" s="55">
        <f t="shared" ref="Q62:Q63" si="174">I62-E62</f>
        <v>207576</v>
      </c>
      <c r="R62" s="55">
        <f t="shared" ref="R62" si="175">J62-F62</f>
        <v>207576</v>
      </c>
      <c r="S62" s="55">
        <f t="shared" ref="S62" si="176">K62-G62</f>
        <v>0</v>
      </c>
      <c r="T62" s="55">
        <f t="shared" ref="T62" si="177">L62-H62</f>
        <v>0</v>
      </c>
    </row>
    <row r="63" spans="1:21" s="37" customFormat="1" ht="68.25" customHeight="1">
      <c r="A63" s="87" t="s">
        <v>282</v>
      </c>
      <c r="B63" s="86">
        <v>8110</v>
      </c>
      <c r="C63" s="87" t="s">
        <v>5</v>
      </c>
      <c r="D63" s="88" t="s">
        <v>131</v>
      </c>
      <c r="E63" s="53">
        <f t="shared" si="98"/>
        <v>8208</v>
      </c>
      <c r="F63" s="53">
        <v>8208</v>
      </c>
      <c r="G63" s="55"/>
      <c r="H63" s="55"/>
      <c r="I63" s="53">
        <f t="shared" si="151"/>
        <v>2545395.15</v>
      </c>
      <c r="J63" s="53"/>
      <c r="K63" s="55">
        <v>2545395.15</v>
      </c>
      <c r="L63" s="55">
        <v>2545395.15</v>
      </c>
      <c r="M63" s="54" t="s">
        <v>375</v>
      </c>
      <c r="N63" s="54">
        <f t="shared" si="23"/>
        <v>0</v>
      </c>
      <c r="O63" s="54" t="str">
        <f t="shared" si="30"/>
        <v/>
      </c>
      <c r="P63" s="54" t="str">
        <f t="shared" si="11"/>
        <v/>
      </c>
      <c r="Q63" s="55">
        <f t="shared" si="174"/>
        <v>2537187.15</v>
      </c>
      <c r="R63" s="55">
        <f t="shared" si="13"/>
        <v>-8208</v>
      </c>
      <c r="S63" s="55">
        <f t="shared" si="14"/>
        <v>2545395.15</v>
      </c>
      <c r="T63" s="55">
        <f t="shared" si="15"/>
        <v>2545395.15</v>
      </c>
    </row>
    <row r="64" spans="1:21" s="28" customFormat="1" ht="56.25">
      <c r="A64" s="23" t="s">
        <v>70</v>
      </c>
      <c r="B64" s="23"/>
      <c r="C64" s="23"/>
      <c r="D64" s="10" t="s">
        <v>205</v>
      </c>
      <c r="E64" s="52">
        <f t="shared" ref="E64:L64" si="178">E65</f>
        <v>39262053.270000003</v>
      </c>
      <c r="F64" s="52">
        <f t="shared" si="178"/>
        <v>38552557.090000004</v>
      </c>
      <c r="G64" s="52">
        <f t="shared" si="178"/>
        <v>709496.17999999993</v>
      </c>
      <c r="H64" s="52">
        <f t="shared" si="178"/>
        <v>0</v>
      </c>
      <c r="I64" s="52">
        <f t="shared" si="178"/>
        <v>50022737.820000008</v>
      </c>
      <c r="J64" s="52">
        <f t="shared" si="178"/>
        <v>49755920.63000001</v>
      </c>
      <c r="K64" s="52">
        <f t="shared" si="178"/>
        <v>266817.19</v>
      </c>
      <c r="L64" s="52">
        <f t="shared" si="178"/>
        <v>134796.19</v>
      </c>
      <c r="M64" s="50">
        <f t="shared" si="22"/>
        <v>1.2740734030388117</v>
      </c>
      <c r="N64" s="50">
        <f t="shared" si="23"/>
        <v>1.2905997522770287</v>
      </c>
      <c r="O64" s="50">
        <f t="shared" si="30"/>
        <v>0.37606571750675249</v>
      </c>
      <c r="P64" s="50" t="str">
        <f t="shared" si="11"/>
        <v/>
      </c>
      <c r="Q64" s="51">
        <f t="shared" si="12"/>
        <v>10760684.550000004</v>
      </c>
      <c r="R64" s="51">
        <f t="shared" si="13"/>
        <v>11203363.540000007</v>
      </c>
      <c r="S64" s="51">
        <f t="shared" si="14"/>
        <v>-442678.98999999993</v>
      </c>
      <c r="T64" s="51">
        <f t="shared" si="15"/>
        <v>134796.19</v>
      </c>
      <c r="U64" s="67"/>
    </row>
    <row r="65" spans="1:20" s="28" customFormat="1" ht="56.25">
      <c r="A65" s="23" t="s">
        <v>71</v>
      </c>
      <c r="B65" s="23"/>
      <c r="C65" s="23"/>
      <c r="D65" s="10" t="s">
        <v>205</v>
      </c>
      <c r="E65" s="52">
        <f t="shared" ref="E65:E74" si="179">F65+G65</f>
        <v>39262053.270000003</v>
      </c>
      <c r="F65" s="52">
        <f>F66+F67+F68+F69+F71+F72+F73+F74+F75+F76+F77+F80+F70+F78+F81+F79</f>
        <v>38552557.090000004</v>
      </c>
      <c r="G65" s="52">
        <f t="shared" ref="G65:H65" si="180">G66+G67+G68+G69+G71+G72+G73+G74+G75+G76+G77+G80+G70+G78+G81+G79</f>
        <v>709496.17999999993</v>
      </c>
      <c r="H65" s="52">
        <f t="shared" si="180"/>
        <v>0</v>
      </c>
      <c r="I65" s="52">
        <f t="shared" ref="I65" si="181">J65+K65</f>
        <v>50022737.820000008</v>
      </c>
      <c r="J65" s="52">
        <f>J66+J67+J68+J69+J71+J72+J73+J74+J75+J76+J77+J80+J70+J78+J81+J79</f>
        <v>49755920.63000001</v>
      </c>
      <c r="K65" s="52">
        <f t="shared" ref="K65:L65" si="182">K66+K67+K68+K69+K71+K72+K73+K74+K75+K76+K77+K80+K70+K78+K81+K79</f>
        <v>266817.19</v>
      </c>
      <c r="L65" s="52">
        <f t="shared" si="182"/>
        <v>134796.19</v>
      </c>
      <c r="M65" s="50">
        <f t="shared" si="22"/>
        <v>1.2740734030388117</v>
      </c>
      <c r="N65" s="50">
        <f t="shared" si="23"/>
        <v>1.2905997522770287</v>
      </c>
      <c r="O65" s="50">
        <f t="shared" si="30"/>
        <v>0.37606571750675249</v>
      </c>
      <c r="P65" s="50" t="str">
        <f t="shared" si="11"/>
        <v/>
      </c>
      <c r="Q65" s="51">
        <f t="shared" si="12"/>
        <v>10760684.550000004</v>
      </c>
      <c r="R65" s="51">
        <f t="shared" si="13"/>
        <v>11203363.540000007</v>
      </c>
      <c r="S65" s="51">
        <f t="shared" si="14"/>
        <v>-442678.98999999993</v>
      </c>
      <c r="T65" s="51">
        <f t="shared" si="15"/>
        <v>134796.19</v>
      </c>
    </row>
    <row r="66" spans="1:20" s="37" customFormat="1" ht="56.25">
      <c r="A66" s="93" t="s">
        <v>72</v>
      </c>
      <c r="B66" s="93" t="s">
        <v>58</v>
      </c>
      <c r="C66" s="93" t="s">
        <v>3</v>
      </c>
      <c r="D66" s="22" t="s">
        <v>227</v>
      </c>
      <c r="E66" s="53">
        <f t="shared" si="179"/>
        <v>7710517.9000000004</v>
      </c>
      <c r="F66" s="101">
        <v>7710517.9000000004</v>
      </c>
      <c r="G66" s="53"/>
      <c r="H66" s="53"/>
      <c r="I66" s="53">
        <f t="shared" si="26"/>
        <v>10718436.24</v>
      </c>
      <c r="J66" s="53">
        <v>10718436.24</v>
      </c>
      <c r="K66" s="53"/>
      <c r="L66" s="53"/>
      <c r="M66" s="54">
        <f t="shared" si="22"/>
        <v>1.390105876026823</v>
      </c>
      <c r="N66" s="54">
        <f t="shared" si="23"/>
        <v>1.390105876026823</v>
      </c>
      <c r="O66" s="54" t="str">
        <f t="shared" si="30"/>
        <v/>
      </c>
      <c r="P66" s="54" t="str">
        <f t="shared" si="11"/>
        <v/>
      </c>
      <c r="Q66" s="55">
        <f t="shared" si="12"/>
        <v>3007918.34</v>
      </c>
      <c r="R66" s="55">
        <f t="shared" si="13"/>
        <v>3007918.34</v>
      </c>
      <c r="S66" s="55">
        <f t="shared" si="14"/>
        <v>0</v>
      </c>
      <c r="T66" s="55">
        <f t="shared" si="15"/>
        <v>0</v>
      </c>
    </row>
    <row r="67" spans="1:20" s="37" customFormat="1" ht="37.5">
      <c r="A67" s="93" t="s">
        <v>159</v>
      </c>
      <c r="B67" s="93" t="s">
        <v>8</v>
      </c>
      <c r="C67" s="93" t="s">
        <v>6</v>
      </c>
      <c r="D67" s="12" t="s">
        <v>106</v>
      </c>
      <c r="E67" s="53">
        <f t="shared" si="179"/>
        <v>94505</v>
      </c>
      <c r="F67" s="101">
        <v>94505</v>
      </c>
      <c r="G67" s="53"/>
      <c r="H67" s="53"/>
      <c r="I67" s="53">
        <f t="shared" si="26"/>
        <v>19140</v>
      </c>
      <c r="J67" s="53">
        <v>19140</v>
      </c>
      <c r="K67" s="53"/>
      <c r="L67" s="53"/>
      <c r="M67" s="54">
        <f t="shared" si="22"/>
        <v>0.20252896672133749</v>
      </c>
      <c r="N67" s="54">
        <f t="shared" si="23"/>
        <v>0.20252896672133749</v>
      </c>
      <c r="O67" s="54" t="str">
        <f t="shared" si="30"/>
        <v/>
      </c>
      <c r="P67" s="54" t="str">
        <f t="shared" si="11"/>
        <v/>
      </c>
      <c r="Q67" s="55">
        <f t="shared" si="12"/>
        <v>-75365</v>
      </c>
      <c r="R67" s="55">
        <f t="shared" si="13"/>
        <v>-75365</v>
      </c>
      <c r="S67" s="55">
        <f t="shared" si="14"/>
        <v>0</v>
      </c>
      <c r="T67" s="55">
        <f t="shared" si="15"/>
        <v>0</v>
      </c>
    </row>
    <row r="68" spans="1:20" s="37" customFormat="1" ht="37.5">
      <c r="A68" s="93" t="s">
        <v>111</v>
      </c>
      <c r="B68" s="93" t="s">
        <v>31</v>
      </c>
      <c r="C68" s="93" t="s">
        <v>13</v>
      </c>
      <c r="D68" s="36" t="s">
        <v>110</v>
      </c>
      <c r="E68" s="53">
        <f t="shared" si="179"/>
        <v>250000</v>
      </c>
      <c r="F68" s="101">
        <v>250000</v>
      </c>
      <c r="G68" s="53"/>
      <c r="H68" s="53"/>
      <c r="I68" s="53">
        <f t="shared" si="26"/>
        <v>352424.67</v>
      </c>
      <c r="J68" s="53">
        <v>352424.67</v>
      </c>
      <c r="K68" s="53"/>
      <c r="L68" s="53"/>
      <c r="M68" s="54">
        <f t="shared" ref="M68" si="183">IFERROR((I68/E68),"")</f>
        <v>1.40969868</v>
      </c>
      <c r="N68" s="54">
        <f t="shared" ref="N68" si="184">IFERROR((J68/F68),"")</f>
        <v>1.40969868</v>
      </c>
      <c r="O68" s="54" t="str">
        <f t="shared" si="30"/>
        <v/>
      </c>
      <c r="P68" s="54" t="str">
        <f t="shared" si="11"/>
        <v/>
      </c>
      <c r="Q68" s="55">
        <f t="shared" si="12"/>
        <v>102424.66999999998</v>
      </c>
      <c r="R68" s="55">
        <f t="shared" si="13"/>
        <v>102424.66999999998</v>
      </c>
      <c r="S68" s="55">
        <f t="shared" si="14"/>
        <v>0</v>
      </c>
      <c r="T68" s="55">
        <f t="shared" si="15"/>
        <v>0</v>
      </c>
    </row>
    <row r="69" spans="1:20" s="37" customFormat="1" ht="37.5">
      <c r="A69" s="93" t="s">
        <v>112</v>
      </c>
      <c r="B69" s="93" t="s">
        <v>113</v>
      </c>
      <c r="C69" s="93" t="s">
        <v>32</v>
      </c>
      <c r="D69" s="36" t="s">
        <v>33</v>
      </c>
      <c r="E69" s="53">
        <f t="shared" si="179"/>
        <v>2307.4</v>
      </c>
      <c r="F69" s="101">
        <v>2307.4</v>
      </c>
      <c r="G69" s="53"/>
      <c r="H69" s="53"/>
      <c r="I69" s="53">
        <f t="shared" si="26"/>
        <v>2168.71</v>
      </c>
      <c r="J69" s="53">
        <v>2168.71</v>
      </c>
      <c r="K69" s="53"/>
      <c r="L69" s="53"/>
      <c r="M69" s="54">
        <f t="shared" si="22"/>
        <v>0.93989338649562271</v>
      </c>
      <c r="N69" s="54">
        <f t="shared" si="23"/>
        <v>0.93989338649562271</v>
      </c>
      <c r="O69" s="54" t="str">
        <f t="shared" si="30"/>
        <v/>
      </c>
      <c r="P69" s="54" t="str">
        <f t="shared" si="11"/>
        <v/>
      </c>
      <c r="Q69" s="55">
        <f t="shared" si="12"/>
        <v>-138.69000000000005</v>
      </c>
      <c r="R69" s="55">
        <f t="shared" si="13"/>
        <v>-138.69000000000005</v>
      </c>
      <c r="S69" s="55">
        <f t="shared" si="14"/>
        <v>0</v>
      </c>
      <c r="T69" s="55">
        <f t="shared" si="15"/>
        <v>0</v>
      </c>
    </row>
    <row r="70" spans="1:20" s="37" customFormat="1" ht="56.25">
      <c r="A70" s="93" t="s">
        <v>166</v>
      </c>
      <c r="B70" s="93" t="s">
        <v>164</v>
      </c>
      <c r="C70" s="93" t="s">
        <v>32</v>
      </c>
      <c r="D70" s="13" t="s">
        <v>165</v>
      </c>
      <c r="E70" s="53">
        <f t="shared" si="179"/>
        <v>115526.86</v>
      </c>
      <c r="F70" s="101">
        <v>115526.86</v>
      </c>
      <c r="G70" s="101"/>
      <c r="H70" s="101"/>
      <c r="I70" s="53">
        <f t="shared" ref="I70:I146" si="185">J70+K70</f>
        <v>191511.64</v>
      </c>
      <c r="J70" s="53">
        <v>191511.64</v>
      </c>
      <c r="K70" s="53"/>
      <c r="L70" s="53"/>
      <c r="M70" s="54">
        <f t="shared" si="22"/>
        <v>1.657723926712801</v>
      </c>
      <c r="N70" s="54">
        <f t="shared" si="23"/>
        <v>1.657723926712801</v>
      </c>
      <c r="O70" s="54" t="str">
        <f t="shared" si="30"/>
        <v/>
      </c>
      <c r="P70" s="54" t="str">
        <f t="shared" si="11"/>
        <v/>
      </c>
      <c r="Q70" s="55">
        <f t="shared" si="12"/>
        <v>75984.780000000013</v>
      </c>
      <c r="R70" s="55">
        <f t="shared" si="13"/>
        <v>75984.780000000013</v>
      </c>
      <c r="S70" s="55">
        <f t="shared" si="14"/>
        <v>0</v>
      </c>
      <c r="T70" s="55">
        <f t="shared" si="15"/>
        <v>0</v>
      </c>
    </row>
    <row r="71" spans="1:20" s="37" customFormat="1" ht="37.5">
      <c r="A71" s="93" t="s">
        <v>167</v>
      </c>
      <c r="B71" s="93" t="s">
        <v>168</v>
      </c>
      <c r="C71" s="93" t="s">
        <v>13</v>
      </c>
      <c r="D71" s="36" t="s">
        <v>169</v>
      </c>
      <c r="E71" s="53">
        <f t="shared" si="179"/>
        <v>35322</v>
      </c>
      <c r="F71" s="92">
        <v>35322</v>
      </c>
      <c r="G71" s="92"/>
      <c r="H71" s="92"/>
      <c r="I71" s="53">
        <f t="shared" si="185"/>
        <v>24050</v>
      </c>
      <c r="J71" s="55">
        <v>24050</v>
      </c>
      <c r="K71" s="55"/>
      <c r="L71" s="55"/>
      <c r="M71" s="54">
        <f t="shared" si="22"/>
        <v>0.6808787724364419</v>
      </c>
      <c r="N71" s="54">
        <f t="shared" si="23"/>
        <v>0.6808787724364419</v>
      </c>
      <c r="O71" s="54" t="str">
        <f t="shared" si="30"/>
        <v/>
      </c>
      <c r="P71" s="54" t="str">
        <f t="shared" si="11"/>
        <v/>
      </c>
      <c r="Q71" s="55">
        <f t="shared" si="12"/>
        <v>-11272</v>
      </c>
      <c r="R71" s="55">
        <f t="shared" si="13"/>
        <v>-11272</v>
      </c>
      <c r="S71" s="55">
        <f t="shared" si="14"/>
        <v>0</v>
      </c>
      <c r="T71" s="55">
        <f t="shared" si="15"/>
        <v>0</v>
      </c>
    </row>
    <row r="72" spans="1:20" s="37" customFormat="1" ht="75">
      <c r="A72" s="93" t="s">
        <v>121</v>
      </c>
      <c r="B72" s="93" t="s">
        <v>120</v>
      </c>
      <c r="C72" s="93" t="s">
        <v>11</v>
      </c>
      <c r="D72" s="36" t="s">
        <v>132</v>
      </c>
      <c r="E72" s="53">
        <f t="shared" si="179"/>
        <v>7623965.6799999997</v>
      </c>
      <c r="F72" s="101">
        <v>7600965.6799999997</v>
      </c>
      <c r="G72" s="101">
        <v>23000</v>
      </c>
      <c r="H72" s="101"/>
      <c r="I72" s="53">
        <f t="shared" si="185"/>
        <v>8165326.96</v>
      </c>
      <c r="J72" s="53">
        <v>8093330.96</v>
      </c>
      <c r="K72" s="53">
        <f>71996</f>
        <v>71996</v>
      </c>
      <c r="L72" s="53"/>
      <c r="M72" s="54">
        <f t="shared" si="22"/>
        <v>1.0710078327634864</v>
      </c>
      <c r="N72" s="54">
        <f t="shared" si="23"/>
        <v>1.0647766745343337</v>
      </c>
      <c r="O72" s="54" t="s">
        <v>376</v>
      </c>
      <c r="P72" s="54" t="str">
        <f t="shared" si="11"/>
        <v/>
      </c>
      <c r="Q72" s="55">
        <f t="shared" si="12"/>
        <v>541361.28000000026</v>
      </c>
      <c r="R72" s="55">
        <f t="shared" si="13"/>
        <v>492365.28000000026</v>
      </c>
      <c r="S72" s="55">
        <f t="shared" si="14"/>
        <v>48996</v>
      </c>
      <c r="T72" s="55">
        <f t="shared" si="15"/>
        <v>0</v>
      </c>
    </row>
    <row r="73" spans="1:20" s="37" customFormat="1" ht="56.25">
      <c r="A73" s="93" t="s">
        <v>74</v>
      </c>
      <c r="B73" s="93" t="s">
        <v>73</v>
      </c>
      <c r="C73" s="93" t="s">
        <v>17</v>
      </c>
      <c r="D73" s="36" t="s">
        <v>75</v>
      </c>
      <c r="E73" s="53">
        <f t="shared" si="179"/>
        <v>3771154.73</v>
      </c>
      <c r="F73" s="101">
        <v>3749187.73</v>
      </c>
      <c r="G73" s="101">
        <v>21967</v>
      </c>
      <c r="H73" s="101"/>
      <c r="I73" s="53">
        <f t="shared" si="185"/>
        <v>5228967.7</v>
      </c>
      <c r="J73" s="53">
        <v>5094171.51</v>
      </c>
      <c r="K73" s="53">
        <v>134796.19</v>
      </c>
      <c r="L73" s="53">
        <v>134796.19</v>
      </c>
      <c r="M73" s="54">
        <f t="shared" si="22"/>
        <v>1.3865693864011781</v>
      </c>
      <c r="N73" s="54">
        <f t="shared" si="23"/>
        <v>1.3587400463406509</v>
      </c>
      <c r="O73" s="54" t="s">
        <v>372</v>
      </c>
      <c r="P73" s="54"/>
      <c r="Q73" s="55">
        <f t="shared" si="12"/>
        <v>1457812.9700000002</v>
      </c>
      <c r="R73" s="55">
        <f t="shared" si="13"/>
        <v>1344983.7799999998</v>
      </c>
      <c r="S73" s="55">
        <f t="shared" si="14"/>
        <v>112829.19</v>
      </c>
      <c r="T73" s="55">
        <f t="shared" si="15"/>
        <v>134796.19</v>
      </c>
    </row>
    <row r="74" spans="1:20" s="37" customFormat="1" ht="112.5">
      <c r="A74" s="93" t="s">
        <v>133</v>
      </c>
      <c r="B74" s="93" t="s">
        <v>134</v>
      </c>
      <c r="C74" s="93" t="s">
        <v>9</v>
      </c>
      <c r="D74" s="36" t="s">
        <v>135</v>
      </c>
      <c r="E74" s="53">
        <f t="shared" si="179"/>
        <v>1332489.82</v>
      </c>
      <c r="F74" s="101">
        <v>1332489.82</v>
      </c>
      <c r="G74" s="101"/>
      <c r="H74" s="53"/>
      <c r="I74" s="53">
        <f t="shared" si="185"/>
        <v>1185940.33</v>
      </c>
      <c r="J74" s="53">
        <v>1185940.33</v>
      </c>
      <c r="K74" s="53"/>
      <c r="L74" s="53"/>
      <c r="M74" s="54">
        <f t="shared" si="22"/>
        <v>0.89001830422989647</v>
      </c>
      <c r="N74" s="54">
        <f t="shared" si="23"/>
        <v>0.89001830422989647</v>
      </c>
      <c r="O74" s="54" t="str">
        <f t="shared" si="30"/>
        <v/>
      </c>
      <c r="P74" s="54" t="str">
        <f t="shared" si="11"/>
        <v/>
      </c>
      <c r="Q74" s="55">
        <f t="shared" si="12"/>
        <v>-146549.49</v>
      </c>
      <c r="R74" s="55">
        <f t="shared" si="13"/>
        <v>-146549.49</v>
      </c>
      <c r="S74" s="55">
        <f t="shared" si="14"/>
        <v>0</v>
      </c>
      <c r="T74" s="55">
        <f t="shared" si="15"/>
        <v>0</v>
      </c>
    </row>
    <row r="75" spans="1:20" s="37" customFormat="1" ht="75">
      <c r="A75" s="93" t="s">
        <v>170</v>
      </c>
      <c r="B75" s="93" t="s">
        <v>171</v>
      </c>
      <c r="C75" s="93" t="s">
        <v>9</v>
      </c>
      <c r="D75" s="36" t="s">
        <v>172</v>
      </c>
      <c r="E75" s="53">
        <f t="shared" ref="E75:E80" si="186">F75+G75</f>
        <v>13804.81</v>
      </c>
      <c r="F75" s="101">
        <v>13804.81</v>
      </c>
      <c r="G75" s="101"/>
      <c r="H75" s="53"/>
      <c r="I75" s="53">
        <f t="shared" si="185"/>
        <v>5426.28</v>
      </c>
      <c r="J75" s="53">
        <v>5426.28</v>
      </c>
      <c r="K75" s="53"/>
      <c r="L75" s="53"/>
      <c r="M75" s="54">
        <f t="shared" si="22"/>
        <v>0.39307169022970978</v>
      </c>
      <c r="N75" s="54">
        <f t="shared" si="23"/>
        <v>0.39307169022970978</v>
      </c>
      <c r="O75" s="54" t="str">
        <f t="shared" si="30"/>
        <v/>
      </c>
      <c r="P75" s="54" t="str">
        <f t="shared" si="11"/>
        <v/>
      </c>
      <c r="Q75" s="55">
        <f t="shared" si="12"/>
        <v>-8378.5299999999988</v>
      </c>
      <c r="R75" s="55">
        <f t="shared" si="13"/>
        <v>-8378.5299999999988</v>
      </c>
      <c r="S75" s="55">
        <f t="shared" si="14"/>
        <v>0</v>
      </c>
      <c r="T75" s="55">
        <f t="shared" si="15"/>
        <v>0</v>
      </c>
    </row>
    <row r="76" spans="1:20" s="37" customFormat="1" ht="110.45" customHeight="1">
      <c r="A76" s="93" t="s">
        <v>136</v>
      </c>
      <c r="B76" s="93" t="s">
        <v>137</v>
      </c>
      <c r="C76" s="93" t="s">
        <v>27</v>
      </c>
      <c r="D76" s="36" t="s">
        <v>138</v>
      </c>
      <c r="E76" s="53">
        <f t="shared" si="186"/>
        <v>624323.99</v>
      </c>
      <c r="F76" s="101">
        <v>624323.99</v>
      </c>
      <c r="G76" s="53"/>
      <c r="H76" s="53"/>
      <c r="I76" s="53">
        <f t="shared" si="185"/>
        <v>389372.41</v>
      </c>
      <c r="J76" s="53">
        <v>389372.41</v>
      </c>
      <c r="K76" s="53"/>
      <c r="L76" s="53"/>
      <c r="M76" s="54">
        <f t="shared" si="22"/>
        <v>0.62367042791355809</v>
      </c>
      <c r="N76" s="54">
        <f t="shared" si="23"/>
        <v>0.62367042791355809</v>
      </c>
      <c r="O76" s="54" t="str">
        <f t="shared" si="30"/>
        <v/>
      </c>
      <c r="P76" s="54" t="str">
        <f t="shared" si="11"/>
        <v/>
      </c>
      <c r="Q76" s="55">
        <f t="shared" si="12"/>
        <v>-234951.58000000002</v>
      </c>
      <c r="R76" s="55">
        <f t="shared" si="13"/>
        <v>-234951.58000000002</v>
      </c>
      <c r="S76" s="55">
        <f t="shared" si="14"/>
        <v>0</v>
      </c>
      <c r="T76" s="55">
        <f t="shared" si="15"/>
        <v>0</v>
      </c>
    </row>
    <row r="77" spans="1:20" s="37" customFormat="1" ht="75">
      <c r="A77" s="93" t="s">
        <v>139</v>
      </c>
      <c r="B77" s="93" t="s">
        <v>140</v>
      </c>
      <c r="C77" s="93" t="s">
        <v>13</v>
      </c>
      <c r="D77" s="36" t="s">
        <v>141</v>
      </c>
      <c r="E77" s="53">
        <f t="shared" si="186"/>
        <v>23288.23</v>
      </c>
      <c r="F77" s="101">
        <v>23288.23</v>
      </c>
      <c r="G77" s="53"/>
      <c r="H77" s="53"/>
      <c r="I77" s="53">
        <f t="shared" si="185"/>
        <v>24004.91</v>
      </c>
      <c r="J77" s="53">
        <v>24004.91</v>
      </c>
      <c r="K77" s="53"/>
      <c r="L77" s="53"/>
      <c r="M77" s="54">
        <f t="shared" ref="M77:M138" si="187">IFERROR((I77/E77),"")</f>
        <v>1.0307743439497119</v>
      </c>
      <c r="N77" s="54">
        <f t="shared" ref="N77:N138" si="188">IFERROR((J77/F77),"")</f>
        <v>1.0307743439497119</v>
      </c>
      <c r="O77" s="54" t="str">
        <f t="shared" ref="O77:P138" si="189">IFERROR((K77/G77),"")</f>
        <v/>
      </c>
      <c r="P77" s="54" t="str">
        <f t="shared" ref="P77:P138" si="190">IFERROR((L77/H77),"")</f>
        <v/>
      </c>
      <c r="Q77" s="55">
        <f t="shared" ref="Q77:Q139" si="191">I77-E77</f>
        <v>716.68000000000029</v>
      </c>
      <c r="R77" s="55">
        <f t="shared" ref="R77:R139" si="192">J77-F77</f>
        <v>716.68000000000029</v>
      </c>
      <c r="S77" s="55">
        <f t="shared" ref="S77:S139" si="193">K77-G77</f>
        <v>0</v>
      </c>
      <c r="T77" s="55">
        <f t="shared" ref="T77:T139" si="194">L77-H77</f>
        <v>0</v>
      </c>
    </row>
    <row r="78" spans="1:20" s="37" customFormat="1" ht="108" customHeight="1">
      <c r="A78" s="93" t="s">
        <v>302</v>
      </c>
      <c r="B78" s="93" t="s">
        <v>303</v>
      </c>
      <c r="C78" s="93" t="s">
        <v>13</v>
      </c>
      <c r="D78" s="110" t="s">
        <v>304</v>
      </c>
      <c r="E78" s="53">
        <f t="shared" ref="E78" si="195">F78+G78</f>
        <v>0</v>
      </c>
      <c r="F78" s="53"/>
      <c r="G78" s="53"/>
      <c r="H78" s="53"/>
      <c r="I78" s="53">
        <f t="shared" ref="I78" si="196">J78+K78</f>
        <v>237436.09</v>
      </c>
      <c r="J78" s="53">
        <v>237436.09</v>
      </c>
      <c r="K78" s="53"/>
      <c r="L78" s="53"/>
      <c r="M78" s="54" t="str">
        <f t="shared" ref="M78" si="197">IFERROR((I78/E78),"")</f>
        <v/>
      </c>
      <c r="N78" s="54" t="str">
        <f t="shared" ref="N78" si="198">IFERROR((J78/F78),"")</f>
        <v/>
      </c>
      <c r="O78" s="54" t="str">
        <f t="shared" ref="O78" si="199">IFERROR((K78/G78),"")</f>
        <v/>
      </c>
      <c r="P78" s="54" t="str">
        <f t="shared" ref="P78" si="200">IFERROR((L78/H78),"")</f>
        <v/>
      </c>
      <c r="Q78" s="55">
        <f t="shared" ref="Q78" si="201">I78-E78</f>
        <v>237436.09</v>
      </c>
      <c r="R78" s="55">
        <f t="shared" ref="R78" si="202">J78-F78</f>
        <v>237436.09</v>
      </c>
      <c r="S78" s="55">
        <f t="shared" ref="S78" si="203">K78-G78</f>
        <v>0</v>
      </c>
      <c r="T78" s="55">
        <f t="shared" ref="T78" si="204">L78-H78</f>
        <v>0</v>
      </c>
    </row>
    <row r="79" spans="1:20" s="85" customFormat="1" ht="108" customHeight="1">
      <c r="A79" s="87" t="s">
        <v>337</v>
      </c>
      <c r="B79" s="86">
        <v>3230</v>
      </c>
      <c r="C79" s="86">
        <v>1070</v>
      </c>
      <c r="D79" s="88" t="s">
        <v>338</v>
      </c>
      <c r="E79" s="53">
        <f t="shared" ref="E79" si="205">F79+G79</f>
        <v>692095.5</v>
      </c>
      <c r="F79" s="101">
        <v>122680</v>
      </c>
      <c r="G79" s="101">
        <v>569415.5</v>
      </c>
      <c r="H79" s="53"/>
      <c r="I79" s="53">
        <f t="shared" ref="I79" si="206">J79+K79</f>
        <v>12.5</v>
      </c>
      <c r="J79" s="53"/>
      <c r="K79" s="53">
        <v>12.5</v>
      </c>
      <c r="L79" s="53"/>
      <c r="M79" s="54"/>
      <c r="N79" s="54">
        <f t="shared" ref="N79" si="207">IFERROR((J79/F79),"")</f>
        <v>0</v>
      </c>
      <c r="O79" s="54"/>
      <c r="P79" s="54" t="str">
        <f t="shared" ref="P79" si="208">IFERROR((L79/H79),"")</f>
        <v/>
      </c>
      <c r="Q79" s="55">
        <f t="shared" ref="Q79" si="209">I79-E79</f>
        <v>-692083</v>
      </c>
      <c r="R79" s="55">
        <f t="shared" ref="R79" si="210">J79-F79</f>
        <v>-122680</v>
      </c>
      <c r="S79" s="55">
        <f t="shared" ref="S79" si="211">K79-G79</f>
        <v>-569403</v>
      </c>
      <c r="T79" s="55">
        <f t="shared" ref="T79" si="212">L79-H79</f>
        <v>0</v>
      </c>
    </row>
    <row r="80" spans="1:20" s="37" customFormat="1" ht="37.5">
      <c r="A80" s="93" t="s">
        <v>146</v>
      </c>
      <c r="B80" s="93" t="s">
        <v>142</v>
      </c>
      <c r="C80" s="93" t="s">
        <v>4</v>
      </c>
      <c r="D80" s="36" t="s">
        <v>143</v>
      </c>
      <c r="E80" s="53">
        <f t="shared" si="186"/>
        <v>16972751.350000001</v>
      </c>
      <c r="F80" s="101">
        <v>16877637.670000002</v>
      </c>
      <c r="G80" s="101">
        <v>95113.68</v>
      </c>
      <c r="H80" s="53"/>
      <c r="I80" s="53">
        <f t="shared" si="185"/>
        <v>23319345.380000003</v>
      </c>
      <c r="J80" s="53">
        <f>23081679.51+177653.37</f>
        <v>23259332.880000003</v>
      </c>
      <c r="K80" s="53">
        <v>60012.5</v>
      </c>
      <c r="L80" s="53"/>
      <c r="M80" s="54">
        <f t="shared" si="187"/>
        <v>1.373928416149218</v>
      </c>
      <c r="N80" s="54">
        <f t="shared" si="188"/>
        <v>1.3781154291126574</v>
      </c>
      <c r="O80" s="54">
        <f t="shared" si="189"/>
        <v>0.63095550503355569</v>
      </c>
      <c r="P80" s="54" t="str">
        <f t="shared" si="190"/>
        <v/>
      </c>
      <c r="Q80" s="55">
        <f t="shared" si="191"/>
        <v>6346594.0300000012</v>
      </c>
      <c r="R80" s="55">
        <f t="shared" si="192"/>
        <v>6381695.2100000009</v>
      </c>
      <c r="S80" s="55">
        <f t="shared" si="193"/>
        <v>-35101.179999999993</v>
      </c>
      <c r="T80" s="55">
        <f t="shared" si="194"/>
        <v>0</v>
      </c>
    </row>
    <row r="81" spans="1:20" s="37" customFormat="1" ht="37.5">
      <c r="A81" s="64" t="s">
        <v>305</v>
      </c>
      <c r="B81" s="64">
        <v>7520</v>
      </c>
      <c r="C81" s="64" t="s">
        <v>296</v>
      </c>
      <c r="D81" s="111" t="s">
        <v>297</v>
      </c>
      <c r="E81" s="53">
        <f t="shared" ref="E81" si="213">F81+G81</f>
        <v>0</v>
      </c>
      <c r="F81" s="53"/>
      <c r="G81" s="53"/>
      <c r="H81" s="53"/>
      <c r="I81" s="53">
        <f t="shared" ref="I81" si="214">J81+K81</f>
        <v>159174</v>
      </c>
      <c r="J81" s="53">
        <f>27616+121672+9886</f>
        <v>159174</v>
      </c>
      <c r="K81" s="53"/>
      <c r="L81" s="53"/>
      <c r="M81" s="54" t="str">
        <f t="shared" ref="M81" si="215">IFERROR((I81/E81),"")</f>
        <v/>
      </c>
      <c r="N81" s="54" t="str">
        <f t="shared" ref="N81" si="216">IFERROR((J81/F81),"")</f>
        <v/>
      </c>
      <c r="O81" s="54" t="str">
        <f t="shared" ref="O81" si="217">IFERROR((K81/G81),"")</f>
        <v/>
      </c>
      <c r="P81" s="54" t="str">
        <f t="shared" ref="P81" si="218">IFERROR((L81/H81),"")</f>
        <v/>
      </c>
      <c r="Q81" s="55">
        <f t="shared" ref="Q81" si="219">I81-E81</f>
        <v>159174</v>
      </c>
      <c r="R81" s="55">
        <f t="shared" ref="R81" si="220">J81-F81</f>
        <v>159174</v>
      </c>
      <c r="S81" s="55">
        <f t="shared" ref="S81" si="221">K81-G81</f>
        <v>0</v>
      </c>
      <c r="T81" s="55">
        <f t="shared" ref="T81" si="222">L81-H81</f>
        <v>0</v>
      </c>
    </row>
    <row r="82" spans="1:20" s="28" customFormat="1" ht="56.25">
      <c r="A82" s="25" t="s">
        <v>267</v>
      </c>
      <c r="B82" s="34" t="s">
        <v>268</v>
      </c>
      <c r="C82" s="34" t="s">
        <v>268</v>
      </c>
      <c r="D82" s="18" t="s">
        <v>269</v>
      </c>
      <c r="E82" s="52">
        <f t="shared" ref="E82:L82" si="223">E83</f>
        <v>1103369.54</v>
      </c>
      <c r="F82" s="52">
        <f t="shared" si="223"/>
        <v>1103369.54</v>
      </c>
      <c r="G82" s="52">
        <f t="shared" si="223"/>
        <v>0</v>
      </c>
      <c r="H82" s="52">
        <f t="shared" si="223"/>
        <v>0</v>
      </c>
      <c r="I82" s="52">
        <f>J82+K82</f>
        <v>1748771.73</v>
      </c>
      <c r="J82" s="52">
        <f t="shared" si="223"/>
        <v>1748771.73</v>
      </c>
      <c r="K82" s="52">
        <f t="shared" si="223"/>
        <v>0</v>
      </c>
      <c r="L82" s="52">
        <f t="shared" si="223"/>
        <v>0</v>
      </c>
      <c r="M82" s="50">
        <f t="shared" ref="M82:M83" si="224">I82/E82</f>
        <v>1.5849374725352667</v>
      </c>
      <c r="N82" s="50">
        <f t="shared" ref="N82:N83" si="225">J82/F82</f>
        <v>1.5849374725352667</v>
      </c>
      <c r="O82" s="50" t="str">
        <f t="shared" si="189"/>
        <v/>
      </c>
      <c r="P82" s="50" t="str">
        <f t="shared" si="189"/>
        <v/>
      </c>
      <c r="Q82" s="51">
        <f t="shared" si="191"/>
        <v>645402.18999999994</v>
      </c>
      <c r="R82" s="51">
        <f t="shared" si="192"/>
        <v>645402.18999999994</v>
      </c>
      <c r="S82" s="51">
        <f t="shared" si="193"/>
        <v>0</v>
      </c>
      <c r="T82" s="51">
        <f t="shared" si="194"/>
        <v>0</v>
      </c>
    </row>
    <row r="83" spans="1:20" s="28" customFormat="1" ht="56.25">
      <c r="A83" s="25" t="s">
        <v>270</v>
      </c>
      <c r="B83" s="34" t="s">
        <v>268</v>
      </c>
      <c r="C83" s="34" t="s">
        <v>268</v>
      </c>
      <c r="D83" s="18" t="s">
        <v>269</v>
      </c>
      <c r="E83" s="52">
        <f t="shared" ref="E83:E86" si="226">F83+G83</f>
        <v>1103369.54</v>
      </c>
      <c r="F83" s="52">
        <f>F84+F85+F86</f>
        <v>1103369.54</v>
      </c>
      <c r="G83" s="52">
        <f t="shared" ref="G83:H83" si="227">G84+G85+G86</f>
        <v>0</v>
      </c>
      <c r="H83" s="52">
        <f t="shared" si="227"/>
        <v>0</v>
      </c>
      <c r="I83" s="52">
        <f t="shared" ref="I83:I86" si="228">J83+K83</f>
        <v>1748771.73</v>
      </c>
      <c r="J83" s="52">
        <f>J84+J85+J86</f>
        <v>1748771.73</v>
      </c>
      <c r="K83" s="52">
        <f t="shared" ref="K83:L83" si="229">K84+K85+K86</f>
        <v>0</v>
      </c>
      <c r="L83" s="52">
        <f t="shared" si="229"/>
        <v>0</v>
      </c>
      <c r="M83" s="50">
        <f t="shared" si="224"/>
        <v>1.5849374725352667</v>
      </c>
      <c r="N83" s="50">
        <f t="shared" si="225"/>
        <v>1.5849374725352667</v>
      </c>
      <c r="O83" s="50" t="str">
        <f t="shared" si="189"/>
        <v/>
      </c>
      <c r="P83" s="50" t="str">
        <f t="shared" si="189"/>
        <v/>
      </c>
      <c r="Q83" s="51">
        <f t="shared" si="191"/>
        <v>645402.18999999994</v>
      </c>
      <c r="R83" s="51">
        <f t="shared" si="192"/>
        <v>645402.18999999994</v>
      </c>
      <c r="S83" s="51">
        <f t="shared" si="193"/>
        <v>0</v>
      </c>
      <c r="T83" s="51">
        <f t="shared" si="194"/>
        <v>0</v>
      </c>
    </row>
    <row r="84" spans="1:20" s="37" customFormat="1" ht="56.25">
      <c r="A84" s="87" t="s">
        <v>271</v>
      </c>
      <c r="B84" s="86" t="s">
        <v>58</v>
      </c>
      <c r="C84" s="86" t="s">
        <v>3</v>
      </c>
      <c r="D84" s="88" t="s">
        <v>227</v>
      </c>
      <c r="E84" s="53">
        <f t="shared" si="226"/>
        <v>1035997.54</v>
      </c>
      <c r="F84" s="101">
        <v>1035997.54</v>
      </c>
      <c r="G84" s="53"/>
      <c r="H84" s="53"/>
      <c r="I84" s="53">
        <f t="shared" si="228"/>
        <v>1545291.73</v>
      </c>
      <c r="J84" s="53">
        <v>1545291.73</v>
      </c>
      <c r="K84" s="53"/>
      <c r="L84" s="53"/>
      <c r="M84" s="54">
        <f>I84/E84</f>
        <v>1.4915978758019057</v>
      </c>
      <c r="N84" s="54">
        <f>J84/F84</f>
        <v>1.4915978758019057</v>
      </c>
      <c r="O84" s="54" t="str">
        <f t="shared" si="189"/>
        <v/>
      </c>
      <c r="P84" s="54" t="str">
        <f t="shared" si="190"/>
        <v/>
      </c>
      <c r="Q84" s="55">
        <f t="shared" si="191"/>
        <v>509294.18999999994</v>
      </c>
      <c r="R84" s="55">
        <f t="shared" si="192"/>
        <v>509294.18999999994</v>
      </c>
      <c r="S84" s="55">
        <f t="shared" si="193"/>
        <v>0</v>
      </c>
      <c r="T84" s="55">
        <f t="shared" si="194"/>
        <v>0</v>
      </c>
    </row>
    <row r="85" spans="1:20" s="37" customFormat="1" ht="37.5">
      <c r="A85" s="87" t="s">
        <v>272</v>
      </c>
      <c r="B85" s="86" t="s">
        <v>34</v>
      </c>
      <c r="C85" s="86" t="s">
        <v>17</v>
      </c>
      <c r="D85" s="88" t="s">
        <v>43</v>
      </c>
      <c r="E85" s="53">
        <f t="shared" si="226"/>
        <v>67372</v>
      </c>
      <c r="F85" s="101">
        <v>67372</v>
      </c>
      <c r="G85" s="53"/>
      <c r="H85" s="53"/>
      <c r="I85" s="53">
        <f t="shared" si="228"/>
        <v>114080</v>
      </c>
      <c r="J85" s="53">
        <v>114080</v>
      </c>
      <c r="K85" s="53"/>
      <c r="L85" s="53"/>
      <c r="M85" s="54">
        <f>I85/E85</f>
        <v>1.6932850442320251</v>
      </c>
      <c r="N85" s="54">
        <f>J85/F85</f>
        <v>1.6932850442320251</v>
      </c>
      <c r="O85" s="54" t="str">
        <f t="shared" si="189"/>
        <v/>
      </c>
      <c r="P85" s="54" t="str">
        <f t="shared" si="190"/>
        <v/>
      </c>
      <c r="Q85" s="55">
        <f t="shared" si="191"/>
        <v>46708</v>
      </c>
      <c r="R85" s="55">
        <f t="shared" si="192"/>
        <v>46708</v>
      </c>
      <c r="S85" s="55">
        <f t="shared" si="193"/>
        <v>0</v>
      </c>
      <c r="T85" s="55">
        <f t="shared" si="194"/>
        <v>0</v>
      </c>
    </row>
    <row r="86" spans="1:20" s="37" customFormat="1" ht="39.75" customHeight="1">
      <c r="A86" s="103" t="s">
        <v>312</v>
      </c>
      <c r="B86" s="103" t="s">
        <v>313</v>
      </c>
      <c r="C86" s="103" t="s">
        <v>296</v>
      </c>
      <c r="D86" s="109" t="s">
        <v>297</v>
      </c>
      <c r="E86" s="53">
        <f t="shared" si="226"/>
        <v>0</v>
      </c>
      <c r="F86" s="101"/>
      <c r="G86" s="53"/>
      <c r="H86" s="53"/>
      <c r="I86" s="53">
        <f t="shared" si="228"/>
        <v>89400</v>
      </c>
      <c r="J86" s="53">
        <v>89400</v>
      </c>
      <c r="K86" s="53"/>
      <c r="L86" s="53"/>
      <c r="M86" s="54"/>
      <c r="N86" s="54"/>
      <c r="O86" s="54" t="str">
        <f t="shared" ref="O86" si="230">IFERROR((K86/G86),"")</f>
        <v/>
      </c>
      <c r="P86" s="54" t="str">
        <f t="shared" ref="P86" si="231">IFERROR((L86/H86),"")</f>
        <v/>
      </c>
      <c r="Q86" s="55">
        <f t="shared" ref="Q86" si="232">I86-E86</f>
        <v>89400</v>
      </c>
      <c r="R86" s="55">
        <f t="shared" ref="R86" si="233">J86-F86</f>
        <v>89400</v>
      </c>
      <c r="S86" s="55">
        <f t="shared" ref="S86" si="234">K86-G86</f>
        <v>0</v>
      </c>
      <c r="T86" s="55">
        <f t="shared" ref="T86" si="235">L86-H86</f>
        <v>0</v>
      </c>
    </row>
    <row r="87" spans="1:20" s="28" customFormat="1" ht="56.25">
      <c r="A87" s="23" t="s">
        <v>76</v>
      </c>
      <c r="B87" s="23"/>
      <c r="C87" s="23"/>
      <c r="D87" s="10" t="s">
        <v>206</v>
      </c>
      <c r="E87" s="52">
        <f t="shared" ref="E87:L87" si="236">E88</f>
        <v>27529882.68</v>
      </c>
      <c r="F87" s="52">
        <f t="shared" si="236"/>
        <v>27076149.359999999</v>
      </c>
      <c r="G87" s="52">
        <f t="shared" si="236"/>
        <v>453733.31999999995</v>
      </c>
      <c r="H87" s="52">
        <f t="shared" si="236"/>
        <v>0</v>
      </c>
      <c r="I87" s="52">
        <f t="shared" si="236"/>
        <v>29293461.739999998</v>
      </c>
      <c r="J87" s="52">
        <f t="shared" si="236"/>
        <v>28564143.399999999</v>
      </c>
      <c r="K87" s="52">
        <f t="shared" si="236"/>
        <v>729318.34</v>
      </c>
      <c r="L87" s="52">
        <f t="shared" si="236"/>
        <v>230000</v>
      </c>
      <c r="M87" s="50">
        <f t="shared" si="187"/>
        <v>1.0640605367083968</v>
      </c>
      <c r="N87" s="50">
        <f t="shared" si="188"/>
        <v>1.0549558956931384</v>
      </c>
      <c r="O87" s="50">
        <f t="shared" si="189"/>
        <v>1.6073722335401774</v>
      </c>
      <c r="P87" s="50" t="str">
        <f t="shared" si="190"/>
        <v/>
      </c>
      <c r="Q87" s="51">
        <f t="shared" si="191"/>
        <v>1763579.0599999987</v>
      </c>
      <c r="R87" s="51">
        <f t="shared" si="192"/>
        <v>1487994.0399999991</v>
      </c>
      <c r="S87" s="51">
        <f t="shared" si="193"/>
        <v>275585.02</v>
      </c>
      <c r="T87" s="51">
        <f t="shared" si="194"/>
        <v>230000</v>
      </c>
    </row>
    <row r="88" spans="1:20" s="28" customFormat="1" ht="56.25">
      <c r="A88" s="23" t="s">
        <v>77</v>
      </c>
      <c r="B88" s="23"/>
      <c r="C88" s="23"/>
      <c r="D88" s="10" t="s">
        <v>206</v>
      </c>
      <c r="E88" s="52">
        <f t="shared" ref="E88:E97" si="237">F88+G88</f>
        <v>27529882.68</v>
      </c>
      <c r="F88" s="52">
        <f>F89+F91+F93+F94+F95+F96+F97+F90+F98+F92</f>
        <v>27076149.359999999</v>
      </c>
      <c r="G88" s="52">
        <f t="shared" ref="G88:H88" si="238">G89+G91+G93+G94+G95+G96+G97+G90+G98+G92</f>
        <v>453733.31999999995</v>
      </c>
      <c r="H88" s="52">
        <f t="shared" si="238"/>
        <v>0</v>
      </c>
      <c r="I88" s="52">
        <f t="shared" si="185"/>
        <v>29293461.739999998</v>
      </c>
      <c r="J88" s="52">
        <f>J89+J91+J93+J94+J95+J96+J97+J90+J98+J92</f>
        <v>28564143.399999999</v>
      </c>
      <c r="K88" s="52">
        <f t="shared" ref="K88:L88" si="239">K89+K91+K93+K94+K95+K96+K97+K90+K98+K92</f>
        <v>729318.34</v>
      </c>
      <c r="L88" s="52">
        <f t="shared" si="239"/>
        <v>230000</v>
      </c>
      <c r="M88" s="50">
        <f t="shared" si="187"/>
        <v>1.0640605367083968</v>
      </c>
      <c r="N88" s="50">
        <f t="shared" si="188"/>
        <v>1.0549558956931384</v>
      </c>
      <c r="O88" s="50">
        <f t="shared" si="189"/>
        <v>1.6073722335401774</v>
      </c>
      <c r="P88" s="50" t="str">
        <f t="shared" si="190"/>
        <v/>
      </c>
      <c r="Q88" s="51">
        <f t="shared" si="191"/>
        <v>1763579.0599999987</v>
      </c>
      <c r="R88" s="51">
        <f t="shared" si="192"/>
        <v>1487994.0399999991</v>
      </c>
      <c r="S88" s="51">
        <f t="shared" si="193"/>
        <v>275585.02</v>
      </c>
      <c r="T88" s="51">
        <f t="shared" si="194"/>
        <v>230000</v>
      </c>
    </row>
    <row r="89" spans="1:20" s="37" customFormat="1" ht="56.25">
      <c r="A89" s="93" t="s">
        <v>78</v>
      </c>
      <c r="B89" s="93" t="s">
        <v>58</v>
      </c>
      <c r="C89" s="93" t="s">
        <v>3</v>
      </c>
      <c r="D89" s="22" t="s">
        <v>227</v>
      </c>
      <c r="E89" s="53">
        <f t="shared" si="237"/>
        <v>519555.81</v>
      </c>
      <c r="F89" s="101">
        <v>519555.81</v>
      </c>
      <c r="G89" s="101"/>
      <c r="H89" s="53"/>
      <c r="I89" s="53">
        <f t="shared" si="185"/>
        <v>640077.57999999996</v>
      </c>
      <c r="J89" s="53">
        <v>640077.57999999996</v>
      </c>
      <c r="K89" s="53"/>
      <c r="L89" s="53"/>
      <c r="M89" s="54">
        <f t="shared" si="187"/>
        <v>1.2319707867380021</v>
      </c>
      <c r="N89" s="54">
        <f t="shared" si="188"/>
        <v>1.2319707867380021</v>
      </c>
      <c r="O89" s="54" t="str">
        <f t="shared" si="189"/>
        <v/>
      </c>
      <c r="P89" s="54" t="str">
        <f t="shared" si="190"/>
        <v/>
      </c>
      <c r="Q89" s="55">
        <f t="shared" si="191"/>
        <v>120521.76999999996</v>
      </c>
      <c r="R89" s="55">
        <f t="shared" si="192"/>
        <v>120521.76999999996</v>
      </c>
      <c r="S89" s="55">
        <f t="shared" si="193"/>
        <v>0</v>
      </c>
      <c r="T89" s="55">
        <f t="shared" si="194"/>
        <v>0</v>
      </c>
    </row>
    <row r="90" spans="1:20" s="37" customFormat="1" ht="37.5">
      <c r="A90" s="86" t="s">
        <v>249</v>
      </c>
      <c r="B90" s="86" t="s">
        <v>8</v>
      </c>
      <c r="C90" s="86" t="s">
        <v>6</v>
      </c>
      <c r="D90" s="88" t="s">
        <v>106</v>
      </c>
      <c r="E90" s="53">
        <f t="shared" si="237"/>
        <v>64870</v>
      </c>
      <c r="F90" s="101">
        <v>64870</v>
      </c>
      <c r="G90" s="101"/>
      <c r="H90" s="53"/>
      <c r="I90" s="53">
        <f t="shared" si="185"/>
        <v>0</v>
      </c>
      <c r="J90" s="53"/>
      <c r="K90" s="53"/>
      <c r="L90" s="53"/>
      <c r="M90" s="54">
        <f t="shared" si="187"/>
        <v>0</v>
      </c>
      <c r="N90" s="54">
        <f t="shared" si="188"/>
        <v>0</v>
      </c>
      <c r="O90" s="54" t="str">
        <f t="shared" si="189"/>
        <v/>
      </c>
      <c r="P90" s="54" t="str">
        <f t="shared" si="190"/>
        <v/>
      </c>
      <c r="Q90" s="55">
        <f t="shared" si="191"/>
        <v>-64870</v>
      </c>
      <c r="R90" s="55">
        <f t="shared" si="192"/>
        <v>-64870</v>
      </c>
      <c r="S90" s="55">
        <f t="shared" si="193"/>
        <v>0</v>
      </c>
      <c r="T90" s="55">
        <f t="shared" si="194"/>
        <v>0</v>
      </c>
    </row>
    <row r="91" spans="1:20" s="37" customFormat="1" ht="37.5">
      <c r="A91" s="93" t="s">
        <v>189</v>
      </c>
      <c r="B91" s="93" t="s">
        <v>190</v>
      </c>
      <c r="C91" s="93" t="s">
        <v>15</v>
      </c>
      <c r="D91" s="14" t="s">
        <v>188</v>
      </c>
      <c r="E91" s="53">
        <f t="shared" si="237"/>
        <v>14097481.15</v>
      </c>
      <c r="F91" s="101">
        <v>13701458.93</v>
      </c>
      <c r="G91" s="92">
        <v>396022.22</v>
      </c>
      <c r="H91" s="55"/>
      <c r="I91" s="53">
        <f t="shared" si="185"/>
        <v>14298551.470000001</v>
      </c>
      <c r="J91" s="53">
        <v>13996695.67</v>
      </c>
      <c r="K91" s="55">
        <f>301855.8</f>
        <v>301855.8</v>
      </c>
      <c r="L91" s="55"/>
      <c r="M91" s="54">
        <f t="shared" si="187"/>
        <v>1.0142628543255758</v>
      </c>
      <c r="N91" s="54">
        <f t="shared" si="188"/>
        <v>1.0215478323518941</v>
      </c>
      <c r="O91" s="54">
        <f t="shared" si="189"/>
        <v>0.76221935223735682</v>
      </c>
      <c r="P91" s="54" t="str">
        <f t="shared" si="190"/>
        <v/>
      </c>
      <c r="Q91" s="55">
        <f t="shared" si="191"/>
        <v>201070.3200000003</v>
      </c>
      <c r="R91" s="55">
        <f t="shared" si="192"/>
        <v>295236.74000000022</v>
      </c>
      <c r="S91" s="55">
        <f t="shared" si="193"/>
        <v>-94166.419999999984</v>
      </c>
      <c r="T91" s="55">
        <f t="shared" si="194"/>
        <v>0</v>
      </c>
    </row>
    <row r="92" spans="1:20" s="89" customFormat="1" ht="93.75">
      <c r="A92" s="100">
        <v>1013140</v>
      </c>
      <c r="B92" s="100">
        <v>3140</v>
      </c>
      <c r="C92" s="100">
        <v>1040</v>
      </c>
      <c r="D92" s="99" t="s">
        <v>334</v>
      </c>
      <c r="E92" s="53">
        <f t="shared" ref="E92" si="240">F92+G92</f>
        <v>84660</v>
      </c>
      <c r="F92" s="101">
        <v>84660</v>
      </c>
      <c r="G92" s="92"/>
      <c r="H92" s="55"/>
      <c r="I92" s="53">
        <f t="shared" ref="I92" si="241">J92+K92</f>
        <v>84660</v>
      </c>
      <c r="J92" s="53">
        <v>84660</v>
      </c>
      <c r="K92" s="55"/>
      <c r="L92" s="55"/>
      <c r="M92" s="54">
        <f t="shared" ref="M92" si="242">IFERROR((I92/E92),"")</f>
        <v>1</v>
      </c>
      <c r="N92" s="54">
        <f t="shared" ref="N92" si="243">IFERROR((J92/F92),"")</f>
        <v>1</v>
      </c>
      <c r="O92" s="54" t="str">
        <f t="shared" ref="O92" si="244">IFERROR((K92/G92),"")</f>
        <v/>
      </c>
      <c r="P92" s="54" t="str">
        <f t="shared" ref="P92" si="245">IFERROR((L92/H92),"")</f>
        <v/>
      </c>
      <c r="Q92" s="55">
        <f t="shared" ref="Q92" si="246">I92-E92</f>
        <v>0</v>
      </c>
      <c r="R92" s="55">
        <f t="shared" ref="R92" si="247">J92-F92</f>
        <v>0</v>
      </c>
      <c r="S92" s="55">
        <f t="shared" ref="S92" si="248">K92-G92</f>
        <v>0</v>
      </c>
      <c r="T92" s="55">
        <f t="shared" ref="T92" si="249">L92-H92</f>
        <v>0</v>
      </c>
    </row>
    <row r="93" spans="1:20" s="37" customFormat="1">
      <c r="A93" s="93" t="s">
        <v>80</v>
      </c>
      <c r="B93" s="93" t="s">
        <v>79</v>
      </c>
      <c r="C93" s="93" t="s">
        <v>36</v>
      </c>
      <c r="D93" s="36" t="s">
        <v>81</v>
      </c>
      <c r="E93" s="53">
        <f t="shared" si="237"/>
        <v>4204760.2799999993</v>
      </c>
      <c r="F93" s="101">
        <v>4176700.78</v>
      </c>
      <c r="G93" s="92">
        <v>28059.5</v>
      </c>
      <c r="H93" s="55"/>
      <c r="I93" s="53">
        <f t="shared" si="185"/>
        <v>4414846.57</v>
      </c>
      <c r="J93" s="53">
        <v>4390638.07</v>
      </c>
      <c r="K93" s="55">
        <f>24208.5</f>
        <v>24208.5</v>
      </c>
      <c r="L93" s="55"/>
      <c r="M93" s="54">
        <f t="shared" si="187"/>
        <v>1.0499639161355474</v>
      </c>
      <c r="N93" s="54">
        <f t="shared" si="188"/>
        <v>1.0512215984023641</v>
      </c>
      <c r="O93" s="54">
        <f t="shared" si="189"/>
        <v>0.86275592936438639</v>
      </c>
      <c r="P93" s="54" t="str">
        <f t="shared" si="190"/>
        <v/>
      </c>
      <c r="Q93" s="55">
        <f t="shared" si="191"/>
        <v>210086.29000000097</v>
      </c>
      <c r="R93" s="55">
        <f t="shared" si="192"/>
        <v>213937.2900000005</v>
      </c>
      <c r="S93" s="55">
        <f t="shared" si="193"/>
        <v>-3851</v>
      </c>
      <c r="T93" s="55">
        <f t="shared" si="194"/>
        <v>0</v>
      </c>
    </row>
    <row r="94" spans="1:20" s="37" customFormat="1">
      <c r="A94" s="93" t="s">
        <v>83</v>
      </c>
      <c r="B94" s="93" t="s">
        <v>82</v>
      </c>
      <c r="C94" s="93" t="s">
        <v>36</v>
      </c>
      <c r="D94" s="36" t="s">
        <v>84</v>
      </c>
      <c r="E94" s="53">
        <f>F94+G94</f>
        <v>1862119.4</v>
      </c>
      <c r="F94" s="101">
        <v>1856727.4</v>
      </c>
      <c r="G94" s="92">
        <v>5392</v>
      </c>
      <c r="H94" s="55"/>
      <c r="I94" s="53">
        <f t="shared" si="185"/>
        <v>1978918.27</v>
      </c>
      <c r="J94" s="53">
        <v>1968480.27</v>
      </c>
      <c r="K94" s="55">
        <f>10438</f>
        <v>10438</v>
      </c>
      <c r="L94" s="55"/>
      <c r="M94" s="54">
        <f t="shared" si="187"/>
        <v>1.0627236201932058</v>
      </c>
      <c r="N94" s="54">
        <f t="shared" si="188"/>
        <v>1.060188086845705</v>
      </c>
      <c r="O94" s="54">
        <f t="shared" si="189"/>
        <v>1.9358308605341246</v>
      </c>
      <c r="P94" s="54" t="str">
        <f t="shared" si="190"/>
        <v/>
      </c>
      <c r="Q94" s="55">
        <f t="shared" si="191"/>
        <v>116798.87000000011</v>
      </c>
      <c r="R94" s="55">
        <f t="shared" si="192"/>
        <v>111752.87000000011</v>
      </c>
      <c r="S94" s="55">
        <f>K94-G94</f>
        <v>5046</v>
      </c>
      <c r="T94" s="55">
        <f t="shared" si="194"/>
        <v>0</v>
      </c>
    </row>
    <row r="95" spans="1:20" s="37" customFormat="1" ht="56.25">
      <c r="A95" s="93" t="s">
        <v>85</v>
      </c>
      <c r="B95" s="93" t="s">
        <v>35</v>
      </c>
      <c r="C95" s="93" t="s">
        <v>37</v>
      </c>
      <c r="D95" s="36" t="s">
        <v>86</v>
      </c>
      <c r="E95" s="53">
        <f t="shared" si="237"/>
        <v>5487241.1299999999</v>
      </c>
      <c r="F95" s="101">
        <v>5462981.5300000003</v>
      </c>
      <c r="G95" s="92">
        <v>24259.599999999999</v>
      </c>
      <c r="H95" s="55"/>
      <c r="I95" s="53">
        <f t="shared" si="185"/>
        <v>6300493.6799999997</v>
      </c>
      <c r="J95" s="53">
        <v>5907677.6399999997</v>
      </c>
      <c r="K95" s="55">
        <f>134063.98+230000+28752.06</f>
        <v>392816.04</v>
      </c>
      <c r="L95" s="55">
        <v>230000</v>
      </c>
      <c r="M95" s="54">
        <f t="shared" si="187"/>
        <v>1.1482079119056319</v>
      </c>
      <c r="N95" s="54">
        <f t="shared" si="188"/>
        <v>1.0814017231356079</v>
      </c>
      <c r="O95" s="54" t="s">
        <v>377</v>
      </c>
      <c r="P95" s="54" t="str">
        <f t="shared" si="190"/>
        <v/>
      </c>
      <c r="Q95" s="55">
        <f t="shared" si="191"/>
        <v>813252.54999999981</v>
      </c>
      <c r="R95" s="55">
        <f t="shared" si="192"/>
        <v>444696.1099999994</v>
      </c>
      <c r="S95" s="55">
        <f t="shared" si="193"/>
        <v>368556.44</v>
      </c>
      <c r="T95" s="55">
        <f t="shared" si="194"/>
        <v>230000</v>
      </c>
    </row>
    <row r="96" spans="1:20" s="37" customFormat="1" ht="37.5">
      <c r="A96" s="93" t="s">
        <v>147</v>
      </c>
      <c r="B96" s="93" t="s">
        <v>126</v>
      </c>
      <c r="C96" s="93" t="s">
        <v>38</v>
      </c>
      <c r="D96" s="36" t="s">
        <v>127</v>
      </c>
      <c r="E96" s="53">
        <f t="shared" si="237"/>
        <v>1120775.9099999999</v>
      </c>
      <c r="F96" s="101">
        <v>1120775.9099999999</v>
      </c>
      <c r="G96" s="92"/>
      <c r="H96" s="55"/>
      <c r="I96" s="53">
        <f t="shared" si="185"/>
        <v>1226734.52</v>
      </c>
      <c r="J96" s="53">
        <v>1226734.52</v>
      </c>
      <c r="K96" s="55"/>
      <c r="L96" s="55"/>
      <c r="M96" s="54">
        <f t="shared" si="187"/>
        <v>1.0945404063868576</v>
      </c>
      <c r="N96" s="54">
        <f t="shared" si="188"/>
        <v>1.0945404063868576</v>
      </c>
      <c r="O96" s="54" t="str">
        <f t="shared" si="189"/>
        <v/>
      </c>
      <c r="P96" s="54" t="str">
        <f t="shared" si="190"/>
        <v/>
      </c>
      <c r="Q96" s="55">
        <f t="shared" si="191"/>
        <v>105958.6100000001</v>
      </c>
      <c r="R96" s="55">
        <f t="shared" si="192"/>
        <v>105958.6100000001</v>
      </c>
      <c r="S96" s="55">
        <f t="shared" si="193"/>
        <v>0</v>
      </c>
      <c r="T96" s="55">
        <f t="shared" si="194"/>
        <v>0</v>
      </c>
    </row>
    <row r="97" spans="1:20" s="37" customFormat="1">
      <c r="A97" s="93" t="s">
        <v>124</v>
      </c>
      <c r="B97" s="93" t="s">
        <v>125</v>
      </c>
      <c r="C97" s="93" t="s">
        <v>38</v>
      </c>
      <c r="D97" s="36" t="s">
        <v>128</v>
      </c>
      <c r="E97" s="53">
        <f t="shared" si="237"/>
        <v>88419</v>
      </c>
      <c r="F97" s="101">
        <v>88419</v>
      </c>
      <c r="G97" s="92"/>
      <c r="H97" s="55"/>
      <c r="I97" s="53">
        <f t="shared" si="185"/>
        <v>266441</v>
      </c>
      <c r="J97" s="53">
        <v>266441</v>
      </c>
      <c r="K97" s="55"/>
      <c r="L97" s="55"/>
      <c r="M97" s="54" t="s">
        <v>288</v>
      </c>
      <c r="N97" s="54" t="s">
        <v>288</v>
      </c>
      <c r="O97" s="54" t="str">
        <f t="shared" si="189"/>
        <v/>
      </c>
      <c r="P97" s="54" t="str">
        <f t="shared" si="190"/>
        <v/>
      </c>
      <c r="Q97" s="55">
        <f t="shared" si="191"/>
        <v>178022</v>
      </c>
      <c r="R97" s="55">
        <f t="shared" si="192"/>
        <v>178022</v>
      </c>
      <c r="S97" s="55">
        <f t="shared" si="193"/>
        <v>0</v>
      </c>
      <c r="T97" s="55">
        <f t="shared" si="194"/>
        <v>0</v>
      </c>
    </row>
    <row r="98" spans="1:20" s="37" customFormat="1" ht="36.75" customHeight="1">
      <c r="A98" s="65">
        <v>1017520</v>
      </c>
      <c r="B98" s="65">
        <v>7520</v>
      </c>
      <c r="C98" s="66" t="s">
        <v>296</v>
      </c>
      <c r="D98" s="112" t="s">
        <v>297</v>
      </c>
      <c r="E98" s="53">
        <f t="shared" ref="E98" si="250">F98+G98</f>
        <v>0</v>
      </c>
      <c r="F98" s="101"/>
      <c r="G98" s="92"/>
      <c r="H98" s="55"/>
      <c r="I98" s="53">
        <f t="shared" ref="I98" si="251">J98+K98</f>
        <v>82738.649999999994</v>
      </c>
      <c r="J98" s="53">
        <v>82738.649999999994</v>
      </c>
      <c r="K98" s="55"/>
      <c r="L98" s="55"/>
      <c r="M98" s="54" t="str">
        <f t="shared" ref="M98" si="252">IFERROR((I98/E98),"")</f>
        <v/>
      </c>
      <c r="N98" s="54" t="str">
        <f t="shared" ref="N98" si="253">IFERROR((J98/F98),"")</f>
        <v/>
      </c>
      <c r="O98" s="54" t="str">
        <f t="shared" ref="O98" si="254">IFERROR((K98/G98),"")</f>
        <v/>
      </c>
      <c r="P98" s="54" t="str">
        <f t="shared" ref="P98" si="255">IFERROR((L98/H98),"")</f>
        <v/>
      </c>
      <c r="Q98" s="55">
        <f t="shared" ref="Q98" si="256">I98-E98</f>
        <v>82738.649999999994</v>
      </c>
      <c r="R98" s="55">
        <f t="shared" ref="R98" si="257">J98-F98</f>
        <v>82738.649999999994</v>
      </c>
      <c r="S98" s="55">
        <f t="shared" ref="S98" si="258">K98-G98</f>
        <v>0</v>
      </c>
      <c r="T98" s="55">
        <f t="shared" ref="T98" si="259">L98-H98</f>
        <v>0</v>
      </c>
    </row>
    <row r="99" spans="1:20" s="28" customFormat="1" ht="56.25">
      <c r="A99" s="23" t="s">
        <v>21</v>
      </c>
      <c r="B99" s="23"/>
      <c r="C99" s="23"/>
      <c r="D99" s="10" t="s">
        <v>247</v>
      </c>
      <c r="E99" s="52">
        <f t="shared" ref="E99:L99" si="260">E100</f>
        <v>2974744.5199999996</v>
      </c>
      <c r="F99" s="52">
        <f t="shared" si="260"/>
        <v>2974744.5199999996</v>
      </c>
      <c r="G99" s="52">
        <f t="shared" si="260"/>
        <v>0</v>
      </c>
      <c r="H99" s="52">
        <f t="shared" si="260"/>
        <v>0</v>
      </c>
      <c r="I99" s="52">
        <f t="shared" si="260"/>
        <v>4456277.09</v>
      </c>
      <c r="J99" s="52">
        <f t="shared" si="260"/>
        <v>4362981.43</v>
      </c>
      <c r="K99" s="52">
        <f t="shared" si="260"/>
        <v>93295.66</v>
      </c>
      <c r="L99" s="52">
        <f t="shared" si="260"/>
        <v>35000</v>
      </c>
      <c r="M99" s="50">
        <f t="shared" si="187"/>
        <v>1.4980369104100411</v>
      </c>
      <c r="N99" s="50">
        <f t="shared" si="188"/>
        <v>1.4666743314145176</v>
      </c>
      <c r="O99" s="50" t="str">
        <f t="shared" si="189"/>
        <v/>
      </c>
      <c r="P99" s="50" t="str">
        <f t="shared" si="190"/>
        <v/>
      </c>
      <c r="Q99" s="51">
        <f t="shared" si="191"/>
        <v>1481532.5700000003</v>
      </c>
      <c r="R99" s="51">
        <f t="shared" si="192"/>
        <v>1388236.9100000001</v>
      </c>
      <c r="S99" s="51">
        <f t="shared" si="193"/>
        <v>93295.66</v>
      </c>
      <c r="T99" s="51">
        <f t="shared" si="194"/>
        <v>35000</v>
      </c>
    </row>
    <row r="100" spans="1:20" s="28" customFormat="1" ht="56.25">
      <c r="A100" s="23" t="s">
        <v>22</v>
      </c>
      <c r="B100" s="23"/>
      <c r="C100" s="23"/>
      <c r="D100" s="10" t="s">
        <v>248</v>
      </c>
      <c r="E100" s="52">
        <f t="shared" ref="E100:E108" si="261">F100+G100</f>
        <v>2974744.5199999996</v>
      </c>
      <c r="F100" s="52">
        <f>F101+F103+F104+F105+F107+F102+F108+F106</f>
        <v>2974744.5199999996</v>
      </c>
      <c r="G100" s="52">
        <f t="shared" ref="G100:H100" si="262">G101+G103+G104+G105+G107+G102+G108+G106</f>
        <v>0</v>
      </c>
      <c r="H100" s="52">
        <f t="shared" si="262"/>
        <v>0</v>
      </c>
      <c r="I100" s="52">
        <f t="shared" si="185"/>
        <v>4456277.09</v>
      </c>
      <c r="J100" s="52">
        <f>J101+J103+J104+J105+J107+J102+J108+J106</f>
        <v>4362981.43</v>
      </c>
      <c r="K100" s="52">
        <f t="shared" ref="K100:L100" si="263">K101+K103+K104+K105+K107+K102+K108+K106</f>
        <v>93295.66</v>
      </c>
      <c r="L100" s="52">
        <f t="shared" si="263"/>
        <v>35000</v>
      </c>
      <c r="M100" s="50">
        <f t="shared" si="187"/>
        <v>1.4980369104100411</v>
      </c>
      <c r="N100" s="50">
        <f t="shared" si="188"/>
        <v>1.4666743314145176</v>
      </c>
      <c r="O100" s="50" t="str">
        <f t="shared" si="189"/>
        <v/>
      </c>
      <c r="P100" s="50" t="str">
        <f t="shared" si="190"/>
        <v/>
      </c>
      <c r="Q100" s="51">
        <f t="shared" si="191"/>
        <v>1481532.5700000003</v>
      </c>
      <c r="R100" s="51">
        <f t="shared" si="192"/>
        <v>1388236.9100000001</v>
      </c>
      <c r="S100" s="51">
        <f t="shared" si="193"/>
        <v>93295.66</v>
      </c>
      <c r="T100" s="51">
        <f t="shared" si="194"/>
        <v>35000</v>
      </c>
    </row>
    <row r="101" spans="1:20" s="37" customFormat="1" ht="56.25">
      <c r="A101" s="93" t="s">
        <v>87</v>
      </c>
      <c r="B101" s="93" t="s">
        <v>58</v>
      </c>
      <c r="C101" s="93" t="s">
        <v>3</v>
      </c>
      <c r="D101" s="22" t="s">
        <v>227</v>
      </c>
      <c r="E101" s="53">
        <f t="shared" si="261"/>
        <v>916945.33</v>
      </c>
      <c r="F101" s="92">
        <v>916945.33</v>
      </c>
      <c r="G101" s="53"/>
      <c r="H101" s="53"/>
      <c r="I101" s="53">
        <f t="shared" si="185"/>
        <v>1474758.54</v>
      </c>
      <c r="J101" s="55">
        <v>1439758.54</v>
      </c>
      <c r="K101" s="53">
        <v>35000</v>
      </c>
      <c r="L101" s="53">
        <v>35000</v>
      </c>
      <c r="M101" s="54">
        <f t="shared" si="187"/>
        <v>1.6083385691053143</v>
      </c>
      <c r="N101" s="54">
        <f t="shared" si="188"/>
        <v>1.5701683545299261</v>
      </c>
      <c r="O101" s="54" t="str">
        <f t="shared" si="189"/>
        <v/>
      </c>
      <c r="P101" s="54" t="str">
        <f t="shared" si="190"/>
        <v/>
      </c>
      <c r="Q101" s="55">
        <f t="shared" si="191"/>
        <v>557813.21000000008</v>
      </c>
      <c r="R101" s="55">
        <f t="shared" si="192"/>
        <v>522813.21000000008</v>
      </c>
      <c r="S101" s="55">
        <f t="shared" si="193"/>
        <v>35000</v>
      </c>
      <c r="T101" s="55">
        <f t="shared" si="194"/>
        <v>35000</v>
      </c>
    </row>
    <row r="102" spans="1:20" s="37" customFormat="1" ht="37.5">
      <c r="A102" s="86" t="s">
        <v>250</v>
      </c>
      <c r="B102" s="86" t="s">
        <v>8</v>
      </c>
      <c r="C102" s="86" t="s">
        <v>6</v>
      </c>
      <c r="D102" s="88" t="s">
        <v>106</v>
      </c>
      <c r="E102" s="53">
        <f t="shared" si="261"/>
        <v>49900</v>
      </c>
      <c r="F102" s="92">
        <v>49900</v>
      </c>
      <c r="G102" s="53"/>
      <c r="H102" s="53"/>
      <c r="I102" s="53">
        <f t="shared" si="185"/>
        <v>0</v>
      </c>
      <c r="J102" s="55"/>
      <c r="K102" s="53"/>
      <c r="L102" s="53"/>
      <c r="M102" s="54">
        <f t="shared" si="187"/>
        <v>0</v>
      </c>
      <c r="N102" s="54">
        <f t="shared" si="188"/>
        <v>0</v>
      </c>
      <c r="O102" s="54" t="str">
        <f t="shared" si="189"/>
        <v/>
      </c>
      <c r="P102" s="54" t="str">
        <f t="shared" si="190"/>
        <v/>
      </c>
      <c r="Q102" s="55">
        <f t="shared" si="191"/>
        <v>-49900</v>
      </c>
      <c r="R102" s="55">
        <f t="shared" si="192"/>
        <v>-49900</v>
      </c>
      <c r="S102" s="55">
        <f t="shared" si="193"/>
        <v>0</v>
      </c>
      <c r="T102" s="55">
        <f t="shared" si="194"/>
        <v>0</v>
      </c>
    </row>
    <row r="103" spans="1:20" s="37" customFormat="1" ht="37.5">
      <c r="A103" s="93" t="s">
        <v>89</v>
      </c>
      <c r="B103" s="93" t="s">
        <v>88</v>
      </c>
      <c r="C103" s="93" t="s">
        <v>17</v>
      </c>
      <c r="D103" s="36" t="s">
        <v>48</v>
      </c>
      <c r="E103" s="53">
        <f t="shared" si="261"/>
        <v>574845.99</v>
      </c>
      <c r="F103" s="101">
        <v>574845.99</v>
      </c>
      <c r="G103" s="53"/>
      <c r="H103" s="53"/>
      <c r="I103" s="53">
        <f t="shared" si="185"/>
        <v>761491.64</v>
      </c>
      <c r="J103" s="53">
        <f>271574+431621.98</f>
        <v>703195.98</v>
      </c>
      <c r="K103" s="53">
        <f>58295.66</f>
        <v>58295.66</v>
      </c>
      <c r="L103" s="53"/>
      <c r="M103" s="54">
        <f t="shared" si="187"/>
        <v>1.3246880960237715</v>
      </c>
      <c r="N103" s="54">
        <f t="shared" si="188"/>
        <v>1.223277177248814</v>
      </c>
      <c r="O103" s="54" t="str">
        <f t="shared" si="189"/>
        <v/>
      </c>
      <c r="P103" s="54" t="str">
        <f t="shared" si="190"/>
        <v/>
      </c>
      <c r="Q103" s="55">
        <f t="shared" si="191"/>
        <v>186645.65000000002</v>
      </c>
      <c r="R103" s="55">
        <f t="shared" si="192"/>
        <v>128349.98999999999</v>
      </c>
      <c r="S103" s="55">
        <f t="shared" si="193"/>
        <v>58295.66</v>
      </c>
      <c r="T103" s="55">
        <f t="shared" si="194"/>
        <v>0</v>
      </c>
    </row>
    <row r="104" spans="1:20" s="37" customFormat="1" ht="56.25">
      <c r="A104" s="93" t="s">
        <v>24</v>
      </c>
      <c r="B104" s="93" t="s">
        <v>23</v>
      </c>
      <c r="C104" s="93" t="s">
        <v>18</v>
      </c>
      <c r="D104" s="36" t="s">
        <v>42</v>
      </c>
      <c r="E104" s="53">
        <f t="shared" si="261"/>
        <v>366064.81</v>
      </c>
      <c r="F104" s="101">
        <v>366064.81</v>
      </c>
      <c r="G104" s="53"/>
      <c r="H104" s="53"/>
      <c r="I104" s="53">
        <f t="shared" si="185"/>
        <v>506600</v>
      </c>
      <c r="J104" s="53">
        <v>506600</v>
      </c>
      <c r="K104" s="53"/>
      <c r="L104" s="53"/>
      <c r="M104" s="54">
        <f t="shared" si="187"/>
        <v>1.3839079478849661</v>
      </c>
      <c r="N104" s="54">
        <f t="shared" si="188"/>
        <v>1.3839079478849661</v>
      </c>
      <c r="O104" s="54" t="str">
        <f t="shared" si="189"/>
        <v/>
      </c>
      <c r="P104" s="54" t="str">
        <f t="shared" si="190"/>
        <v/>
      </c>
      <c r="Q104" s="55">
        <f t="shared" si="191"/>
        <v>140535.19</v>
      </c>
      <c r="R104" s="55">
        <f t="shared" si="192"/>
        <v>140535.19</v>
      </c>
      <c r="S104" s="55">
        <f t="shared" si="193"/>
        <v>0</v>
      </c>
      <c r="T104" s="55">
        <f t="shared" si="194"/>
        <v>0</v>
      </c>
    </row>
    <row r="105" spans="1:20" s="37" customFormat="1" ht="56.25">
      <c r="A105" s="93" t="s">
        <v>44</v>
      </c>
      <c r="B105" s="93" t="s">
        <v>45</v>
      </c>
      <c r="C105" s="93" t="s">
        <v>18</v>
      </c>
      <c r="D105" s="36" t="s">
        <v>46</v>
      </c>
      <c r="E105" s="53">
        <f t="shared" si="261"/>
        <v>137853.19</v>
      </c>
      <c r="F105" s="101">
        <v>137853.19</v>
      </c>
      <c r="G105" s="53"/>
      <c r="H105" s="53"/>
      <c r="I105" s="53">
        <f t="shared" si="185"/>
        <v>455248.71</v>
      </c>
      <c r="J105" s="53">
        <v>455248.71</v>
      </c>
      <c r="K105" s="53"/>
      <c r="L105" s="53"/>
      <c r="M105" s="54" t="s">
        <v>288</v>
      </c>
      <c r="N105" s="54" t="s">
        <v>288</v>
      </c>
      <c r="O105" s="54" t="str">
        <f t="shared" si="189"/>
        <v/>
      </c>
      <c r="P105" s="54" t="str">
        <f t="shared" si="190"/>
        <v/>
      </c>
      <c r="Q105" s="55">
        <f t="shared" si="191"/>
        <v>317395.52</v>
      </c>
      <c r="R105" s="55">
        <f t="shared" si="192"/>
        <v>317395.52</v>
      </c>
      <c r="S105" s="55">
        <f t="shared" si="193"/>
        <v>0</v>
      </c>
      <c r="T105" s="55">
        <f t="shared" si="194"/>
        <v>0</v>
      </c>
    </row>
    <row r="106" spans="1:20" s="90" customFormat="1" ht="56.25">
      <c r="A106" s="91" t="s">
        <v>339</v>
      </c>
      <c r="B106" s="91" t="s">
        <v>340</v>
      </c>
      <c r="C106" s="91" t="s">
        <v>18</v>
      </c>
      <c r="D106" s="113" t="s">
        <v>341</v>
      </c>
      <c r="E106" s="53">
        <f t="shared" ref="E106" si="264">F106+G106</f>
        <v>20788.8</v>
      </c>
      <c r="F106" s="101">
        <v>20788.8</v>
      </c>
      <c r="G106" s="53"/>
      <c r="H106" s="53"/>
      <c r="I106" s="53">
        <f t="shared" ref="I106" si="265">J106+K106</f>
        <v>11712</v>
      </c>
      <c r="J106" s="53">
        <v>11712</v>
      </c>
      <c r="K106" s="53"/>
      <c r="L106" s="53"/>
      <c r="M106" s="54">
        <f t="shared" ref="M106" si="266">IFERROR((I106/E106),"")</f>
        <v>0.56338028169014087</v>
      </c>
      <c r="N106" s="54">
        <f t="shared" ref="N106" si="267">IFERROR((J106/F106),"")</f>
        <v>0.56338028169014087</v>
      </c>
      <c r="O106" s="54" t="str">
        <f t="shared" ref="O106" si="268">IFERROR((K106/G106),"")</f>
        <v/>
      </c>
      <c r="P106" s="54" t="str">
        <f t="shared" ref="P106" si="269">IFERROR((L106/H106),"")</f>
        <v/>
      </c>
      <c r="Q106" s="55">
        <f t="shared" ref="Q106" si="270">I106-E106</f>
        <v>-9076.7999999999993</v>
      </c>
      <c r="R106" s="55">
        <f t="shared" ref="R106" si="271">J106-F106</f>
        <v>-9076.7999999999993</v>
      </c>
      <c r="S106" s="55">
        <f t="shared" ref="S106" si="272">K106-G106</f>
        <v>0</v>
      </c>
      <c r="T106" s="55">
        <f t="shared" ref="T106" si="273">L106-H106</f>
        <v>0</v>
      </c>
    </row>
    <row r="107" spans="1:20" s="37" customFormat="1" ht="75">
      <c r="A107" s="93" t="s">
        <v>49</v>
      </c>
      <c r="B107" s="93" t="s">
        <v>50</v>
      </c>
      <c r="C107" s="93" t="s">
        <v>18</v>
      </c>
      <c r="D107" s="22" t="s">
        <v>51</v>
      </c>
      <c r="E107" s="53">
        <f t="shared" si="261"/>
        <v>908346.4</v>
      </c>
      <c r="F107" s="101">
        <v>908346.4</v>
      </c>
      <c r="G107" s="53"/>
      <c r="H107" s="53"/>
      <c r="I107" s="53">
        <f t="shared" si="185"/>
        <v>1221706.2</v>
      </c>
      <c r="J107" s="53">
        <v>1221706.2</v>
      </c>
      <c r="K107" s="53"/>
      <c r="L107" s="53"/>
      <c r="M107" s="54">
        <f t="shared" si="187"/>
        <v>1.344978303431378</v>
      </c>
      <c r="N107" s="54">
        <f t="shared" si="188"/>
        <v>1.344978303431378</v>
      </c>
      <c r="O107" s="54" t="str">
        <f t="shared" si="189"/>
        <v/>
      </c>
      <c r="P107" s="54" t="str">
        <f t="shared" si="190"/>
        <v/>
      </c>
      <c r="Q107" s="55">
        <f t="shared" si="191"/>
        <v>313359.79999999993</v>
      </c>
      <c r="R107" s="55">
        <f t="shared" si="192"/>
        <v>313359.79999999993</v>
      </c>
      <c r="S107" s="55">
        <f t="shared" si="193"/>
        <v>0</v>
      </c>
      <c r="T107" s="55">
        <f t="shared" si="194"/>
        <v>0</v>
      </c>
    </row>
    <row r="108" spans="1:20" s="37" customFormat="1" ht="40.5" customHeight="1">
      <c r="A108" s="103" t="s">
        <v>314</v>
      </c>
      <c r="B108" s="103" t="s">
        <v>313</v>
      </c>
      <c r="C108" s="103" t="s">
        <v>296</v>
      </c>
      <c r="D108" s="109" t="s">
        <v>297</v>
      </c>
      <c r="E108" s="53">
        <f t="shared" si="261"/>
        <v>0</v>
      </c>
      <c r="F108" s="101"/>
      <c r="G108" s="53"/>
      <c r="H108" s="53"/>
      <c r="I108" s="53">
        <f t="shared" si="185"/>
        <v>24760</v>
      </c>
      <c r="J108" s="53">
        <f>8560+16200</f>
        <v>24760</v>
      </c>
      <c r="K108" s="53"/>
      <c r="L108" s="53"/>
      <c r="M108" s="54" t="str">
        <f t="shared" ref="M108" si="274">IFERROR((I108/E108),"")</f>
        <v/>
      </c>
      <c r="N108" s="54" t="str">
        <f t="shared" ref="N108" si="275">IFERROR((J108/F108),"")</f>
        <v/>
      </c>
      <c r="O108" s="54" t="str">
        <f t="shared" ref="O108" si="276">IFERROR((K108/G108),"")</f>
        <v/>
      </c>
      <c r="P108" s="54" t="str">
        <f t="shared" ref="P108" si="277">IFERROR((L108/H108),"")</f>
        <v/>
      </c>
      <c r="Q108" s="55">
        <f t="shared" ref="Q108" si="278">I108-E108</f>
        <v>24760</v>
      </c>
      <c r="R108" s="55">
        <f t="shared" ref="R108" si="279">J108-F108</f>
        <v>24760</v>
      </c>
      <c r="S108" s="55">
        <f t="shared" ref="S108" si="280">K108-G108</f>
        <v>0</v>
      </c>
      <c r="T108" s="55">
        <f t="shared" ref="T108" si="281">L108-H108</f>
        <v>0</v>
      </c>
    </row>
    <row r="109" spans="1:20" s="28" customFormat="1" ht="75">
      <c r="A109" s="23" t="s">
        <v>90</v>
      </c>
      <c r="B109" s="23"/>
      <c r="C109" s="23"/>
      <c r="D109" s="10" t="s">
        <v>215</v>
      </c>
      <c r="E109" s="52">
        <f t="shared" ref="E109:L109" si="282">E110</f>
        <v>81829538.86999999</v>
      </c>
      <c r="F109" s="52">
        <f t="shared" si="282"/>
        <v>81780308.599999994</v>
      </c>
      <c r="G109" s="52">
        <f t="shared" si="282"/>
        <v>49230.27</v>
      </c>
      <c r="H109" s="52">
        <f t="shared" si="282"/>
        <v>44307.24</v>
      </c>
      <c r="I109" s="52">
        <f t="shared" si="282"/>
        <v>112191371.48</v>
      </c>
      <c r="J109" s="52">
        <f t="shared" si="282"/>
        <v>106232898.60000001</v>
      </c>
      <c r="K109" s="52">
        <f t="shared" si="282"/>
        <v>5958472.879999999</v>
      </c>
      <c r="L109" s="52">
        <f t="shared" si="282"/>
        <v>5957714.5</v>
      </c>
      <c r="M109" s="50">
        <f t="shared" si="187"/>
        <v>1.3710375620988762</v>
      </c>
      <c r="N109" s="50">
        <f t="shared" si="188"/>
        <v>1.299003396032673</v>
      </c>
      <c r="O109" s="50">
        <f t="shared" si="189"/>
        <v>121.03270772230174</v>
      </c>
      <c r="P109" s="50">
        <f t="shared" si="190"/>
        <v>134.46367907366832</v>
      </c>
      <c r="Q109" s="51">
        <f t="shared" si="191"/>
        <v>30361832.610000014</v>
      </c>
      <c r="R109" s="51">
        <f t="shared" si="192"/>
        <v>24452590.000000015</v>
      </c>
      <c r="S109" s="51">
        <f t="shared" si="193"/>
        <v>5909242.6099999994</v>
      </c>
      <c r="T109" s="51">
        <f t="shared" si="194"/>
        <v>5913407.2599999998</v>
      </c>
    </row>
    <row r="110" spans="1:20" s="28" customFormat="1" ht="75">
      <c r="A110" s="23" t="s">
        <v>91</v>
      </c>
      <c r="B110" s="23"/>
      <c r="C110" s="23"/>
      <c r="D110" s="10" t="s">
        <v>215</v>
      </c>
      <c r="E110" s="52">
        <f t="shared" ref="E110:E127" si="283">F110+G110</f>
        <v>81829538.86999999</v>
      </c>
      <c r="F110" s="52">
        <f>F111+F113+F117+F118+F121+F125+F126+F115+F116+F124+F127+F112+F123+F129+F114+F120+F122+F128+F119</f>
        <v>81780308.599999994</v>
      </c>
      <c r="G110" s="52">
        <f>G111+G113+G117+G118+G121+G125+G126+G115+G116+G124+G127+G112+G123+G129+G114+G120+G122+G128+G119</f>
        <v>49230.27</v>
      </c>
      <c r="H110" s="52">
        <f>H111+H113+H117+H118+H121+H125+H126+H115+H116+H124+H127+H112+H123+H129+H114+H120+H122+H128+H119</f>
        <v>44307.24</v>
      </c>
      <c r="I110" s="52">
        <f t="shared" ref="I110" si="284">J110+K110</f>
        <v>112191371.48</v>
      </c>
      <c r="J110" s="52">
        <f>J111+J113+J117+J118+J121+J125+J126+J115+J116+J124+J127+J112+J123+J129+J114+J120+J122+J128+J119</f>
        <v>106232898.60000001</v>
      </c>
      <c r="K110" s="52">
        <f>K111+K113+K117+K118+K121+K125+K126+K115+K116+K124+K127+K112+K123+K129+K114+K120+K122+K128+K119</f>
        <v>5958472.879999999</v>
      </c>
      <c r="L110" s="52">
        <f>L111+L113+L117+L118+L121+L125+L126+L115+L116+L124+L127+L112+L123+L129+L114+L120+L122+L128+L119</f>
        <v>5957714.5</v>
      </c>
      <c r="M110" s="50">
        <f t="shared" si="187"/>
        <v>1.3710375620988762</v>
      </c>
      <c r="N110" s="50">
        <f t="shared" si="188"/>
        <v>1.299003396032673</v>
      </c>
      <c r="O110" s="50" t="s">
        <v>378</v>
      </c>
      <c r="P110" s="50" t="s">
        <v>379</v>
      </c>
      <c r="Q110" s="51">
        <f t="shared" si="191"/>
        <v>30361832.610000014</v>
      </c>
      <c r="R110" s="51">
        <f t="shared" si="192"/>
        <v>24452590.000000015</v>
      </c>
      <c r="S110" s="51">
        <f t="shared" si="193"/>
        <v>5909242.6099999994</v>
      </c>
      <c r="T110" s="51">
        <f t="shared" si="194"/>
        <v>5913407.2599999998</v>
      </c>
    </row>
    <row r="111" spans="1:20" s="37" customFormat="1" ht="56.25">
      <c r="A111" s="93" t="s">
        <v>92</v>
      </c>
      <c r="B111" s="93" t="s">
        <v>58</v>
      </c>
      <c r="C111" s="93" t="s">
        <v>3</v>
      </c>
      <c r="D111" s="22" t="s">
        <v>227</v>
      </c>
      <c r="E111" s="53">
        <f t="shared" si="283"/>
        <v>1721133.68</v>
      </c>
      <c r="F111" s="101">
        <v>1721133.68</v>
      </c>
      <c r="G111" s="101"/>
      <c r="H111" s="101"/>
      <c r="I111" s="53">
        <f t="shared" si="185"/>
        <v>2450091.79</v>
      </c>
      <c r="J111" s="53">
        <v>2450091.79</v>
      </c>
      <c r="K111" s="53"/>
      <c r="L111" s="53"/>
      <c r="M111" s="54">
        <f t="shared" si="187"/>
        <v>1.4235336966969354</v>
      </c>
      <c r="N111" s="54">
        <f t="shared" si="188"/>
        <v>1.4235336966969354</v>
      </c>
      <c r="O111" s="54" t="str">
        <f t="shared" si="189"/>
        <v/>
      </c>
      <c r="P111" s="54" t="str">
        <f t="shared" si="190"/>
        <v/>
      </c>
      <c r="Q111" s="55">
        <f t="shared" si="191"/>
        <v>728958.1100000001</v>
      </c>
      <c r="R111" s="55">
        <f t="shared" si="192"/>
        <v>728958.1100000001</v>
      </c>
      <c r="S111" s="55">
        <f t="shared" si="193"/>
        <v>0</v>
      </c>
      <c r="T111" s="55">
        <f t="shared" si="194"/>
        <v>0</v>
      </c>
    </row>
    <row r="112" spans="1:20" s="37" customFormat="1" ht="56.25">
      <c r="A112" s="93" t="s">
        <v>285</v>
      </c>
      <c r="B112" s="93" t="s">
        <v>115</v>
      </c>
      <c r="C112" s="42" t="s">
        <v>116</v>
      </c>
      <c r="D112" s="114" t="s">
        <v>117</v>
      </c>
      <c r="E112" s="53">
        <f t="shared" si="283"/>
        <v>2200</v>
      </c>
      <c r="F112" s="101">
        <v>2200</v>
      </c>
      <c r="G112" s="101"/>
      <c r="H112" s="101"/>
      <c r="I112" s="53">
        <f t="shared" si="185"/>
        <v>0</v>
      </c>
      <c r="J112" s="53"/>
      <c r="K112" s="53"/>
      <c r="L112" s="53"/>
      <c r="M112" s="54">
        <f t="shared" si="187"/>
        <v>0</v>
      </c>
      <c r="N112" s="54">
        <f t="shared" si="188"/>
        <v>0</v>
      </c>
      <c r="O112" s="54" t="str">
        <f t="shared" si="189"/>
        <v/>
      </c>
      <c r="P112" s="54" t="str">
        <f t="shared" si="190"/>
        <v/>
      </c>
      <c r="Q112" s="55">
        <f t="shared" si="191"/>
        <v>-2200</v>
      </c>
      <c r="R112" s="55">
        <f t="shared" si="192"/>
        <v>-2200</v>
      </c>
      <c r="S112" s="55">
        <f t="shared" si="193"/>
        <v>0</v>
      </c>
      <c r="T112" s="55">
        <f t="shared" si="194"/>
        <v>0</v>
      </c>
    </row>
    <row r="113" spans="1:20" s="37" customFormat="1" ht="37.5">
      <c r="A113" s="93" t="s">
        <v>223</v>
      </c>
      <c r="B113" s="93" t="s">
        <v>8</v>
      </c>
      <c r="C113" s="93" t="s">
        <v>6</v>
      </c>
      <c r="D113" s="22" t="s">
        <v>106</v>
      </c>
      <c r="E113" s="53">
        <f t="shared" si="283"/>
        <v>37425</v>
      </c>
      <c r="F113" s="101">
        <v>37425</v>
      </c>
      <c r="G113" s="101"/>
      <c r="H113" s="101"/>
      <c r="I113" s="53">
        <f t="shared" si="185"/>
        <v>0</v>
      </c>
      <c r="J113" s="53"/>
      <c r="K113" s="53"/>
      <c r="L113" s="53"/>
      <c r="M113" s="54">
        <f t="shared" si="187"/>
        <v>0</v>
      </c>
      <c r="N113" s="54">
        <f t="shared" si="188"/>
        <v>0</v>
      </c>
      <c r="O113" s="54" t="str">
        <f t="shared" si="189"/>
        <v/>
      </c>
      <c r="P113" s="54" t="str">
        <f t="shared" si="190"/>
        <v/>
      </c>
      <c r="Q113" s="55">
        <f t="shared" si="191"/>
        <v>-37425</v>
      </c>
      <c r="R113" s="55">
        <f t="shared" si="192"/>
        <v>-37425</v>
      </c>
      <c r="S113" s="55">
        <f t="shared" si="193"/>
        <v>0</v>
      </c>
      <c r="T113" s="55">
        <f t="shared" si="194"/>
        <v>0</v>
      </c>
    </row>
    <row r="114" spans="1:20" s="90" customFormat="1" ht="37.5">
      <c r="A114" s="93" t="s">
        <v>342</v>
      </c>
      <c r="B114" s="93" t="s">
        <v>343</v>
      </c>
      <c r="C114" s="96" t="s">
        <v>344</v>
      </c>
      <c r="D114" s="95" t="s">
        <v>345</v>
      </c>
      <c r="E114" s="53">
        <f t="shared" ref="E114" si="285">F114+G114</f>
        <v>9763.66</v>
      </c>
      <c r="F114" s="101">
        <v>9763.66</v>
      </c>
      <c r="G114" s="101"/>
      <c r="H114" s="101"/>
      <c r="I114" s="53">
        <f t="shared" ref="I114" si="286">J114+K114</f>
        <v>0</v>
      </c>
      <c r="J114" s="53"/>
      <c r="K114" s="53"/>
      <c r="L114" s="53"/>
      <c r="M114" s="54">
        <f t="shared" ref="M114" si="287">IFERROR((I114/E114),"")</f>
        <v>0</v>
      </c>
      <c r="N114" s="54">
        <f t="shared" ref="N114" si="288">IFERROR((J114/F114),"")</f>
        <v>0</v>
      </c>
      <c r="O114" s="54" t="str">
        <f t="shared" ref="O114" si="289">IFERROR((K114/G114),"")</f>
        <v/>
      </c>
      <c r="P114" s="54" t="str">
        <f t="shared" ref="P114" si="290">IFERROR((L114/H114),"")</f>
        <v/>
      </c>
      <c r="Q114" s="55">
        <f t="shared" ref="Q114" si="291">I114-E114</f>
        <v>-9763.66</v>
      </c>
      <c r="R114" s="55">
        <f t="shared" ref="R114" si="292">J114-F114</f>
        <v>-9763.66</v>
      </c>
      <c r="S114" s="55">
        <f t="shared" ref="S114" si="293">K114-G114</f>
        <v>0</v>
      </c>
      <c r="T114" s="55">
        <f t="shared" ref="T114" si="294">L114-H114</f>
        <v>0</v>
      </c>
    </row>
    <row r="115" spans="1:20" s="37" customFormat="1" ht="37.5">
      <c r="A115" s="87">
        <v>1216011</v>
      </c>
      <c r="B115" s="87">
        <v>6011</v>
      </c>
      <c r="C115" s="87" t="s">
        <v>39</v>
      </c>
      <c r="D115" s="88" t="s">
        <v>103</v>
      </c>
      <c r="E115" s="53">
        <f t="shared" si="283"/>
        <v>9246.6</v>
      </c>
      <c r="F115" s="101"/>
      <c r="G115" s="101">
        <v>9246.6</v>
      </c>
      <c r="H115" s="101">
        <v>9246.6</v>
      </c>
      <c r="I115" s="53">
        <f t="shared" si="185"/>
        <v>6825.37</v>
      </c>
      <c r="J115" s="53"/>
      <c r="K115" s="53">
        <v>6825.37</v>
      </c>
      <c r="L115" s="53">
        <v>6825.37</v>
      </c>
      <c r="M115" s="54">
        <f t="shared" ref="M115" si="295">IFERROR((I115/E115),"")</f>
        <v>0.73814915752817245</v>
      </c>
      <c r="N115" s="54" t="str">
        <f t="shared" ref="N115" si="296">IFERROR((J115/F115),"")</f>
        <v/>
      </c>
      <c r="O115" s="54">
        <f t="shared" ref="O115" si="297">IFERROR((K115/G115),"")</f>
        <v>0.73814915752817245</v>
      </c>
      <c r="P115" s="54">
        <f t="shared" ref="P115" si="298">IFERROR((L115/H115),"")</f>
        <v>0.73814915752817245</v>
      </c>
      <c r="Q115" s="55">
        <f t="shared" si="191"/>
        <v>-2421.2300000000005</v>
      </c>
      <c r="R115" s="55">
        <f t="shared" si="192"/>
        <v>0</v>
      </c>
      <c r="S115" s="55">
        <f t="shared" si="193"/>
        <v>-2421.2300000000005</v>
      </c>
      <c r="T115" s="55">
        <f t="shared" si="194"/>
        <v>-2421.2300000000005</v>
      </c>
    </row>
    <row r="116" spans="1:20" s="37" customFormat="1" ht="37.5">
      <c r="A116" s="86" t="s">
        <v>273</v>
      </c>
      <c r="B116" s="86" t="s">
        <v>274</v>
      </c>
      <c r="C116" s="86" t="s">
        <v>7</v>
      </c>
      <c r="D116" s="88" t="s">
        <v>275</v>
      </c>
      <c r="E116" s="53">
        <f t="shared" si="283"/>
        <v>35060.639999999999</v>
      </c>
      <c r="F116" s="101"/>
      <c r="G116" s="101">
        <v>35060.639999999999</v>
      </c>
      <c r="H116" s="101">
        <v>35060.639999999999</v>
      </c>
      <c r="I116" s="53">
        <f t="shared" si="185"/>
        <v>3603966.63</v>
      </c>
      <c r="J116" s="53"/>
      <c r="K116" s="53">
        <v>3603966.63</v>
      </c>
      <c r="L116" s="53">
        <v>3603966.63</v>
      </c>
      <c r="M116" s="54" t="s">
        <v>380</v>
      </c>
      <c r="N116" s="54" t="str">
        <f t="shared" si="188"/>
        <v/>
      </c>
      <c r="O116" s="54" t="s">
        <v>380</v>
      </c>
      <c r="P116" s="54" t="s">
        <v>380</v>
      </c>
      <c r="Q116" s="55">
        <f t="shared" si="191"/>
        <v>3568905.9899999998</v>
      </c>
      <c r="R116" s="55">
        <f t="shared" si="192"/>
        <v>0</v>
      </c>
      <c r="S116" s="55">
        <f t="shared" si="193"/>
        <v>3568905.9899999998</v>
      </c>
      <c r="T116" s="55">
        <f t="shared" si="194"/>
        <v>3568905.9899999998</v>
      </c>
    </row>
    <row r="117" spans="1:20" s="37" customFormat="1" ht="56.25">
      <c r="A117" s="93" t="s">
        <v>149</v>
      </c>
      <c r="B117" s="93" t="s">
        <v>150</v>
      </c>
      <c r="C117" s="93" t="s">
        <v>7</v>
      </c>
      <c r="D117" s="36" t="s">
        <v>151</v>
      </c>
      <c r="E117" s="53">
        <f t="shared" si="283"/>
        <v>640898.13</v>
      </c>
      <c r="F117" s="101">
        <v>640898.13</v>
      </c>
      <c r="G117" s="101"/>
      <c r="H117" s="101"/>
      <c r="I117" s="53">
        <f t="shared" si="185"/>
        <v>850356.53</v>
      </c>
      <c r="J117" s="53">
        <v>780339.23</v>
      </c>
      <c r="K117" s="53">
        <v>70017.3</v>
      </c>
      <c r="L117" s="53">
        <v>70017.3</v>
      </c>
      <c r="M117" s="54">
        <f t="shared" si="187"/>
        <v>1.3268201141420088</v>
      </c>
      <c r="N117" s="54">
        <f t="shared" si="188"/>
        <v>1.2175713946926323</v>
      </c>
      <c r="O117" s="54" t="str">
        <f t="shared" si="189"/>
        <v/>
      </c>
      <c r="P117" s="54" t="str">
        <f t="shared" si="190"/>
        <v/>
      </c>
      <c r="Q117" s="55">
        <f t="shared" si="191"/>
        <v>209458.40000000002</v>
      </c>
      <c r="R117" s="55">
        <f t="shared" si="192"/>
        <v>139441.09999999998</v>
      </c>
      <c r="S117" s="55">
        <f t="shared" si="193"/>
        <v>70017.3</v>
      </c>
      <c r="T117" s="55">
        <f t="shared" si="194"/>
        <v>70017.3</v>
      </c>
    </row>
    <row r="118" spans="1:20" s="37" customFormat="1" ht="37.5">
      <c r="A118" s="93" t="s">
        <v>93</v>
      </c>
      <c r="B118" s="93" t="s">
        <v>40</v>
      </c>
      <c r="C118" s="93" t="s">
        <v>7</v>
      </c>
      <c r="D118" s="22" t="s">
        <v>55</v>
      </c>
      <c r="E118" s="53">
        <f t="shared" si="283"/>
        <v>31679566.41</v>
      </c>
      <c r="F118" s="101">
        <v>31679566.41</v>
      </c>
      <c r="G118" s="53"/>
      <c r="H118" s="53"/>
      <c r="I118" s="53">
        <f t="shared" si="185"/>
        <v>38230559.530000001</v>
      </c>
      <c r="J118" s="53">
        <f>21420710.8+7837983.78+8971864.95</f>
        <v>38230559.530000001</v>
      </c>
      <c r="K118" s="53"/>
      <c r="L118" s="53"/>
      <c r="M118" s="54">
        <f t="shared" si="187"/>
        <v>1.2067892292216509</v>
      </c>
      <c r="N118" s="54">
        <f t="shared" si="188"/>
        <v>1.2067892292216509</v>
      </c>
      <c r="O118" s="54" t="str">
        <f t="shared" si="189"/>
        <v/>
      </c>
      <c r="P118" s="54" t="str">
        <f t="shared" si="190"/>
        <v/>
      </c>
      <c r="Q118" s="55">
        <f t="shared" si="191"/>
        <v>6550993.120000001</v>
      </c>
      <c r="R118" s="55">
        <f t="shared" si="192"/>
        <v>6550993.120000001</v>
      </c>
      <c r="S118" s="55">
        <f t="shared" si="193"/>
        <v>0</v>
      </c>
      <c r="T118" s="55">
        <f t="shared" si="194"/>
        <v>0</v>
      </c>
    </row>
    <row r="119" spans="1:20" s="98" customFormat="1" ht="37.5">
      <c r="A119" s="104">
        <v>1216091</v>
      </c>
      <c r="B119" s="104">
        <v>6091</v>
      </c>
      <c r="C119" s="102" t="s">
        <v>308</v>
      </c>
      <c r="D119" s="107" t="s">
        <v>347</v>
      </c>
      <c r="E119" s="53">
        <f t="shared" ref="E119" si="299">F119+G119</f>
        <v>0</v>
      </c>
      <c r="F119" s="101"/>
      <c r="G119" s="53"/>
      <c r="H119" s="53"/>
      <c r="I119" s="53">
        <f t="shared" ref="I119" si="300">J119+K119</f>
        <v>132453.6</v>
      </c>
      <c r="J119" s="53"/>
      <c r="K119" s="53">
        <v>132453.6</v>
      </c>
      <c r="L119" s="53">
        <v>132453.6</v>
      </c>
      <c r="M119" s="54" t="str">
        <f t="shared" ref="M119" si="301">IFERROR((I119/E119),"")</f>
        <v/>
      </c>
      <c r="N119" s="54" t="str">
        <f t="shared" ref="N119" si="302">IFERROR((J119/F119),"")</f>
        <v/>
      </c>
      <c r="O119" s="54" t="str">
        <f t="shared" ref="O119" si="303">IFERROR((K119/G119),"")</f>
        <v/>
      </c>
      <c r="P119" s="54" t="str">
        <f t="shared" ref="P119" si="304">IFERROR((L119/H119),"")</f>
        <v/>
      </c>
      <c r="Q119" s="55">
        <f t="shared" ref="Q119" si="305">I119-E119</f>
        <v>132453.6</v>
      </c>
      <c r="R119" s="55">
        <f t="shared" ref="R119" si="306">J119-F119</f>
        <v>0</v>
      </c>
      <c r="S119" s="55">
        <f t="shared" ref="S119" si="307">K119-G119</f>
        <v>132453.6</v>
      </c>
      <c r="T119" s="55">
        <f t="shared" ref="T119" si="308">L119-H119</f>
        <v>132453.6</v>
      </c>
    </row>
    <row r="120" spans="1:20" s="98" customFormat="1" ht="93.75">
      <c r="A120" s="104">
        <v>1216093</v>
      </c>
      <c r="B120" s="104">
        <v>6093</v>
      </c>
      <c r="C120" s="102" t="s">
        <v>308</v>
      </c>
      <c r="D120" s="107" t="s">
        <v>350</v>
      </c>
      <c r="E120" s="53">
        <f t="shared" ref="E120" si="309">F120+G120</f>
        <v>0</v>
      </c>
      <c r="F120" s="101"/>
      <c r="G120" s="53"/>
      <c r="H120" s="53"/>
      <c r="I120" s="53">
        <f t="shared" ref="I120" si="310">J120+K120</f>
        <v>37754.870000000003</v>
      </c>
      <c r="J120" s="53">
        <v>37754.870000000003</v>
      </c>
      <c r="K120" s="53"/>
      <c r="L120" s="53"/>
      <c r="M120" s="54" t="str">
        <f t="shared" ref="M120" si="311">IFERROR((I120/E120),"")</f>
        <v/>
      </c>
      <c r="N120" s="54" t="str">
        <f t="shared" ref="N120" si="312">IFERROR((J120/F120),"")</f>
        <v/>
      </c>
      <c r="O120" s="54" t="str">
        <f t="shared" ref="O120" si="313">IFERROR((K120/G120),"")</f>
        <v/>
      </c>
      <c r="P120" s="54" t="str">
        <f t="shared" ref="P120" si="314">IFERROR((L120/H120),"")</f>
        <v/>
      </c>
      <c r="Q120" s="55">
        <f t="shared" ref="Q120" si="315">I120-E120</f>
        <v>37754.870000000003</v>
      </c>
      <c r="R120" s="55">
        <f t="shared" ref="R120" si="316">J120-F120</f>
        <v>37754.870000000003</v>
      </c>
      <c r="S120" s="55">
        <f t="shared" ref="S120" si="317">K120-G120</f>
        <v>0</v>
      </c>
      <c r="T120" s="55">
        <f t="shared" ref="T120" si="318">L120-H120</f>
        <v>0</v>
      </c>
    </row>
    <row r="121" spans="1:20" s="37" customFormat="1" ht="56.25">
      <c r="A121" s="93" t="s">
        <v>122</v>
      </c>
      <c r="B121" s="93" t="s">
        <v>101</v>
      </c>
      <c r="C121" s="93" t="s">
        <v>41</v>
      </c>
      <c r="D121" s="36" t="s">
        <v>102</v>
      </c>
      <c r="E121" s="53">
        <f t="shared" si="283"/>
        <v>12095158.800000001</v>
      </c>
      <c r="F121" s="101">
        <v>12095158.800000001</v>
      </c>
      <c r="G121" s="53"/>
      <c r="H121" s="53"/>
      <c r="I121" s="53">
        <f t="shared" si="185"/>
        <v>12528585.6</v>
      </c>
      <c r="J121" s="53">
        <v>12528585.6</v>
      </c>
      <c r="K121" s="53"/>
      <c r="L121" s="53"/>
      <c r="M121" s="54">
        <f t="shared" si="187"/>
        <v>1.0358347341417293</v>
      </c>
      <c r="N121" s="54">
        <f t="shared" si="188"/>
        <v>1.0358347341417293</v>
      </c>
      <c r="O121" s="54" t="str">
        <f t="shared" si="189"/>
        <v/>
      </c>
      <c r="P121" s="54" t="str">
        <f t="shared" si="190"/>
        <v/>
      </c>
      <c r="Q121" s="55">
        <f t="shared" si="191"/>
        <v>433426.79999999888</v>
      </c>
      <c r="R121" s="55">
        <f t="shared" si="192"/>
        <v>433426.79999999888</v>
      </c>
      <c r="S121" s="55">
        <f t="shared" si="193"/>
        <v>0</v>
      </c>
      <c r="T121" s="55">
        <f t="shared" si="194"/>
        <v>0</v>
      </c>
    </row>
    <row r="122" spans="1:20" s="98" customFormat="1" ht="37.5">
      <c r="A122" s="102" t="s">
        <v>351</v>
      </c>
      <c r="B122" s="102" t="s">
        <v>313</v>
      </c>
      <c r="C122" s="102" t="s">
        <v>296</v>
      </c>
      <c r="D122" s="107" t="s">
        <v>297</v>
      </c>
      <c r="E122" s="53">
        <f t="shared" ref="E122" si="319">F122+G122</f>
        <v>0</v>
      </c>
      <c r="F122" s="101"/>
      <c r="G122" s="53"/>
      <c r="H122" s="53"/>
      <c r="I122" s="53">
        <f t="shared" ref="I122" si="320">J122+K122</f>
        <v>4686</v>
      </c>
      <c r="J122" s="53">
        <f>4686</f>
        <v>4686</v>
      </c>
      <c r="K122" s="53"/>
      <c r="L122" s="53"/>
      <c r="M122" s="54" t="str">
        <f t="shared" ref="M122" si="321">IFERROR((I122/E122),"")</f>
        <v/>
      </c>
      <c r="N122" s="54" t="str">
        <f t="shared" ref="N122" si="322">IFERROR((J122/F122),"")</f>
        <v/>
      </c>
      <c r="O122" s="54" t="str">
        <f t="shared" ref="O122" si="323">IFERROR((K122/G122),"")</f>
        <v/>
      </c>
      <c r="P122" s="54" t="str">
        <f t="shared" ref="P122" si="324">IFERROR((L122/H122),"")</f>
        <v/>
      </c>
      <c r="Q122" s="55">
        <f t="shared" ref="Q122" si="325">I122-E122</f>
        <v>4686</v>
      </c>
      <c r="R122" s="55">
        <f t="shared" ref="R122" si="326">J122-F122</f>
        <v>4686</v>
      </c>
      <c r="S122" s="55">
        <f t="shared" ref="S122" si="327">K122-G122</f>
        <v>0</v>
      </c>
      <c r="T122" s="55">
        <f t="shared" ref="T122" si="328">L122-H122</f>
        <v>0</v>
      </c>
    </row>
    <row r="123" spans="1:20" s="37" customFormat="1" ht="37.5">
      <c r="A123" s="86">
        <v>1217670</v>
      </c>
      <c r="B123" s="86">
        <v>7670</v>
      </c>
      <c r="C123" s="87" t="s">
        <v>20</v>
      </c>
      <c r="D123" s="88" t="s">
        <v>291</v>
      </c>
      <c r="E123" s="53">
        <f t="shared" ref="E123" si="329">F123+G123</f>
        <v>0</v>
      </c>
      <c r="F123" s="53"/>
      <c r="G123" s="53"/>
      <c r="H123" s="53"/>
      <c r="I123" s="53">
        <f t="shared" ref="I123" si="330">J123+K123</f>
        <v>2050506.6</v>
      </c>
      <c r="J123" s="53"/>
      <c r="K123" s="53">
        <f>1459999.8+590506.8</f>
        <v>2050506.6</v>
      </c>
      <c r="L123" s="53">
        <f>1459999.8+590506.8</f>
        <v>2050506.6</v>
      </c>
      <c r="M123" s="54" t="str">
        <f t="shared" ref="M123" si="331">IFERROR((I123/E123),"")</f>
        <v/>
      </c>
      <c r="N123" s="54" t="str">
        <f t="shared" ref="N123" si="332">IFERROR((J123/F123),"")</f>
        <v/>
      </c>
      <c r="O123" s="54" t="str">
        <f t="shared" ref="O123" si="333">IFERROR((K123/G123),"")</f>
        <v/>
      </c>
      <c r="P123" s="54" t="str">
        <f t="shared" ref="P123" si="334">IFERROR((L123/H123),"")</f>
        <v/>
      </c>
      <c r="Q123" s="55">
        <f t="shared" ref="Q123" si="335">I123-E123</f>
        <v>2050506.6</v>
      </c>
      <c r="R123" s="55">
        <f t="shared" ref="R123" si="336">J123-F123</f>
        <v>0</v>
      </c>
      <c r="S123" s="55">
        <f t="shared" ref="S123" si="337">K123-G123</f>
        <v>2050506.6</v>
      </c>
      <c r="T123" s="55">
        <f t="shared" ref="T123" si="338">L123-H123</f>
        <v>2050506.6</v>
      </c>
    </row>
    <row r="124" spans="1:20" s="37" customFormat="1" ht="168.75">
      <c r="A124" s="87">
        <v>1217691</v>
      </c>
      <c r="B124" s="87">
        <v>7691</v>
      </c>
      <c r="C124" s="87" t="s">
        <v>20</v>
      </c>
      <c r="D124" s="88" t="s">
        <v>276</v>
      </c>
      <c r="E124" s="53">
        <f t="shared" si="283"/>
        <v>4923.03</v>
      </c>
      <c r="F124" s="101"/>
      <c r="G124" s="101">
        <v>4923.03</v>
      </c>
      <c r="H124" s="101"/>
      <c r="I124" s="53">
        <f t="shared" si="185"/>
        <v>758.38</v>
      </c>
      <c r="J124" s="53"/>
      <c r="K124" s="53">
        <v>758.38</v>
      </c>
      <c r="L124" s="53"/>
      <c r="M124" s="54">
        <f t="shared" si="187"/>
        <v>0.1540474057643362</v>
      </c>
      <c r="N124" s="54" t="str">
        <f t="shared" si="188"/>
        <v/>
      </c>
      <c r="O124" s="54">
        <f t="shared" si="189"/>
        <v>0.1540474057643362</v>
      </c>
      <c r="P124" s="54" t="str">
        <f t="shared" si="190"/>
        <v/>
      </c>
      <c r="Q124" s="55">
        <f t="shared" si="191"/>
        <v>-4164.6499999999996</v>
      </c>
      <c r="R124" s="55">
        <f t="shared" si="192"/>
        <v>0</v>
      </c>
      <c r="S124" s="55">
        <f t="shared" si="193"/>
        <v>-4164.6499999999996</v>
      </c>
      <c r="T124" s="55">
        <f t="shared" si="194"/>
        <v>0</v>
      </c>
    </row>
    <row r="125" spans="1:20" s="37" customFormat="1" ht="37.5">
      <c r="A125" s="86">
        <v>1217693</v>
      </c>
      <c r="B125" s="86" t="s">
        <v>129</v>
      </c>
      <c r="C125" s="86" t="s">
        <v>20</v>
      </c>
      <c r="D125" s="88" t="s">
        <v>233</v>
      </c>
      <c r="E125" s="53">
        <f t="shared" si="283"/>
        <v>34256941.670000002</v>
      </c>
      <c r="F125" s="101">
        <v>34256941.670000002</v>
      </c>
      <c r="G125" s="53"/>
      <c r="H125" s="53"/>
      <c r="I125" s="53">
        <f t="shared" si="185"/>
        <v>51034927.049999997</v>
      </c>
      <c r="J125" s="53">
        <f>1245216.65+30000000+19789710.4</f>
        <v>51034927.049999997</v>
      </c>
      <c r="K125" s="53"/>
      <c r="L125" s="53"/>
      <c r="M125" s="54">
        <f t="shared" si="187"/>
        <v>1.4897689216283152</v>
      </c>
      <c r="N125" s="54">
        <f t="shared" si="188"/>
        <v>1.4897689216283152</v>
      </c>
      <c r="O125" s="54" t="str">
        <f t="shared" si="189"/>
        <v/>
      </c>
      <c r="P125" s="54" t="str">
        <f t="shared" si="190"/>
        <v/>
      </c>
      <c r="Q125" s="55">
        <f t="shared" si="191"/>
        <v>16777985.379999995</v>
      </c>
      <c r="R125" s="55">
        <f t="shared" si="192"/>
        <v>16777985.379999995</v>
      </c>
      <c r="S125" s="55">
        <f t="shared" si="193"/>
        <v>0</v>
      </c>
      <c r="T125" s="55">
        <f t="shared" si="194"/>
        <v>0</v>
      </c>
    </row>
    <row r="126" spans="1:20" s="37" customFormat="1" ht="56.25">
      <c r="A126" s="86">
        <v>1218110</v>
      </c>
      <c r="B126" s="86">
        <v>8110</v>
      </c>
      <c r="C126" s="87" t="s">
        <v>5</v>
      </c>
      <c r="D126" s="88" t="s">
        <v>131</v>
      </c>
      <c r="E126" s="53">
        <f t="shared" si="283"/>
        <v>1324521.25</v>
      </c>
      <c r="F126" s="101">
        <v>1324521.25</v>
      </c>
      <c r="G126" s="53"/>
      <c r="H126" s="53"/>
      <c r="I126" s="53">
        <f t="shared" si="185"/>
        <v>668533.57999999996</v>
      </c>
      <c r="J126" s="53">
        <f>475046.73+193486.85</f>
        <v>668533.57999999996</v>
      </c>
      <c r="K126" s="53"/>
      <c r="L126" s="53"/>
      <c r="M126" s="54">
        <f t="shared" si="187"/>
        <v>0.50473601688157133</v>
      </c>
      <c r="N126" s="54">
        <f t="shared" si="188"/>
        <v>0.50473601688157133</v>
      </c>
      <c r="O126" s="54" t="str">
        <f t="shared" si="189"/>
        <v/>
      </c>
      <c r="P126" s="54" t="str">
        <f t="shared" si="190"/>
        <v/>
      </c>
      <c r="Q126" s="55">
        <f t="shared" si="191"/>
        <v>-655987.67000000004</v>
      </c>
      <c r="R126" s="55">
        <f t="shared" si="192"/>
        <v>-655987.67000000004</v>
      </c>
      <c r="S126" s="55">
        <f t="shared" si="193"/>
        <v>0</v>
      </c>
      <c r="T126" s="55">
        <f t="shared" si="194"/>
        <v>0</v>
      </c>
    </row>
    <row r="127" spans="1:20" s="37" customFormat="1">
      <c r="A127" s="86">
        <v>1218240</v>
      </c>
      <c r="B127" s="86">
        <v>8240</v>
      </c>
      <c r="C127" s="87" t="s">
        <v>216</v>
      </c>
      <c r="D127" s="20" t="s">
        <v>234</v>
      </c>
      <c r="E127" s="53">
        <f t="shared" si="283"/>
        <v>12700</v>
      </c>
      <c r="F127" s="101">
        <v>12700</v>
      </c>
      <c r="G127" s="53"/>
      <c r="H127" s="53"/>
      <c r="I127" s="53">
        <f t="shared" si="185"/>
        <v>93945</v>
      </c>
      <c r="J127" s="53"/>
      <c r="K127" s="53">
        <v>93945</v>
      </c>
      <c r="L127" s="53">
        <v>93945</v>
      </c>
      <c r="M127" s="54"/>
      <c r="N127" s="54">
        <f t="shared" si="188"/>
        <v>0</v>
      </c>
      <c r="O127" s="54" t="str">
        <f t="shared" si="189"/>
        <v/>
      </c>
      <c r="P127" s="54" t="str">
        <f t="shared" si="190"/>
        <v/>
      </c>
      <c r="Q127" s="55">
        <f t="shared" si="191"/>
        <v>81245</v>
      </c>
      <c r="R127" s="55">
        <f t="shared" si="192"/>
        <v>-12700</v>
      </c>
      <c r="S127" s="55">
        <f t="shared" si="193"/>
        <v>93945</v>
      </c>
      <c r="T127" s="55">
        <f t="shared" si="194"/>
        <v>93945</v>
      </c>
    </row>
    <row r="128" spans="1:20" s="98" customFormat="1" ht="93.75">
      <c r="A128" s="102" t="s">
        <v>352</v>
      </c>
      <c r="B128" s="104">
        <v>8733</v>
      </c>
      <c r="C128" s="102" t="s">
        <v>41</v>
      </c>
      <c r="D128" s="107" t="s">
        <v>353</v>
      </c>
      <c r="E128" s="53">
        <f t="shared" ref="E128" si="339">F128+G128</f>
        <v>0</v>
      </c>
      <c r="F128" s="101"/>
      <c r="G128" s="53"/>
      <c r="H128" s="53"/>
      <c r="I128" s="53">
        <f t="shared" ref="I128" si="340">J128+K128</f>
        <v>123658.8</v>
      </c>
      <c r="J128" s="53">
        <v>123658.8</v>
      </c>
      <c r="K128" s="53"/>
      <c r="L128" s="53"/>
      <c r="M128" s="54"/>
      <c r="N128" s="54" t="str">
        <f t="shared" ref="N128" si="341">IFERROR((J128/F128),"")</f>
        <v/>
      </c>
      <c r="O128" s="54" t="str">
        <f t="shared" ref="O128" si="342">IFERROR((K128/G128),"")</f>
        <v/>
      </c>
      <c r="P128" s="54" t="str">
        <f t="shared" ref="P128" si="343">IFERROR((L128/H128),"")</f>
        <v/>
      </c>
      <c r="Q128" s="55">
        <f t="shared" ref="Q128" si="344">I128-E128</f>
        <v>123658.8</v>
      </c>
      <c r="R128" s="55">
        <f t="shared" ref="R128" si="345">J128-F128</f>
        <v>123658.8</v>
      </c>
      <c r="S128" s="55">
        <f t="shared" ref="S128" si="346">K128-G128</f>
        <v>0</v>
      </c>
      <c r="T128" s="55">
        <f t="shared" ref="T128" si="347">L128-H128</f>
        <v>0</v>
      </c>
    </row>
    <row r="129" spans="1:20" s="37" customFormat="1" ht="75">
      <c r="A129" s="61" t="s">
        <v>306</v>
      </c>
      <c r="B129" s="62">
        <v>8741</v>
      </c>
      <c r="C129" s="61" t="s">
        <v>39</v>
      </c>
      <c r="D129" s="115" t="s">
        <v>307</v>
      </c>
      <c r="E129" s="53">
        <f t="shared" ref="E129" si="348">F129+G129</f>
        <v>0</v>
      </c>
      <c r="F129" s="53"/>
      <c r="G129" s="53"/>
      <c r="H129" s="53"/>
      <c r="I129" s="53">
        <f t="shared" ref="I129" si="349">J129+K129</f>
        <v>373762.15</v>
      </c>
      <c r="J129" s="53">
        <v>373762.15</v>
      </c>
      <c r="K129" s="53"/>
      <c r="L129" s="53"/>
      <c r="M129" s="54" t="str">
        <f t="shared" ref="M129" si="350">IFERROR((I129/E129),"")</f>
        <v/>
      </c>
      <c r="N129" s="54" t="str">
        <f t="shared" ref="N129" si="351">IFERROR((J129/F129),"")</f>
        <v/>
      </c>
      <c r="O129" s="54" t="str">
        <f t="shared" ref="O129" si="352">IFERROR((K129/G129),"")</f>
        <v/>
      </c>
      <c r="P129" s="54" t="str">
        <f t="shared" ref="P129" si="353">IFERROR((L129/H129),"")</f>
        <v/>
      </c>
      <c r="Q129" s="55">
        <f t="shared" ref="Q129" si="354">I129-E129</f>
        <v>373762.15</v>
      </c>
      <c r="R129" s="55">
        <f t="shared" ref="R129" si="355">J129-F129</f>
        <v>373762.15</v>
      </c>
      <c r="S129" s="55">
        <f t="shared" ref="S129" si="356">K129-G129</f>
        <v>0</v>
      </c>
      <c r="T129" s="55">
        <f t="shared" ref="T129" si="357">L129-H129</f>
        <v>0</v>
      </c>
    </row>
    <row r="130" spans="1:20" s="28" customFormat="1" ht="56.25">
      <c r="A130" s="23" t="s">
        <v>25</v>
      </c>
      <c r="B130" s="23"/>
      <c r="C130" s="23"/>
      <c r="D130" s="10" t="s">
        <v>207</v>
      </c>
      <c r="E130" s="52">
        <f t="shared" ref="E130:L130" si="358">E131</f>
        <v>23489968.340000004</v>
      </c>
      <c r="F130" s="52">
        <f t="shared" si="358"/>
        <v>1979483.96</v>
      </c>
      <c r="G130" s="52">
        <f t="shared" si="358"/>
        <v>21510484.380000003</v>
      </c>
      <c r="H130" s="52">
        <f t="shared" si="358"/>
        <v>21510484.380000003</v>
      </c>
      <c r="I130" s="52">
        <f t="shared" si="358"/>
        <v>38735064.319999993</v>
      </c>
      <c r="J130" s="52">
        <f t="shared" si="358"/>
        <v>2871297.07</v>
      </c>
      <c r="K130" s="52">
        <f t="shared" si="358"/>
        <v>35863767.249999993</v>
      </c>
      <c r="L130" s="52">
        <f t="shared" si="358"/>
        <v>35863767.249999993</v>
      </c>
      <c r="M130" s="50">
        <f t="shared" si="187"/>
        <v>1.6490045350142004</v>
      </c>
      <c r="N130" s="50">
        <f t="shared" si="188"/>
        <v>1.4505280810661381</v>
      </c>
      <c r="O130" s="50">
        <f t="shared" si="189"/>
        <v>1.6672691612349451</v>
      </c>
      <c r="P130" s="50">
        <f t="shared" si="190"/>
        <v>1.6672691612349451</v>
      </c>
      <c r="Q130" s="51">
        <f t="shared" si="191"/>
        <v>15245095.979999989</v>
      </c>
      <c r="R130" s="51">
        <f t="shared" si="192"/>
        <v>891813.10999999987</v>
      </c>
      <c r="S130" s="51">
        <f t="shared" si="193"/>
        <v>14353282.86999999</v>
      </c>
      <c r="T130" s="51">
        <f t="shared" si="194"/>
        <v>14353282.86999999</v>
      </c>
    </row>
    <row r="131" spans="1:20" s="28" customFormat="1" ht="56.25">
      <c r="A131" s="23" t="s">
        <v>26</v>
      </c>
      <c r="B131" s="23"/>
      <c r="C131" s="23"/>
      <c r="D131" s="10" t="s">
        <v>207</v>
      </c>
      <c r="E131" s="52">
        <f t="shared" ref="E131:E146" si="359">F131+G131</f>
        <v>23489968.340000004</v>
      </c>
      <c r="F131" s="52">
        <f>F133+F146+F134+F143+F145+F136+F138+F139+F142+F144+F141+F132+F135+F137+F140</f>
        <v>1979483.96</v>
      </c>
      <c r="G131" s="52">
        <f t="shared" ref="G131:H131" si="360">G133+G146+G134+G143+G145+G136+G138+G139+G142+G144+G141+G132+G135+G137+G140</f>
        <v>21510484.380000003</v>
      </c>
      <c r="H131" s="52">
        <f t="shared" si="360"/>
        <v>21510484.380000003</v>
      </c>
      <c r="I131" s="52">
        <f t="shared" ref="I131:I132" si="361">J131+K131</f>
        <v>38735064.319999993</v>
      </c>
      <c r="J131" s="116">
        <f>J133+J146+J134+J143+J145+J136+J138+J139+J142+J144+J141+J132+J135+J137+J140</f>
        <v>2871297.07</v>
      </c>
      <c r="K131" s="116">
        <f t="shared" ref="K131:L131" si="362">K133+K146+K134+K143+K145+K136+K138+K139+K142+K144+K141+K132+K135+K137+K140</f>
        <v>35863767.249999993</v>
      </c>
      <c r="L131" s="52">
        <f t="shared" si="362"/>
        <v>35863767.249999993</v>
      </c>
      <c r="M131" s="50">
        <f t="shared" si="187"/>
        <v>1.6490045350142004</v>
      </c>
      <c r="N131" s="50">
        <f t="shared" si="188"/>
        <v>1.4505280810661381</v>
      </c>
      <c r="O131" s="50">
        <f t="shared" si="189"/>
        <v>1.6672691612349451</v>
      </c>
      <c r="P131" s="50">
        <f t="shared" si="190"/>
        <v>1.6672691612349451</v>
      </c>
      <c r="Q131" s="51">
        <f t="shared" si="191"/>
        <v>15245095.979999989</v>
      </c>
      <c r="R131" s="51">
        <f t="shared" si="192"/>
        <v>891813.10999999987</v>
      </c>
      <c r="S131" s="51">
        <f t="shared" si="193"/>
        <v>14353282.86999999</v>
      </c>
      <c r="T131" s="51">
        <f t="shared" si="194"/>
        <v>14353282.86999999</v>
      </c>
    </row>
    <row r="132" spans="1:20" s="28" customFormat="1" ht="76.5" customHeight="1">
      <c r="A132" s="104">
        <v>1510150</v>
      </c>
      <c r="B132" s="102" t="s">
        <v>52</v>
      </c>
      <c r="C132" s="102" t="s">
        <v>3</v>
      </c>
      <c r="D132" s="107" t="s">
        <v>364</v>
      </c>
      <c r="E132" s="53">
        <f t="shared" ref="E132" si="363">F132+G132</f>
        <v>0</v>
      </c>
      <c r="F132" s="101"/>
      <c r="G132" s="101"/>
      <c r="H132" s="101"/>
      <c r="I132" s="53">
        <f t="shared" si="361"/>
        <v>335909.49</v>
      </c>
      <c r="J132" s="53"/>
      <c r="K132" s="53">
        <v>335909.49</v>
      </c>
      <c r="L132" s="53">
        <v>335909.49</v>
      </c>
      <c r="M132" s="54" t="str">
        <f t="shared" ref="M132" si="364">IFERROR((I132/E132),"")</f>
        <v/>
      </c>
      <c r="N132" s="54" t="str">
        <f t="shared" ref="N132" si="365">IFERROR((J132/F132),"")</f>
        <v/>
      </c>
      <c r="O132" s="54" t="str">
        <f t="shared" ref="O132" si="366">IFERROR((K132/G132),"")</f>
        <v/>
      </c>
      <c r="P132" s="54" t="str">
        <f t="shared" ref="P132" si="367">IFERROR((L132/H132),"")</f>
        <v/>
      </c>
      <c r="Q132" s="55">
        <f t="shared" ref="Q132" si="368">I132-E132</f>
        <v>335909.49</v>
      </c>
      <c r="R132" s="55">
        <f t="shared" ref="R132" si="369">J132-F132</f>
        <v>0</v>
      </c>
      <c r="S132" s="55">
        <f t="shared" ref="S132" si="370">K132-G132</f>
        <v>335909.49</v>
      </c>
      <c r="T132" s="55">
        <f t="shared" ref="T132" si="371">L132-H132</f>
        <v>335909.49</v>
      </c>
    </row>
    <row r="133" spans="1:20" s="37" customFormat="1" ht="56.25">
      <c r="A133" s="93" t="s">
        <v>94</v>
      </c>
      <c r="B133" s="93" t="s">
        <v>58</v>
      </c>
      <c r="C133" s="93" t="s">
        <v>3</v>
      </c>
      <c r="D133" s="22" t="s">
        <v>227</v>
      </c>
      <c r="E133" s="53">
        <f t="shared" si="359"/>
        <v>1942058.96</v>
      </c>
      <c r="F133" s="101">
        <v>1942058.96</v>
      </c>
      <c r="G133" s="101"/>
      <c r="H133" s="101"/>
      <c r="I133" s="53">
        <f t="shared" si="185"/>
        <v>2832088.07</v>
      </c>
      <c r="J133" s="53">
        <v>2832088.07</v>
      </c>
      <c r="K133" s="53"/>
      <c r="L133" s="53"/>
      <c r="M133" s="54">
        <f t="shared" si="187"/>
        <v>1.4582914980088966</v>
      </c>
      <c r="N133" s="54">
        <f t="shared" si="188"/>
        <v>1.4582914980088966</v>
      </c>
      <c r="O133" s="54" t="str">
        <f t="shared" si="189"/>
        <v/>
      </c>
      <c r="P133" s="54" t="str">
        <f t="shared" si="190"/>
        <v/>
      </c>
      <c r="Q133" s="55">
        <f t="shared" si="191"/>
        <v>890029.10999999987</v>
      </c>
      <c r="R133" s="55">
        <f t="shared" si="192"/>
        <v>890029.10999999987</v>
      </c>
      <c r="S133" s="55">
        <f t="shared" si="193"/>
        <v>0</v>
      </c>
      <c r="T133" s="55">
        <f t="shared" si="194"/>
        <v>0</v>
      </c>
    </row>
    <row r="134" spans="1:20" s="37" customFormat="1" ht="37.5">
      <c r="A134" s="86" t="s">
        <v>254</v>
      </c>
      <c r="B134" s="86" t="s">
        <v>8</v>
      </c>
      <c r="C134" s="86" t="s">
        <v>6</v>
      </c>
      <c r="D134" s="88" t="s">
        <v>106</v>
      </c>
      <c r="E134" s="53">
        <f t="shared" si="359"/>
        <v>37425</v>
      </c>
      <c r="F134" s="101">
        <v>37425</v>
      </c>
      <c r="G134" s="101"/>
      <c r="H134" s="101"/>
      <c r="I134" s="53">
        <f t="shared" si="185"/>
        <v>0</v>
      </c>
      <c r="J134" s="53"/>
      <c r="K134" s="53"/>
      <c r="L134" s="53"/>
      <c r="M134" s="54">
        <f t="shared" si="187"/>
        <v>0</v>
      </c>
      <c r="N134" s="54">
        <f t="shared" si="188"/>
        <v>0</v>
      </c>
      <c r="O134" s="54" t="str">
        <f t="shared" si="189"/>
        <v/>
      </c>
      <c r="P134" s="54" t="str">
        <f t="shared" si="190"/>
        <v/>
      </c>
      <c r="Q134" s="55">
        <f t="shared" si="191"/>
        <v>-37425</v>
      </c>
      <c r="R134" s="55">
        <f t="shared" si="192"/>
        <v>-37425</v>
      </c>
      <c r="S134" s="55">
        <f t="shared" si="193"/>
        <v>0</v>
      </c>
      <c r="T134" s="55">
        <f t="shared" si="194"/>
        <v>0</v>
      </c>
    </row>
    <row r="135" spans="1:20" s="98" customFormat="1">
      <c r="A135" s="104">
        <v>1511300</v>
      </c>
      <c r="B135" s="102" t="s">
        <v>365</v>
      </c>
      <c r="C135" s="102" t="s">
        <v>16</v>
      </c>
      <c r="D135" s="107" t="s">
        <v>366</v>
      </c>
      <c r="E135" s="53">
        <f t="shared" ref="E135" si="372">F135+G135</f>
        <v>0</v>
      </c>
      <c r="F135" s="101"/>
      <c r="G135" s="101"/>
      <c r="H135" s="101"/>
      <c r="I135" s="53">
        <f t="shared" ref="I135" si="373">J135+K135</f>
        <v>15623694.880000001</v>
      </c>
      <c r="J135" s="53"/>
      <c r="K135" s="53">
        <v>15623694.880000001</v>
      </c>
      <c r="L135" s="53">
        <v>15623694.880000001</v>
      </c>
      <c r="M135" s="54" t="str">
        <f t="shared" ref="M135" si="374">IFERROR((I135/E135),"")</f>
        <v/>
      </c>
      <c r="N135" s="54" t="str">
        <f t="shared" ref="N135" si="375">IFERROR((J135/F135),"")</f>
        <v/>
      </c>
      <c r="O135" s="54" t="str">
        <f t="shared" ref="O135" si="376">IFERROR((K135/G135),"")</f>
        <v/>
      </c>
      <c r="P135" s="54" t="str">
        <f t="shared" ref="P135" si="377">IFERROR((L135/H135),"")</f>
        <v/>
      </c>
      <c r="Q135" s="55">
        <f t="shared" ref="Q135" si="378">I135-E135</f>
        <v>15623694.880000001</v>
      </c>
      <c r="R135" s="55">
        <f t="shared" ref="R135" si="379">J135-F135</f>
        <v>0</v>
      </c>
      <c r="S135" s="55">
        <f t="shared" ref="S135" si="380">K135-G135</f>
        <v>15623694.880000001</v>
      </c>
      <c r="T135" s="55">
        <f t="shared" ref="T135" si="381">L135-H135</f>
        <v>15623694.880000001</v>
      </c>
    </row>
    <row r="136" spans="1:20" s="37" customFormat="1" ht="37.5">
      <c r="A136" s="87">
        <v>1512010</v>
      </c>
      <c r="B136" s="87">
        <v>2010</v>
      </c>
      <c r="C136" s="87" t="s">
        <v>29</v>
      </c>
      <c r="D136" s="88" t="s">
        <v>155</v>
      </c>
      <c r="E136" s="53">
        <f t="shared" si="359"/>
        <v>1110730.92</v>
      </c>
      <c r="F136" s="101"/>
      <c r="G136" s="101">
        <v>1110730.92</v>
      </c>
      <c r="H136" s="101">
        <v>1110730.92</v>
      </c>
      <c r="I136" s="53">
        <f t="shared" si="185"/>
        <v>0</v>
      </c>
      <c r="J136" s="53"/>
      <c r="K136" s="53"/>
      <c r="L136" s="53"/>
      <c r="M136" s="54">
        <f t="shared" ref="M136" si="382">IFERROR((I136/E136),"")</f>
        <v>0</v>
      </c>
      <c r="N136" s="54" t="str">
        <f t="shared" ref="N136" si="383">IFERROR((J136/F136),"")</f>
        <v/>
      </c>
      <c r="O136" s="54">
        <f t="shared" ref="O136" si="384">IFERROR((K136/G136),"")</f>
        <v>0</v>
      </c>
      <c r="P136" s="54">
        <f t="shared" ref="P136" si="385">IFERROR((L136/H136),"")</f>
        <v>0</v>
      </c>
      <c r="Q136" s="55">
        <f t="shared" si="191"/>
        <v>-1110730.92</v>
      </c>
      <c r="R136" s="55">
        <f t="shared" si="192"/>
        <v>0</v>
      </c>
      <c r="S136" s="55">
        <f t="shared" si="193"/>
        <v>-1110730.92</v>
      </c>
      <c r="T136" s="55">
        <f t="shared" si="194"/>
        <v>-1110730.92</v>
      </c>
    </row>
    <row r="137" spans="1:20" s="98" customFormat="1" ht="93.75">
      <c r="A137" s="104">
        <v>1512171</v>
      </c>
      <c r="B137" s="102" t="s">
        <v>367</v>
      </c>
      <c r="C137" s="102" t="s">
        <v>123</v>
      </c>
      <c r="D137" s="107" t="s">
        <v>368</v>
      </c>
      <c r="E137" s="53">
        <f t="shared" ref="E137" si="386">F137+G137</f>
        <v>0</v>
      </c>
      <c r="F137" s="101"/>
      <c r="G137" s="101"/>
      <c r="H137" s="101"/>
      <c r="I137" s="53">
        <f t="shared" ref="I137" si="387">J137+K137</f>
        <v>499270.91</v>
      </c>
      <c r="J137" s="53"/>
      <c r="K137" s="53">
        <v>499270.91</v>
      </c>
      <c r="L137" s="53">
        <v>499270.91</v>
      </c>
      <c r="M137" s="54" t="str">
        <f t="shared" ref="M137" si="388">IFERROR((I137/E137),"")</f>
        <v/>
      </c>
      <c r="N137" s="54" t="str">
        <f t="shared" ref="N137" si="389">IFERROR((J137/F137),"")</f>
        <v/>
      </c>
      <c r="O137" s="54" t="str">
        <f t="shared" ref="O137" si="390">IFERROR((K137/G137),"")</f>
        <v/>
      </c>
      <c r="P137" s="54" t="str">
        <f t="shared" ref="P137" si="391">IFERROR((L137/H137),"")</f>
        <v/>
      </c>
      <c r="Q137" s="55">
        <f t="shared" ref="Q137" si="392">I137-E137</f>
        <v>499270.91</v>
      </c>
      <c r="R137" s="55">
        <f t="shared" ref="R137" si="393">J137-F137</f>
        <v>0</v>
      </c>
      <c r="S137" s="55">
        <f t="shared" ref="S137" si="394">K137-G137</f>
        <v>499270.91</v>
      </c>
      <c r="T137" s="55">
        <f t="shared" ref="T137" si="395">L137-H137</f>
        <v>499270.91</v>
      </c>
    </row>
    <row r="138" spans="1:20" s="37" customFormat="1" ht="37.5">
      <c r="A138" s="87" t="s">
        <v>277</v>
      </c>
      <c r="B138" s="87" t="s">
        <v>104</v>
      </c>
      <c r="C138" s="87" t="s">
        <v>7</v>
      </c>
      <c r="D138" s="88" t="s">
        <v>105</v>
      </c>
      <c r="E138" s="53">
        <f t="shared" si="359"/>
        <v>382749.55</v>
      </c>
      <c r="F138" s="53"/>
      <c r="G138" s="101">
        <v>382749.55</v>
      </c>
      <c r="H138" s="101">
        <v>382749.55</v>
      </c>
      <c r="I138" s="53">
        <f t="shared" si="185"/>
        <v>0</v>
      </c>
      <c r="J138" s="53"/>
      <c r="K138" s="53"/>
      <c r="L138" s="53"/>
      <c r="M138" s="54">
        <f t="shared" si="187"/>
        <v>0</v>
      </c>
      <c r="N138" s="54" t="str">
        <f t="shared" si="188"/>
        <v/>
      </c>
      <c r="O138" s="54">
        <f t="shared" si="189"/>
        <v>0</v>
      </c>
      <c r="P138" s="54">
        <f t="shared" si="190"/>
        <v>0</v>
      </c>
      <c r="Q138" s="55">
        <f t="shared" si="191"/>
        <v>-382749.55</v>
      </c>
      <c r="R138" s="55">
        <f t="shared" si="192"/>
        <v>0</v>
      </c>
      <c r="S138" s="55">
        <f t="shared" si="193"/>
        <v>-382749.55</v>
      </c>
      <c r="T138" s="55">
        <f t="shared" si="194"/>
        <v>-382749.55</v>
      </c>
    </row>
    <row r="139" spans="1:20" s="37" customFormat="1" ht="37.5">
      <c r="A139" s="87" t="s">
        <v>278</v>
      </c>
      <c r="B139" s="87" t="s">
        <v>274</v>
      </c>
      <c r="C139" s="87" t="s">
        <v>7</v>
      </c>
      <c r="D139" s="88" t="s">
        <v>275</v>
      </c>
      <c r="E139" s="53">
        <f t="shared" si="359"/>
        <v>3666824.02</v>
      </c>
      <c r="F139" s="53"/>
      <c r="G139" s="101">
        <v>3666824.02</v>
      </c>
      <c r="H139" s="101">
        <v>3666824.02</v>
      </c>
      <c r="I139" s="53">
        <f>J139+K139</f>
        <v>486000</v>
      </c>
      <c r="J139" s="53"/>
      <c r="K139" s="53">
        <v>486000</v>
      </c>
      <c r="L139" s="53">
        <v>486000</v>
      </c>
      <c r="M139" s="54">
        <f t="shared" ref="M139" si="396">IFERROR((I139/E139),"")</f>
        <v>0.1325397666616136</v>
      </c>
      <c r="N139" s="54" t="str">
        <f t="shared" ref="N139" si="397">IFERROR((J139/F139),"")</f>
        <v/>
      </c>
      <c r="O139" s="54">
        <f t="shared" ref="O139" si="398">IFERROR((K139/G139),"")</f>
        <v>0.1325397666616136</v>
      </c>
      <c r="P139" s="54">
        <f t="shared" ref="P139" si="399">IFERROR((L139/H139),"")</f>
        <v>0.1325397666616136</v>
      </c>
      <c r="Q139" s="55">
        <f t="shared" si="191"/>
        <v>-3180824.02</v>
      </c>
      <c r="R139" s="55">
        <f t="shared" si="192"/>
        <v>0</v>
      </c>
      <c r="S139" s="55">
        <f t="shared" si="193"/>
        <v>-3180824.02</v>
      </c>
      <c r="T139" s="55">
        <f t="shared" si="194"/>
        <v>-3180824.02</v>
      </c>
    </row>
    <row r="140" spans="1:20" s="98" customFormat="1" ht="37.5">
      <c r="A140" s="104">
        <v>1516091</v>
      </c>
      <c r="B140" s="102" t="s">
        <v>369</v>
      </c>
      <c r="C140" s="102" t="s">
        <v>308</v>
      </c>
      <c r="D140" s="107" t="s">
        <v>347</v>
      </c>
      <c r="E140" s="53">
        <f t="shared" ref="E140" si="400">F140+G140</f>
        <v>0</v>
      </c>
      <c r="F140" s="53"/>
      <c r="G140" s="101"/>
      <c r="H140" s="101"/>
      <c r="I140" s="53">
        <f>J140+K140</f>
        <v>926968.8</v>
      </c>
      <c r="J140" s="53"/>
      <c r="K140" s="53">
        <v>926968.8</v>
      </c>
      <c r="L140" s="53">
        <v>926968.8</v>
      </c>
      <c r="M140" s="54" t="str">
        <f t="shared" ref="M140" si="401">IFERROR((I140/E140),"")</f>
        <v/>
      </c>
      <c r="N140" s="54" t="str">
        <f t="shared" ref="N140" si="402">IFERROR((J140/F140),"")</f>
        <v/>
      </c>
      <c r="O140" s="54" t="str">
        <f t="shared" ref="O140" si="403">IFERROR((K140/G140),"")</f>
        <v/>
      </c>
      <c r="P140" s="54" t="str">
        <f t="shared" ref="P140" si="404">IFERROR((L140/H140),"")</f>
        <v/>
      </c>
      <c r="Q140" s="55">
        <f t="shared" ref="Q140" si="405">I140-E140</f>
        <v>926968.8</v>
      </c>
      <c r="R140" s="55">
        <f t="shared" ref="R140" si="406">J140-F140</f>
        <v>0</v>
      </c>
      <c r="S140" s="55">
        <f t="shared" ref="S140" si="407">K140-G140</f>
        <v>926968.8</v>
      </c>
      <c r="T140" s="55">
        <f t="shared" ref="T140" si="408">L140-H140</f>
        <v>926968.8</v>
      </c>
    </row>
    <row r="141" spans="1:20" s="94" customFormat="1" ht="37.5">
      <c r="A141" s="96">
        <v>1517310</v>
      </c>
      <c r="B141" s="97" t="s">
        <v>346</v>
      </c>
      <c r="C141" s="97" t="s">
        <v>255</v>
      </c>
      <c r="D141" s="95" t="s">
        <v>347</v>
      </c>
      <c r="E141" s="53">
        <f t="shared" ref="E141" si="409">F141+G141</f>
        <v>3689136</v>
      </c>
      <c r="F141" s="53"/>
      <c r="G141" s="101">
        <v>3689136</v>
      </c>
      <c r="H141" s="101">
        <v>3689136</v>
      </c>
      <c r="I141" s="53">
        <f>J141+K141</f>
        <v>0</v>
      </c>
      <c r="J141" s="53"/>
      <c r="K141" s="53"/>
      <c r="L141" s="53"/>
      <c r="M141" s="54">
        <f t="shared" ref="M141" si="410">IFERROR((I141/E141),"")</f>
        <v>0</v>
      </c>
      <c r="N141" s="54" t="str">
        <f t="shared" ref="N141" si="411">IFERROR((J141/F141),"")</f>
        <v/>
      </c>
      <c r="O141" s="54">
        <f t="shared" ref="O141" si="412">IFERROR((K141/G141),"")</f>
        <v>0</v>
      </c>
      <c r="P141" s="54">
        <f t="shared" ref="P141" si="413">IFERROR((L141/H141),"")</f>
        <v>0</v>
      </c>
      <c r="Q141" s="55">
        <f t="shared" ref="Q141" si="414">I141-E141</f>
        <v>-3689136</v>
      </c>
      <c r="R141" s="55">
        <f t="shared" ref="R141" si="415">J141-F141</f>
        <v>0</v>
      </c>
      <c r="S141" s="55">
        <f t="shared" ref="S141" si="416">K141-G141</f>
        <v>-3689136</v>
      </c>
      <c r="T141" s="55">
        <f t="shared" ref="T141" si="417">L141-H141</f>
        <v>-3689136</v>
      </c>
    </row>
    <row r="142" spans="1:20" s="37" customFormat="1" ht="37.5">
      <c r="A142" s="87" t="s">
        <v>292</v>
      </c>
      <c r="B142" s="87" t="s">
        <v>293</v>
      </c>
      <c r="C142" s="87" t="s">
        <v>20</v>
      </c>
      <c r="D142" s="88" t="s">
        <v>294</v>
      </c>
      <c r="E142" s="53">
        <f t="shared" ref="E142" si="418">F142+G142</f>
        <v>0</v>
      </c>
      <c r="F142" s="53"/>
      <c r="G142" s="53"/>
      <c r="H142" s="53"/>
      <c r="I142" s="53">
        <f t="shared" ref="I142" si="419">J142+K142</f>
        <v>10126234.949999999</v>
      </c>
      <c r="J142" s="53"/>
      <c r="K142" s="53">
        <v>10126234.949999999</v>
      </c>
      <c r="L142" s="53">
        <v>10126234.949999999</v>
      </c>
      <c r="M142" s="54" t="str">
        <f t="shared" ref="M142" si="420">IFERROR((I142/E142),"")</f>
        <v/>
      </c>
      <c r="N142" s="54" t="str">
        <f t="shared" ref="N142" si="421">IFERROR((J142/F142),"")</f>
        <v/>
      </c>
      <c r="O142" s="54" t="str">
        <f t="shared" ref="O142:O143" si="422">IFERROR((K142/G142),"")</f>
        <v/>
      </c>
      <c r="P142" s="54" t="str">
        <f t="shared" ref="P142:P143" si="423">IFERROR((L142/H142),"")</f>
        <v/>
      </c>
      <c r="Q142" s="55">
        <f t="shared" ref="Q142" si="424">I142-E142</f>
        <v>10126234.949999999</v>
      </c>
      <c r="R142" s="55">
        <f t="shared" ref="R142" si="425">J142-F142</f>
        <v>0</v>
      </c>
      <c r="S142" s="55">
        <f t="shared" ref="S142" si="426">K142-G142</f>
        <v>10126234.949999999</v>
      </c>
      <c r="T142" s="55">
        <f t="shared" ref="T142" si="427">L142-H142</f>
        <v>10126234.949999999</v>
      </c>
    </row>
    <row r="143" spans="1:20" s="37" customFormat="1" ht="37.5">
      <c r="A143" s="100">
        <v>1517370</v>
      </c>
      <c r="B143" s="100">
        <v>7370</v>
      </c>
      <c r="C143" s="43" t="s">
        <v>20</v>
      </c>
      <c r="D143" s="99" t="s">
        <v>283</v>
      </c>
      <c r="E143" s="53">
        <f t="shared" si="359"/>
        <v>0</v>
      </c>
      <c r="F143" s="53"/>
      <c r="G143" s="53"/>
      <c r="H143" s="53"/>
      <c r="I143" s="53">
        <f t="shared" si="185"/>
        <v>7865688.2199999997</v>
      </c>
      <c r="J143" s="53"/>
      <c r="K143" s="53">
        <v>7865688.2199999997</v>
      </c>
      <c r="L143" s="53">
        <v>7865688.2199999997</v>
      </c>
      <c r="M143" s="54"/>
      <c r="N143" s="54" t="str">
        <f t="shared" ref="N143:N167" si="428">IFERROR((J143/F143),"")</f>
        <v/>
      </c>
      <c r="O143" s="54" t="str">
        <f t="shared" si="422"/>
        <v/>
      </c>
      <c r="P143" s="54" t="str">
        <f t="shared" si="423"/>
        <v/>
      </c>
      <c r="Q143" s="55">
        <f t="shared" ref="Q143:Q167" si="429">I143-E143</f>
        <v>7865688.2199999997</v>
      </c>
      <c r="R143" s="55">
        <f t="shared" ref="R143:R167" si="430">J143-F143</f>
        <v>0</v>
      </c>
      <c r="S143" s="55">
        <f t="shared" ref="S143:S167" si="431">K143-G143</f>
        <v>7865688.2199999997</v>
      </c>
      <c r="T143" s="55">
        <f t="shared" ref="T143:T167" si="432">L143-H143</f>
        <v>7865688.2199999997</v>
      </c>
    </row>
    <row r="144" spans="1:20" s="37" customFormat="1" ht="33.75" customHeight="1">
      <c r="A144" s="103" t="s">
        <v>315</v>
      </c>
      <c r="B144" s="103" t="s">
        <v>313</v>
      </c>
      <c r="C144" s="103" t="s">
        <v>296</v>
      </c>
      <c r="D144" s="109" t="s">
        <v>297</v>
      </c>
      <c r="E144" s="53">
        <f t="shared" ref="E144" si="433">F144+G144</f>
        <v>0</v>
      </c>
      <c r="F144" s="53"/>
      <c r="G144" s="53"/>
      <c r="H144" s="53"/>
      <c r="I144" s="53">
        <f t="shared" ref="I144" si="434">J144+K144</f>
        <v>39209</v>
      </c>
      <c r="J144" s="53">
        <v>39209</v>
      </c>
      <c r="K144" s="53"/>
      <c r="L144" s="53"/>
      <c r="M144" s="54" t="str">
        <f t="shared" ref="M144" si="435">IFERROR((I144/E144),"")</f>
        <v/>
      </c>
      <c r="N144" s="54" t="str">
        <f t="shared" ref="N144" si="436">IFERROR((J144/F144),"")</f>
        <v/>
      </c>
      <c r="O144" s="54" t="str">
        <f t="shared" ref="O144" si="437">IFERROR((K144/G144),"")</f>
        <v/>
      </c>
      <c r="P144" s="54" t="str">
        <f t="shared" ref="P144" si="438">IFERROR((L144/H144),"")</f>
        <v/>
      </c>
      <c r="Q144" s="55">
        <f t="shared" ref="Q144" si="439">I144-E144</f>
        <v>39209</v>
      </c>
      <c r="R144" s="55">
        <f t="shared" ref="R144" si="440">J144-F144</f>
        <v>39209</v>
      </c>
      <c r="S144" s="55">
        <f t="shared" ref="S144" si="441">K144-G144</f>
        <v>0</v>
      </c>
      <c r="T144" s="55">
        <f t="shared" ref="T144" si="442">L144-H144</f>
        <v>0</v>
      </c>
    </row>
    <row r="145" spans="1:20" s="37" customFormat="1">
      <c r="A145" s="87" t="s">
        <v>257</v>
      </c>
      <c r="B145" s="87" t="s">
        <v>258</v>
      </c>
      <c r="C145" s="87" t="s">
        <v>259</v>
      </c>
      <c r="D145" s="88" t="s">
        <v>260</v>
      </c>
      <c r="E145" s="53">
        <f t="shared" si="359"/>
        <v>5577695.79</v>
      </c>
      <c r="F145" s="53"/>
      <c r="G145" s="101">
        <v>5577695.79</v>
      </c>
      <c r="H145" s="101">
        <v>5577695.79</v>
      </c>
      <c r="I145" s="53">
        <f t="shared" si="185"/>
        <v>0</v>
      </c>
      <c r="J145" s="53"/>
      <c r="K145" s="53"/>
      <c r="L145" s="53"/>
      <c r="M145" s="54">
        <f t="shared" ref="M145:M167" si="443">IFERROR((I145/E145),"")</f>
        <v>0</v>
      </c>
      <c r="N145" s="54" t="str">
        <f t="shared" si="428"/>
        <v/>
      </c>
      <c r="O145" s="54">
        <f t="shared" ref="O145:O167" si="444">IFERROR((K145/G145),"")</f>
        <v>0</v>
      </c>
      <c r="P145" s="54">
        <f t="shared" ref="P145:P167" si="445">IFERROR((L145/H145),"")</f>
        <v>0</v>
      </c>
      <c r="Q145" s="55">
        <f t="shared" si="429"/>
        <v>-5577695.79</v>
      </c>
      <c r="R145" s="55">
        <f t="shared" si="430"/>
        <v>0</v>
      </c>
      <c r="S145" s="55">
        <f t="shared" si="431"/>
        <v>-5577695.79</v>
      </c>
      <c r="T145" s="55">
        <f t="shared" si="432"/>
        <v>-5577695.79</v>
      </c>
    </row>
    <row r="146" spans="1:20" s="37" customFormat="1" ht="56.25">
      <c r="A146" s="87" t="s">
        <v>235</v>
      </c>
      <c r="B146" s="86">
        <v>8110</v>
      </c>
      <c r="C146" s="87" t="s">
        <v>5</v>
      </c>
      <c r="D146" s="88" t="s">
        <v>131</v>
      </c>
      <c r="E146" s="53">
        <f t="shared" si="359"/>
        <v>7083348.0999999996</v>
      </c>
      <c r="F146" s="53"/>
      <c r="G146" s="101">
        <v>7083348.0999999996</v>
      </c>
      <c r="H146" s="101">
        <v>7083348.0999999996</v>
      </c>
      <c r="I146" s="53">
        <f t="shared" si="185"/>
        <v>0</v>
      </c>
      <c r="J146" s="53"/>
      <c r="K146" s="53"/>
      <c r="L146" s="53"/>
      <c r="M146" s="54">
        <f t="shared" si="443"/>
        <v>0</v>
      </c>
      <c r="N146" s="54" t="str">
        <f t="shared" si="428"/>
        <v/>
      </c>
      <c r="O146" s="54">
        <f t="shared" si="444"/>
        <v>0</v>
      </c>
      <c r="P146" s="54">
        <f t="shared" si="445"/>
        <v>0</v>
      </c>
      <c r="Q146" s="55">
        <f t="shared" si="429"/>
        <v>-7083348.0999999996</v>
      </c>
      <c r="R146" s="55">
        <f t="shared" si="430"/>
        <v>0</v>
      </c>
      <c r="S146" s="55">
        <f t="shared" si="431"/>
        <v>-7083348.0999999996</v>
      </c>
      <c r="T146" s="55">
        <f t="shared" si="432"/>
        <v>-7083348.0999999996</v>
      </c>
    </row>
    <row r="147" spans="1:20" s="28" customFormat="1" ht="75">
      <c r="A147" s="23" t="s">
        <v>95</v>
      </c>
      <c r="B147" s="23"/>
      <c r="C147" s="23"/>
      <c r="D147" s="10" t="s">
        <v>208</v>
      </c>
      <c r="E147" s="52">
        <f t="shared" ref="E147:L147" si="446">E148</f>
        <v>9820608.2899999991</v>
      </c>
      <c r="F147" s="52">
        <f t="shared" si="446"/>
        <v>9820608.2899999991</v>
      </c>
      <c r="G147" s="52">
        <f t="shared" si="446"/>
        <v>0</v>
      </c>
      <c r="H147" s="52">
        <f t="shared" si="446"/>
        <v>0</v>
      </c>
      <c r="I147" s="52">
        <f t="shared" si="446"/>
        <v>12534401.289999999</v>
      </c>
      <c r="J147" s="52">
        <f t="shared" si="446"/>
        <v>12534401.289999999</v>
      </c>
      <c r="K147" s="52">
        <f t="shared" si="446"/>
        <v>0</v>
      </c>
      <c r="L147" s="52">
        <f t="shared" si="446"/>
        <v>0</v>
      </c>
      <c r="M147" s="50">
        <f t="shared" si="443"/>
        <v>1.2763365485988649</v>
      </c>
      <c r="N147" s="50">
        <f t="shared" si="428"/>
        <v>1.2763365485988649</v>
      </c>
      <c r="O147" s="50" t="str">
        <f t="shared" si="444"/>
        <v/>
      </c>
      <c r="P147" s="50" t="str">
        <f t="shared" si="445"/>
        <v/>
      </c>
      <c r="Q147" s="51">
        <f t="shared" si="429"/>
        <v>2713793</v>
      </c>
      <c r="R147" s="51">
        <f t="shared" si="430"/>
        <v>2713793</v>
      </c>
      <c r="S147" s="51">
        <f t="shared" si="431"/>
        <v>0</v>
      </c>
      <c r="T147" s="51">
        <f t="shared" si="432"/>
        <v>0</v>
      </c>
    </row>
    <row r="148" spans="1:20" s="28" customFormat="1" ht="75">
      <c r="A148" s="23" t="s">
        <v>96</v>
      </c>
      <c r="B148" s="23"/>
      <c r="C148" s="23"/>
      <c r="D148" s="10" t="s">
        <v>208</v>
      </c>
      <c r="E148" s="52">
        <f t="shared" ref="E148:E158" si="447">F148+G148</f>
        <v>9820608.2899999991</v>
      </c>
      <c r="F148" s="52">
        <f>F149+F156+F151+F154+F158+F157+F152+F155+F150+F153</f>
        <v>9820608.2899999991</v>
      </c>
      <c r="G148" s="52">
        <f t="shared" ref="G148:H148" si="448">G149+G156+G151+G154+G158+G157+G152+G155+G150+G153</f>
        <v>0</v>
      </c>
      <c r="H148" s="52">
        <f t="shared" si="448"/>
        <v>0</v>
      </c>
      <c r="I148" s="52">
        <f t="shared" ref="I148" si="449">J148+K148</f>
        <v>12534401.289999999</v>
      </c>
      <c r="J148" s="52">
        <f>J149+J156+J151+J154+J158+J157+J152+J155+J150+J153</f>
        <v>12534401.289999999</v>
      </c>
      <c r="K148" s="52">
        <f>K149+K156+K151+K154+K158+K157+K152+K155+K150+K153</f>
        <v>0</v>
      </c>
      <c r="L148" s="52">
        <f>L149+L156+L151+L154+L158+L157+L152+L155+L150+L153</f>
        <v>0</v>
      </c>
      <c r="M148" s="50">
        <f t="shared" si="443"/>
        <v>1.2763365485988649</v>
      </c>
      <c r="N148" s="50">
        <f t="shared" si="428"/>
        <v>1.2763365485988649</v>
      </c>
      <c r="O148" s="50" t="str">
        <f t="shared" si="444"/>
        <v/>
      </c>
      <c r="P148" s="50" t="str">
        <f t="shared" si="445"/>
        <v/>
      </c>
      <c r="Q148" s="51">
        <f t="shared" si="429"/>
        <v>2713793</v>
      </c>
      <c r="R148" s="51">
        <f t="shared" si="430"/>
        <v>2713793</v>
      </c>
      <c r="S148" s="51">
        <f t="shared" si="431"/>
        <v>0</v>
      </c>
      <c r="T148" s="51">
        <f t="shared" si="432"/>
        <v>0</v>
      </c>
    </row>
    <row r="149" spans="1:20" s="37" customFormat="1" ht="56.25">
      <c r="A149" s="93" t="s">
        <v>97</v>
      </c>
      <c r="B149" s="93" t="s">
        <v>58</v>
      </c>
      <c r="C149" s="93" t="s">
        <v>3</v>
      </c>
      <c r="D149" s="22" t="s">
        <v>227</v>
      </c>
      <c r="E149" s="53">
        <f t="shared" si="447"/>
        <v>1658837.98</v>
      </c>
      <c r="F149" s="101">
        <v>1658837.98</v>
      </c>
      <c r="G149" s="101"/>
      <c r="H149" s="53"/>
      <c r="I149" s="53">
        <f t="shared" ref="I149:I167" si="450">J149+K149</f>
        <v>2492500.4300000002</v>
      </c>
      <c r="J149" s="53">
        <v>2492500.4300000002</v>
      </c>
      <c r="K149" s="53"/>
      <c r="L149" s="53"/>
      <c r="M149" s="54">
        <f t="shared" si="443"/>
        <v>1.5025580918999697</v>
      </c>
      <c r="N149" s="54">
        <f t="shared" si="428"/>
        <v>1.5025580918999697</v>
      </c>
      <c r="O149" s="54" t="str">
        <f t="shared" si="444"/>
        <v/>
      </c>
      <c r="P149" s="54" t="str">
        <f t="shared" si="445"/>
        <v/>
      </c>
      <c r="Q149" s="55">
        <f t="shared" si="429"/>
        <v>833662.45000000019</v>
      </c>
      <c r="R149" s="55">
        <f t="shared" si="430"/>
        <v>833662.45000000019</v>
      </c>
      <c r="S149" s="55">
        <f t="shared" si="431"/>
        <v>0</v>
      </c>
      <c r="T149" s="55">
        <f t="shared" si="432"/>
        <v>0</v>
      </c>
    </row>
    <row r="150" spans="1:20" s="98" customFormat="1" ht="37.5">
      <c r="A150" s="100" t="s">
        <v>348</v>
      </c>
      <c r="B150" s="100" t="s">
        <v>8</v>
      </c>
      <c r="C150" s="100" t="s">
        <v>6</v>
      </c>
      <c r="D150" s="99" t="s">
        <v>106</v>
      </c>
      <c r="E150" s="53">
        <f t="shared" ref="E150" si="451">F150+G150</f>
        <v>49900</v>
      </c>
      <c r="F150" s="101">
        <v>49900</v>
      </c>
      <c r="G150" s="101"/>
      <c r="H150" s="53"/>
      <c r="I150" s="53">
        <f t="shared" ref="I150" si="452">J150+K150</f>
        <v>12000</v>
      </c>
      <c r="J150" s="53">
        <v>12000</v>
      </c>
      <c r="K150" s="53"/>
      <c r="L150" s="53"/>
      <c r="M150" s="54">
        <f t="shared" ref="M150" si="453">IFERROR((I150/E150),"")</f>
        <v>0.24048096192384769</v>
      </c>
      <c r="N150" s="54">
        <f t="shared" ref="N150" si="454">IFERROR((J150/F150),"")</f>
        <v>0.24048096192384769</v>
      </c>
      <c r="O150" s="54" t="str">
        <f t="shared" ref="O150" si="455">IFERROR((K150/G150),"")</f>
        <v/>
      </c>
      <c r="P150" s="54" t="str">
        <f t="shared" ref="P150" si="456">IFERROR((L150/H150),"")</f>
        <v/>
      </c>
      <c r="Q150" s="55">
        <f t="shared" ref="Q150" si="457">I150-E150</f>
        <v>-37900</v>
      </c>
      <c r="R150" s="55">
        <f t="shared" ref="R150" si="458">J150-F150</f>
        <v>-37900</v>
      </c>
      <c r="S150" s="55">
        <f t="shared" ref="S150" si="459">K150-G150</f>
        <v>0</v>
      </c>
      <c r="T150" s="55">
        <f t="shared" ref="T150" si="460">L150-H150</f>
        <v>0</v>
      </c>
    </row>
    <row r="151" spans="1:20" s="37" customFormat="1" ht="56.25">
      <c r="A151" s="86" t="s">
        <v>236</v>
      </c>
      <c r="B151" s="86" t="s">
        <v>150</v>
      </c>
      <c r="C151" s="86" t="s">
        <v>7</v>
      </c>
      <c r="D151" s="88" t="s">
        <v>237</v>
      </c>
      <c r="E151" s="53">
        <f t="shared" si="447"/>
        <v>88280.18</v>
      </c>
      <c r="F151" s="101">
        <v>88280.18</v>
      </c>
      <c r="G151" s="101"/>
      <c r="H151" s="53"/>
      <c r="I151" s="53">
        <f t="shared" si="450"/>
        <v>100078.95</v>
      </c>
      <c r="J151" s="53">
        <v>100078.95</v>
      </c>
      <c r="K151" s="53"/>
      <c r="L151" s="53"/>
      <c r="M151" s="54">
        <f t="shared" si="443"/>
        <v>1.1336514039731229</v>
      </c>
      <c r="N151" s="54">
        <f t="shared" si="428"/>
        <v>1.1336514039731229</v>
      </c>
      <c r="O151" s="54" t="str">
        <f t="shared" si="444"/>
        <v/>
      </c>
      <c r="P151" s="54" t="str">
        <f t="shared" si="445"/>
        <v/>
      </c>
      <c r="Q151" s="55">
        <f t="shared" si="429"/>
        <v>11798.770000000004</v>
      </c>
      <c r="R151" s="55">
        <f t="shared" si="430"/>
        <v>11798.770000000004</v>
      </c>
      <c r="S151" s="55">
        <f t="shared" si="431"/>
        <v>0</v>
      </c>
      <c r="T151" s="55">
        <f t="shared" si="432"/>
        <v>0</v>
      </c>
    </row>
    <row r="152" spans="1:20" s="37" customFormat="1" ht="37.5">
      <c r="A152" s="103" t="s">
        <v>316</v>
      </c>
      <c r="B152" s="105">
        <v>6090</v>
      </c>
      <c r="C152" s="103" t="s">
        <v>308</v>
      </c>
      <c r="D152" s="109" t="s">
        <v>317</v>
      </c>
      <c r="E152" s="53">
        <f t="shared" ref="E152" si="461">F152+G152</f>
        <v>0</v>
      </c>
      <c r="F152" s="53"/>
      <c r="G152" s="53"/>
      <c r="H152" s="53"/>
      <c r="I152" s="53">
        <f t="shared" ref="I152" si="462">J152+K152</f>
        <v>750000</v>
      </c>
      <c r="J152" s="53">
        <v>750000</v>
      </c>
      <c r="K152" s="53"/>
      <c r="L152" s="53"/>
      <c r="M152" s="54" t="str">
        <f t="shared" ref="M152" si="463">IFERROR((I152/E152),"")</f>
        <v/>
      </c>
      <c r="N152" s="54" t="str">
        <f t="shared" ref="N152" si="464">IFERROR((J152/F152),"")</f>
        <v/>
      </c>
      <c r="O152" s="54" t="str">
        <f t="shared" ref="O152" si="465">IFERROR((K152/G152),"")</f>
        <v/>
      </c>
      <c r="P152" s="54" t="str">
        <f t="shared" ref="P152" si="466">IFERROR((L152/H152),"")</f>
        <v/>
      </c>
      <c r="Q152" s="55">
        <f t="shared" ref="Q152" si="467">I152-E152</f>
        <v>750000</v>
      </c>
      <c r="R152" s="55">
        <f t="shared" ref="R152" si="468">J152-F152</f>
        <v>750000</v>
      </c>
      <c r="S152" s="55">
        <f t="shared" ref="S152" si="469">K152-G152</f>
        <v>0</v>
      </c>
      <c r="T152" s="55">
        <f t="shared" ref="T152" si="470">L152-H152</f>
        <v>0</v>
      </c>
    </row>
    <row r="153" spans="1:20" s="98" customFormat="1">
      <c r="A153" s="104" t="s">
        <v>354</v>
      </c>
      <c r="B153" s="104" t="s">
        <v>355</v>
      </c>
      <c r="C153" s="104" t="s">
        <v>356</v>
      </c>
      <c r="D153" s="107" t="s">
        <v>357</v>
      </c>
      <c r="E153" s="53">
        <f t="shared" ref="E153" si="471">F153+G153</f>
        <v>0</v>
      </c>
      <c r="F153" s="53"/>
      <c r="G153" s="53"/>
      <c r="H153" s="53"/>
      <c r="I153" s="53">
        <f t="shared" ref="I153" si="472">J153+K153</f>
        <v>99966.8</v>
      </c>
      <c r="J153" s="53">
        <v>99966.8</v>
      </c>
      <c r="K153" s="53"/>
      <c r="L153" s="53"/>
      <c r="M153" s="54" t="str">
        <f t="shared" ref="M153" si="473">IFERROR((I153/E153),"")</f>
        <v/>
      </c>
      <c r="N153" s="54" t="str">
        <f t="shared" ref="N153" si="474">IFERROR((J153/F153),"")</f>
        <v/>
      </c>
      <c r="O153" s="54" t="str">
        <f t="shared" ref="O153" si="475">IFERROR((K153/G153),"")</f>
        <v/>
      </c>
      <c r="P153" s="54" t="str">
        <f t="shared" ref="P153" si="476">IFERROR((L153/H153),"")</f>
        <v/>
      </c>
      <c r="Q153" s="55">
        <f t="shared" ref="Q153" si="477">I153-E153</f>
        <v>99966.8</v>
      </c>
      <c r="R153" s="55">
        <f t="shared" ref="R153" si="478">J153-F153</f>
        <v>99966.8</v>
      </c>
      <c r="S153" s="55">
        <f t="shared" ref="S153" si="479">K153-G153</f>
        <v>0</v>
      </c>
      <c r="T153" s="55">
        <f t="shared" ref="T153" si="480">L153-H153</f>
        <v>0</v>
      </c>
    </row>
    <row r="154" spans="1:20" s="37" customFormat="1" ht="37.5">
      <c r="A154" s="86">
        <v>3117350</v>
      </c>
      <c r="B154" s="86">
        <v>7350</v>
      </c>
      <c r="C154" s="87" t="s">
        <v>255</v>
      </c>
      <c r="D154" s="88" t="s">
        <v>256</v>
      </c>
      <c r="E154" s="53">
        <f t="shared" si="447"/>
        <v>704814.2</v>
      </c>
      <c r="F154" s="101">
        <v>704814.2</v>
      </c>
      <c r="G154" s="101"/>
      <c r="H154" s="53"/>
      <c r="I154" s="53">
        <f t="shared" si="450"/>
        <v>0</v>
      </c>
      <c r="J154" s="53"/>
      <c r="K154" s="53"/>
      <c r="L154" s="53"/>
      <c r="M154" s="54">
        <f t="shared" si="443"/>
        <v>0</v>
      </c>
      <c r="N154" s="54">
        <f t="shared" si="428"/>
        <v>0</v>
      </c>
      <c r="O154" s="54" t="str">
        <f t="shared" si="444"/>
        <v/>
      </c>
      <c r="P154" s="54" t="str">
        <f t="shared" si="445"/>
        <v/>
      </c>
      <c r="Q154" s="55">
        <f t="shared" si="429"/>
        <v>-704814.2</v>
      </c>
      <c r="R154" s="55">
        <f t="shared" si="430"/>
        <v>-704814.2</v>
      </c>
      <c r="S154" s="55">
        <f t="shared" si="431"/>
        <v>0</v>
      </c>
      <c r="T154" s="55">
        <f t="shared" si="432"/>
        <v>0</v>
      </c>
    </row>
    <row r="155" spans="1:20" s="37" customFormat="1" ht="37.5">
      <c r="A155" s="103" t="s">
        <v>318</v>
      </c>
      <c r="B155" s="103" t="s">
        <v>313</v>
      </c>
      <c r="C155" s="103" t="s">
        <v>296</v>
      </c>
      <c r="D155" s="109" t="s">
        <v>297</v>
      </c>
      <c r="E155" s="53">
        <f t="shared" ref="E155" si="481">F155+G155</f>
        <v>0</v>
      </c>
      <c r="F155" s="101"/>
      <c r="G155" s="53"/>
      <c r="H155" s="53"/>
      <c r="I155" s="53">
        <f t="shared" ref="I155" si="482">J155+K155</f>
        <v>40000</v>
      </c>
      <c r="J155" s="53">
        <v>40000</v>
      </c>
      <c r="K155" s="53"/>
      <c r="L155" s="53"/>
      <c r="M155" s="54" t="str">
        <f t="shared" ref="M155" si="483">IFERROR((I155/E155),"")</f>
        <v/>
      </c>
      <c r="N155" s="54" t="str">
        <f t="shared" ref="N155" si="484">IFERROR((J155/F155),"")</f>
        <v/>
      </c>
      <c r="O155" s="54" t="str">
        <f t="shared" ref="O155" si="485">IFERROR((K155/G155),"")</f>
        <v/>
      </c>
      <c r="P155" s="54" t="str">
        <f t="shared" ref="P155" si="486">IFERROR((L155/H155),"")</f>
        <v/>
      </c>
      <c r="Q155" s="55">
        <f t="shared" ref="Q155" si="487">I155-E155</f>
        <v>40000</v>
      </c>
      <c r="R155" s="55">
        <f t="shared" ref="R155" si="488">J155-F155</f>
        <v>40000</v>
      </c>
      <c r="S155" s="55">
        <f t="shared" ref="S155" si="489">K155-G155</f>
        <v>0</v>
      </c>
      <c r="T155" s="55">
        <f t="shared" ref="T155" si="490">L155-H155</f>
        <v>0</v>
      </c>
    </row>
    <row r="156" spans="1:20" s="37" customFormat="1" ht="37.5">
      <c r="A156" s="93" t="s">
        <v>173</v>
      </c>
      <c r="B156" s="93" t="s">
        <v>129</v>
      </c>
      <c r="C156" s="93" t="s">
        <v>20</v>
      </c>
      <c r="D156" s="22" t="s">
        <v>130</v>
      </c>
      <c r="E156" s="53">
        <f t="shared" si="447"/>
        <v>7281957.9199999999</v>
      </c>
      <c r="F156" s="101">
        <v>7281957.9199999999</v>
      </c>
      <c r="G156" s="53"/>
      <c r="H156" s="53"/>
      <c r="I156" s="53">
        <f t="shared" si="450"/>
        <v>8990158.1600000001</v>
      </c>
      <c r="J156" s="53">
        <f>1210943.52+7779214.64</f>
        <v>8990158.1600000001</v>
      </c>
      <c r="K156" s="53"/>
      <c r="L156" s="53"/>
      <c r="M156" s="54">
        <f t="shared" si="443"/>
        <v>1.2345798010324125</v>
      </c>
      <c r="N156" s="54">
        <f t="shared" si="428"/>
        <v>1.2345798010324125</v>
      </c>
      <c r="O156" s="54" t="str">
        <f t="shared" si="444"/>
        <v/>
      </c>
      <c r="P156" s="54" t="str">
        <f t="shared" si="445"/>
        <v/>
      </c>
      <c r="Q156" s="55">
        <f t="shared" si="429"/>
        <v>1708200.2400000002</v>
      </c>
      <c r="R156" s="55">
        <f t="shared" si="430"/>
        <v>1708200.2400000002</v>
      </c>
      <c r="S156" s="55">
        <f t="shared" si="431"/>
        <v>0</v>
      </c>
      <c r="T156" s="55">
        <f t="shared" si="432"/>
        <v>0</v>
      </c>
    </row>
    <row r="157" spans="1:20" s="37" customFormat="1" ht="56.25">
      <c r="A157" s="86">
        <v>3118110</v>
      </c>
      <c r="B157" s="86">
        <v>8110</v>
      </c>
      <c r="C157" s="87" t="s">
        <v>5</v>
      </c>
      <c r="D157" s="88" t="s">
        <v>131</v>
      </c>
      <c r="E157" s="53">
        <f t="shared" si="447"/>
        <v>0</v>
      </c>
      <c r="F157" s="101"/>
      <c r="G157" s="53"/>
      <c r="H157" s="53"/>
      <c r="I157" s="53">
        <f t="shared" si="450"/>
        <v>0</v>
      </c>
      <c r="J157" s="53"/>
      <c r="K157" s="53"/>
      <c r="L157" s="53"/>
      <c r="M157" s="54" t="str">
        <f t="shared" si="443"/>
        <v/>
      </c>
      <c r="N157" s="54" t="str">
        <f t="shared" si="428"/>
        <v/>
      </c>
      <c r="O157" s="54" t="str">
        <f t="shared" si="444"/>
        <v/>
      </c>
      <c r="P157" s="54" t="str">
        <f t="shared" si="445"/>
        <v/>
      </c>
      <c r="Q157" s="55">
        <f t="shared" si="429"/>
        <v>0</v>
      </c>
      <c r="R157" s="55">
        <f t="shared" si="430"/>
        <v>0</v>
      </c>
      <c r="S157" s="55">
        <f t="shared" si="431"/>
        <v>0</v>
      </c>
      <c r="T157" s="55">
        <f t="shared" si="432"/>
        <v>0</v>
      </c>
    </row>
    <row r="158" spans="1:20" s="37" customFormat="1" ht="30" customHeight="1">
      <c r="A158" s="43" t="s">
        <v>284</v>
      </c>
      <c r="B158" s="43" t="s">
        <v>238</v>
      </c>
      <c r="C158" s="43" t="s">
        <v>216</v>
      </c>
      <c r="D158" s="39" t="s">
        <v>234</v>
      </c>
      <c r="E158" s="53">
        <f t="shared" si="447"/>
        <v>36818.01</v>
      </c>
      <c r="F158" s="101">
        <v>36818.01</v>
      </c>
      <c r="G158" s="53"/>
      <c r="H158" s="53"/>
      <c r="I158" s="53">
        <f t="shared" si="450"/>
        <v>49696.95</v>
      </c>
      <c r="J158" s="53">
        <v>49696.95</v>
      </c>
      <c r="K158" s="53"/>
      <c r="L158" s="53"/>
      <c r="M158" s="54">
        <f t="shared" si="443"/>
        <v>1.3498000027703831</v>
      </c>
      <c r="N158" s="54">
        <f t="shared" si="428"/>
        <v>1.3498000027703831</v>
      </c>
      <c r="O158" s="54" t="str">
        <f t="shared" si="444"/>
        <v/>
      </c>
      <c r="P158" s="54" t="str">
        <f t="shared" si="445"/>
        <v/>
      </c>
      <c r="Q158" s="55">
        <f t="shared" si="429"/>
        <v>12878.939999999995</v>
      </c>
      <c r="R158" s="55">
        <f t="shared" si="430"/>
        <v>12878.939999999995</v>
      </c>
      <c r="S158" s="55">
        <f t="shared" si="431"/>
        <v>0</v>
      </c>
      <c r="T158" s="55">
        <f t="shared" si="432"/>
        <v>0</v>
      </c>
    </row>
    <row r="159" spans="1:20" s="28" customFormat="1" ht="56.25">
      <c r="A159" s="23" t="s">
        <v>98</v>
      </c>
      <c r="B159" s="23"/>
      <c r="C159" s="23"/>
      <c r="D159" s="10" t="s">
        <v>209</v>
      </c>
      <c r="E159" s="52">
        <f t="shared" ref="E159:L159" si="491">E160</f>
        <v>44003327.230000004</v>
      </c>
      <c r="F159" s="52">
        <f t="shared" si="491"/>
        <v>14864964.23</v>
      </c>
      <c r="G159" s="52">
        <f t="shared" si="491"/>
        <v>29138363</v>
      </c>
      <c r="H159" s="52">
        <f t="shared" si="491"/>
        <v>29138363</v>
      </c>
      <c r="I159" s="52">
        <f t="shared" si="491"/>
        <v>113412659.52000001</v>
      </c>
      <c r="J159" s="52">
        <f t="shared" si="491"/>
        <v>85062277.520000011</v>
      </c>
      <c r="K159" s="52">
        <f t="shared" si="491"/>
        <v>28350382</v>
      </c>
      <c r="L159" s="52">
        <f t="shared" si="491"/>
        <v>28350382</v>
      </c>
      <c r="M159" s="50" t="s">
        <v>381</v>
      </c>
      <c r="N159" s="50" t="s">
        <v>287</v>
      </c>
      <c r="O159" s="50">
        <f t="shared" si="444"/>
        <v>0.97295726599328869</v>
      </c>
      <c r="P159" s="50">
        <f t="shared" si="445"/>
        <v>0.97295726599328869</v>
      </c>
      <c r="Q159" s="51">
        <f t="shared" si="429"/>
        <v>69409332.290000007</v>
      </c>
      <c r="R159" s="51">
        <f t="shared" si="430"/>
        <v>70197313.290000007</v>
      </c>
      <c r="S159" s="51">
        <f t="shared" si="431"/>
        <v>-787981</v>
      </c>
      <c r="T159" s="51">
        <f t="shared" si="432"/>
        <v>-787981</v>
      </c>
    </row>
    <row r="160" spans="1:20" s="28" customFormat="1" ht="56.25">
      <c r="A160" s="23" t="s">
        <v>99</v>
      </c>
      <c r="B160" s="23"/>
      <c r="C160" s="23"/>
      <c r="D160" s="10" t="s">
        <v>210</v>
      </c>
      <c r="E160" s="52">
        <f t="shared" ref="E160:E166" si="492">F160+G160</f>
        <v>44003327.230000004</v>
      </c>
      <c r="F160" s="52">
        <f>F161+F162+F164+F166+F165+F163</f>
        <v>14864964.23</v>
      </c>
      <c r="G160" s="52">
        <f t="shared" ref="G160:H160" si="493">G161+G162+G164+G166+G165+G163</f>
        <v>29138363</v>
      </c>
      <c r="H160" s="52">
        <f t="shared" si="493"/>
        <v>29138363</v>
      </c>
      <c r="I160" s="52">
        <f t="shared" ref="I160" si="494">J160+K160</f>
        <v>113412659.52000001</v>
      </c>
      <c r="J160" s="52">
        <f>J161+J162+J164+J166+J165+J163</f>
        <v>85062277.520000011</v>
      </c>
      <c r="K160" s="52">
        <f>K161+K162+K164+K166+K165+K163</f>
        <v>28350382</v>
      </c>
      <c r="L160" s="52">
        <f>L161+L162+L164+L166+L165+L163</f>
        <v>28350382</v>
      </c>
      <c r="M160" s="50">
        <f t="shared" si="443"/>
        <v>2.5773655461825857</v>
      </c>
      <c r="N160" s="50" t="s">
        <v>289</v>
      </c>
      <c r="O160" s="50">
        <f t="shared" ref="O160" si="495">IFERROR((K160/G160),"")</f>
        <v>0.97295726599328869</v>
      </c>
      <c r="P160" s="50">
        <f t="shared" ref="P160" si="496">IFERROR((L160/H160),"")</f>
        <v>0.97295726599328869</v>
      </c>
      <c r="Q160" s="51">
        <f t="shared" si="429"/>
        <v>69409332.290000007</v>
      </c>
      <c r="R160" s="51">
        <f t="shared" si="430"/>
        <v>70197313.290000007</v>
      </c>
      <c r="S160" s="51">
        <f t="shared" si="431"/>
        <v>-787981</v>
      </c>
      <c r="T160" s="51">
        <f t="shared" si="432"/>
        <v>-787981</v>
      </c>
    </row>
    <row r="161" spans="1:22" s="37" customFormat="1" ht="56.25">
      <c r="A161" s="93" t="s">
        <v>100</v>
      </c>
      <c r="B161" s="93" t="s">
        <v>58</v>
      </c>
      <c r="C161" s="93" t="s">
        <v>3</v>
      </c>
      <c r="D161" s="22" t="s">
        <v>227</v>
      </c>
      <c r="E161" s="53">
        <f t="shared" si="492"/>
        <v>2794514.23</v>
      </c>
      <c r="F161" s="101">
        <v>2794514.23</v>
      </c>
      <c r="G161" s="101"/>
      <c r="H161" s="101"/>
      <c r="I161" s="53">
        <f t="shared" si="450"/>
        <v>4153653.52</v>
      </c>
      <c r="J161" s="53">
        <v>4153653.52</v>
      </c>
      <c r="K161" s="53"/>
      <c r="L161" s="53"/>
      <c r="M161" s="54">
        <f t="shared" si="443"/>
        <v>1.4863597670783735</v>
      </c>
      <c r="N161" s="54">
        <f t="shared" si="428"/>
        <v>1.4863597670783735</v>
      </c>
      <c r="O161" s="54" t="str">
        <f t="shared" si="444"/>
        <v/>
      </c>
      <c r="P161" s="54" t="str">
        <f t="shared" si="445"/>
        <v/>
      </c>
      <c r="Q161" s="55">
        <f t="shared" si="429"/>
        <v>1359139.29</v>
      </c>
      <c r="R161" s="55">
        <f t="shared" si="430"/>
        <v>1359139.29</v>
      </c>
      <c r="S161" s="55">
        <f t="shared" si="431"/>
        <v>0</v>
      </c>
      <c r="T161" s="55">
        <f t="shared" si="432"/>
        <v>0</v>
      </c>
    </row>
    <row r="162" spans="1:22" s="37" customFormat="1" ht="37.5">
      <c r="A162" s="93" t="s">
        <v>107</v>
      </c>
      <c r="B162" s="93" t="s">
        <v>8</v>
      </c>
      <c r="C162" s="93" t="s">
        <v>6</v>
      </c>
      <c r="D162" s="22" t="s">
        <v>106</v>
      </c>
      <c r="E162" s="53">
        <f t="shared" si="492"/>
        <v>29550</v>
      </c>
      <c r="F162" s="101">
        <v>29550</v>
      </c>
      <c r="G162" s="101"/>
      <c r="H162" s="101"/>
      <c r="I162" s="53">
        <f t="shared" si="450"/>
        <v>0</v>
      </c>
      <c r="J162" s="53"/>
      <c r="K162" s="53"/>
      <c r="L162" s="53"/>
      <c r="M162" s="54">
        <f t="shared" si="443"/>
        <v>0</v>
      </c>
      <c r="N162" s="54">
        <f t="shared" si="428"/>
        <v>0</v>
      </c>
      <c r="O162" s="54" t="str">
        <f t="shared" si="444"/>
        <v/>
      </c>
      <c r="P162" s="54" t="str">
        <f t="shared" si="445"/>
        <v/>
      </c>
      <c r="Q162" s="55">
        <f t="shared" si="429"/>
        <v>-29550</v>
      </c>
      <c r="R162" s="55">
        <f t="shared" si="430"/>
        <v>-29550</v>
      </c>
      <c r="S162" s="55">
        <f t="shared" si="431"/>
        <v>0</v>
      </c>
      <c r="T162" s="55">
        <f t="shared" si="432"/>
        <v>0</v>
      </c>
    </row>
    <row r="163" spans="1:22" s="37" customFormat="1" ht="37.5">
      <c r="A163" s="103" t="s">
        <v>319</v>
      </c>
      <c r="B163" s="103" t="s">
        <v>313</v>
      </c>
      <c r="C163" s="103" t="s">
        <v>296</v>
      </c>
      <c r="D163" s="109" t="s">
        <v>297</v>
      </c>
      <c r="E163" s="53">
        <f t="shared" ref="E163" si="497">F163+G163</f>
        <v>0</v>
      </c>
      <c r="F163" s="101"/>
      <c r="G163" s="101"/>
      <c r="H163" s="101"/>
      <c r="I163" s="53">
        <f t="shared" ref="I163" si="498">J163+K163</f>
        <v>38583</v>
      </c>
      <c r="J163" s="53">
        <v>38583</v>
      </c>
      <c r="K163" s="53"/>
      <c r="L163" s="53"/>
      <c r="M163" s="54" t="str">
        <f t="shared" ref="M163" si="499">IFERROR((I163/E163),"")</f>
        <v/>
      </c>
      <c r="N163" s="54" t="str">
        <f t="shared" ref="N163" si="500">IFERROR((J163/F163),"")</f>
        <v/>
      </c>
      <c r="O163" s="54" t="str">
        <f t="shared" ref="O163" si="501">IFERROR((K163/G163),"")</f>
        <v/>
      </c>
      <c r="P163" s="54" t="str">
        <f t="shared" ref="P163" si="502">IFERROR((L163/H163),"")</f>
        <v/>
      </c>
      <c r="Q163" s="55">
        <f t="shared" ref="Q163" si="503">I163-E163</f>
        <v>38583</v>
      </c>
      <c r="R163" s="55">
        <f t="shared" ref="R163" si="504">J163-F163</f>
        <v>38583</v>
      </c>
      <c r="S163" s="55">
        <f t="shared" ref="S163" si="505">K163-G163</f>
        <v>0</v>
      </c>
      <c r="T163" s="55">
        <f t="shared" ref="T163" si="506">L163-H163</f>
        <v>0</v>
      </c>
    </row>
    <row r="164" spans="1:22" s="37" customFormat="1">
      <c r="A164" s="93" t="s">
        <v>109</v>
      </c>
      <c r="B164" s="93" t="s">
        <v>108</v>
      </c>
      <c r="C164" s="93" t="s">
        <v>8</v>
      </c>
      <c r="D164" s="22" t="s">
        <v>2</v>
      </c>
      <c r="E164" s="53">
        <f t="shared" si="492"/>
        <v>0</v>
      </c>
      <c r="F164" s="101"/>
      <c r="G164" s="101"/>
      <c r="H164" s="101"/>
      <c r="I164" s="53">
        <f t="shared" si="450"/>
        <v>31937400</v>
      </c>
      <c r="J164" s="53">
        <v>31937400</v>
      </c>
      <c r="K164" s="53"/>
      <c r="L164" s="53"/>
      <c r="M164" s="54" t="str">
        <f t="shared" si="443"/>
        <v/>
      </c>
      <c r="N164" s="54" t="str">
        <f t="shared" si="428"/>
        <v/>
      </c>
      <c r="O164" s="54" t="str">
        <f t="shared" si="444"/>
        <v/>
      </c>
      <c r="P164" s="54" t="str">
        <f t="shared" si="445"/>
        <v/>
      </c>
      <c r="Q164" s="55">
        <f t="shared" si="429"/>
        <v>31937400</v>
      </c>
      <c r="R164" s="55">
        <f t="shared" si="430"/>
        <v>31937400</v>
      </c>
      <c r="S164" s="55">
        <f t="shared" si="431"/>
        <v>0</v>
      </c>
      <c r="T164" s="55">
        <f t="shared" si="432"/>
        <v>0</v>
      </c>
    </row>
    <row r="165" spans="1:22" s="37" customFormat="1">
      <c r="A165" s="93" t="s">
        <v>158</v>
      </c>
      <c r="B165" s="93" t="s">
        <v>156</v>
      </c>
      <c r="C165" s="93" t="s">
        <v>8</v>
      </c>
      <c r="D165" s="16" t="s">
        <v>157</v>
      </c>
      <c r="E165" s="53">
        <f t="shared" si="492"/>
        <v>5088900</v>
      </c>
      <c r="F165" s="101">
        <v>3288900</v>
      </c>
      <c r="G165" s="101">
        <v>1800000</v>
      </c>
      <c r="H165" s="101">
        <v>1800000</v>
      </c>
      <c r="I165" s="53">
        <f t="shared" si="450"/>
        <v>14632600</v>
      </c>
      <c r="J165" s="53">
        <v>13591300</v>
      </c>
      <c r="K165" s="53">
        <v>1041300</v>
      </c>
      <c r="L165" s="53">
        <v>1041300</v>
      </c>
      <c r="M165" s="54" t="s">
        <v>288</v>
      </c>
      <c r="N165" s="54" t="s">
        <v>289</v>
      </c>
      <c r="O165" s="54">
        <f t="shared" si="444"/>
        <v>0.57850000000000001</v>
      </c>
      <c r="P165" s="54">
        <f t="shared" si="445"/>
        <v>0.57850000000000001</v>
      </c>
      <c r="Q165" s="55">
        <f t="shared" si="429"/>
        <v>9543700</v>
      </c>
      <c r="R165" s="55">
        <f t="shared" si="430"/>
        <v>10302400</v>
      </c>
      <c r="S165" s="55">
        <f t="shared" si="431"/>
        <v>-758700</v>
      </c>
      <c r="T165" s="55">
        <f t="shared" si="432"/>
        <v>-758700</v>
      </c>
    </row>
    <row r="166" spans="1:22" s="37" customFormat="1" ht="75">
      <c r="A166" s="93" t="s">
        <v>154</v>
      </c>
      <c r="B166" s="93" t="s">
        <v>152</v>
      </c>
      <c r="C166" s="35" t="s">
        <v>8</v>
      </c>
      <c r="D166" s="15" t="s">
        <v>153</v>
      </c>
      <c r="E166" s="53">
        <f t="shared" si="492"/>
        <v>36090363</v>
      </c>
      <c r="F166" s="101">
        <v>8752000</v>
      </c>
      <c r="G166" s="101">
        <v>27338363</v>
      </c>
      <c r="H166" s="101">
        <v>27338363</v>
      </c>
      <c r="I166" s="53">
        <f t="shared" si="450"/>
        <v>62650423</v>
      </c>
      <c r="J166" s="53">
        <v>35341341</v>
      </c>
      <c r="K166" s="53">
        <v>27309082</v>
      </c>
      <c r="L166" s="53">
        <v>27309082</v>
      </c>
      <c r="M166" s="54">
        <f t="shared" si="443"/>
        <v>1.7359321933115497</v>
      </c>
      <c r="N166" s="54" t="s">
        <v>289</v>
      </c>
      <c r="O166" s="54">
        <f t="shared" ref="O166" si="507">IFERROR((K166/G166),"")</f>
        <v>0.99892894099035845</v>
      </c>
      <c r="P166" s="54">
        <f t="shared" ref="P166" si="508">IFERROR((L166/H166),"")</f>
        <v>0.99892894099035845</v>
      </c>
      <c r="Q166" s="55">
        <f t="shared" si="429"/>
        <v>26560060</v>
      </c>
      <c r="R166" s="55">
        <f t="shared" si="430"/>
        <v>26589341</v>
      </c>
      <c r="S166" s="55">
        <f t="shared" si="431"/>
        <v>-29281</v>
      </c>
      <c r="T166" s="55">
        <f t="shared" si="432"/>
        <v>-29281</v>
      </c>
    </row>
    <row r="167" spans="1:22" s="28" customFormat="1">
      <c r="A167" s="23"/>
      <c r="B167" s="23"/>
      <c r="C167" s="23"/>
      <c r="D167" s="17" t="s">
        <v>1</v>
      </c>
      <c r="E167" s="52">
        <f t="shared" ref="E167" si="509">F167+G167</f>
        <v>517832994.07000005</v>
      </c>
      <c r="F167" s="52">
        <f>F8+F37+F64+F87+F99+F109+F130+F147+F159+F82</f>
        <v>449711334.90000004</v>
      </c>
      <c r="G167" s="52">
        <f>G8+G37+G64+G87+G99+G109+G130+G147+G159+G82</f>
        <v>68121659.170000002</v>
      </c>
      <c r="H167" s="52">
        <f>H8+H37+H64+H87+H99+H109+H130+H147+H159+H82</f>
        <v>54951573.480000004</v>
      </c>
      <c r="I167" s="116">
        <f t="shared" si="450"/>
        <v>719342946.52999997</v>
      </c>
      <c r="J167" s="116">
        <f>J8+J37+J64+J87+J99+J109+J130+J147+J159+J82</f>
        <v>625666563.26999998</v>
      </c>
      <c r="K167" s="116">
        <f>K8+K37+K64+K87+K99+K109+K130+K147+K159+K82</f>
        <v>93676383.25999999</v>
      </c>
      <c r="L167" s="116">
        <f>L8+L37+L64+L87+L99+L109+L130+L147+L159+L82</f>
        <v>77736274.429999992</v>
      </c>
      <c r="M167" s="50">
        <f t="shared" si="443"/>
        <v>1.3891408132884635</v>
      </c>
      <c r="N167" s="50">
        <f t="shared" si="428"/>
        <v>1.3912626049533001</v>
      </c>
      <c r="O167" s="50">
        <f t="shared" si="444"/>
        <v>1.3751336124422231</v>
      </c>
      <c r="P167" s="50">
        <f t="shared" si="445"/>
        <v>1.4146323664106295</v>
      </c>
      <c r="Q167" s="51">
        <f t="shared" si="429"/>
        <v>201509952.45999992</v>
      </c>
      <c r="R167" s="51">
        <f t="shared" si="430"/>
        <v>175955228.36999995</v>
      </c>
      <c r="S167" s="51">
        <f t="shared" si="431"/>
        <v>25554724.089999989</v>
      </c>
      <c r="T167" s="51">
        <f t="shared" si="432"/>
        <v>22784700.949999988</v>
      </c>
      <c r="V167" s="67"/>
    </row>
    <row r="168" spans="1:22" s="28" customFormat="1">
      <c r="A168" s="44"/>
      <c r="B168" s="44"/>
      <c r="C168" s="44"/>
      <c r="D168" s="45"/>
      <c r="E168" s="46"/>
      <c r="F168" s="46"/>
      <c r="G168" s="46"/>
      <c r="H168" s="46"/>
      <c r="I168" s="117"/>
      <c r="J168" s="117"/>
      <c r="K168" s="117"/>
      <c r="L168" s="46"/>
      <c r="M168" s="47"/>
      <c r="N168" s="47"/>
      <c r="O168" s="47"/>
      <c r="P168" s="47"/>
      <c r="Q168" s="48"/>
      <c r="R168" s="48"/>
      <c r="S168" s="48"/>
      <c r="T168" s="48"/>
    </row>
    <row r="169" spans="1:22" s="28" customFormat="1">
      <c r="A169" s="44"/>
      <c r="B169" s="44"/>
      <c r="C169" s="44"/>
      <c r="D169" s="45"/>
      <c r="E169" s="46"/>
      <c r="F169" s="46"/>
      <c r="G169" s="46"/>
      <c r="H169" s="46"/>
      <c r="I169" s="118"/>
      <c r="J169" s="118"/>
      <c r="K169" s="118"/>
      <c r="L169" s="46"/>
      <c r="M169" s="47"/>
      <c r="N169" s="47"/>
      <c r="O169" s="47"/>
      <c r="P169" s="47"/>
      <c r="Q169" s="48"/>
      <c r="R169" s="48"/>
      <c r="S169" s="48"/>
      <c r="T169" s="48"/>
    </row>
    <row r="170" spans="1:22">
      <c r="A170" s="27"/>
      <c r="B170" s="1"/>
      <c r="C170" s="1"/>
      <c r="D170" s="1" t="s">
        <v>179</v>
      </c>
      <c r="E170" s="2"/>
      <c r="F170" s="2"/>
      <c r="G170" s="5"/>
      <c r="H170" s="3"/>
      <c r="J170" s="6"/>
      <c r="K170" s="4" t="s">
        <v>214</v>
      </c>
      <c r="L170" s="7"/>
      <c r="M170" s="3"/>
      <c r="N170" s="4"/>
      <c r="O170" s="4"/>
      <c r="P170" s="4"/>
      <c r="Q170" s="5"/>
      <c r="R170" s="5"/>
      <c r="S170" s="5"/>
      <c r="T170" s="5"/>
    </row>
    <row r="171" spans="1:22">
      <c r="E171" s="31"/>
      <c r="F171" s="31"/>
      <c r="G171" s="5"/>
      <c r="J171" s="5"/>
      <c r="K171" s="32"/>
      <c r="Q171" s="32"/>
      <c r="R171" s="32"/>
      <c r="S171" s="32"/>
      <c r="T171" s="32"/>
    </row>
    <row r="172" spans="1:22">
      <c r="I172" s="32"/>
      <c r="J172" s="32"/>
      <c r="K172" s="32"/>
      <c r="L172" s="32"/>
    </row>
    <row r="173" spans="1:22">
      <c r="I173" s="32"/>
      <c r="J173" s="32"/>
      <c r="K173" s="32"/>
      <c r="L173" s="32"/>
    </row>
    <row r="175" spans="1:22">
      <c r="H175" s="32"/>
    </row>
    <row r="176" spans="1:22">
      <c r="H176" s="32"/>
    </row>
    <row r="177" spans="8:8">
      <c r="H177" s="32"/>
    </row>
  </sheetData>
  <mergeCells count="29">
    <mergeCell ref="R3:T3"/>
    <mergeCell ref="R4:R6"/>
    <mergeCell ref="S4:T4"/>
    <mergeCell ref="S5:S6"/>
    <mergeCell ref="E2:H2"/>
    <mergeCell ref="E3:E6"/>
    <mergeCell ref="F3:H3"/>
    <mergeCell ref="M2:P2"/>
    <mergeCell ref="M3:M6"/>
    <mergeCell ref="N3:P3"/>
    <mergeCell ref="G5:G6"/>
    <mergeCell ref="O5:O6"/>
    <mergeCell ref="G4:H4"/>
    <mergeCell ref="A1:T1"/>
    <mergeCell ref="K4:L4"/>
    <mergeCell ref="N4:N6"/>
    <mergeCell ref="O4:P4"/>
    <mergeCell ref="K5:K6"/>
    <mergeCell ref="I2:L2"/>
    <mergeCell ref="I3:I6"/>
    <mergeCell ref="J3:L3"/>
    <mergeCell ref="J4:J6"/>
    <mergeCell ref="A2:A6"/>
    <mergeCell ref="B2:B6"/>
    <mergeCell ref="C2:C6"/>
    <mergeCell ref="D2:D6"/>
    <mergeCell ref="F4:F6"/>
    <mergeCell ref="Q2:T2"/>
    <mergeCell ref="Q3:Q6"/>
  </mergeCells>
  <pageMargins left="0.35433070866141736" right="0.35433070866141736" top="0.55118110236220474" bottom="0.31496062992125984" header="0.15748031496062992" footer="0.11811023622047245"/>
  <pageSetup paperSize="9" scale="35" fitToHeight="1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220FU9</cp:lastModifiedBy>
  <cp:lastPrinted>2025-01-19T14:21:41Z</cp:lastPrinted>
  <dcterms:created xsi:type="dcterms:W3CDTF">2012-12-15T07:44:03Z</dcterms:created>
  <dcterms:modified xsi:type="dcterms:W3CDTF">2025-07-04T10:54:41Z</dcterms:modified>
</cp:coreProperties>
</file>