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3 сесія 19.09.2025\№927 Зміни здоров'я населення\"/>
    </mc:Choice>
  </mc:AlternateContent>
  <xr:revisionPtr revIDLastSave="0" documentId="13_ncr:1_{AC0371ED-E70A-4DAA-AA1D-B63AF025D2EE}" xr6:coauthVersionLast="47" xr6:coauthVersionMax="47" xr10:uidLastSave="{00000000-0000-0000-0000-000000000000}"/>
  <bookViews>
    <workbookView xWindow="-108" yWindow="-108" windowWidth="23256" windowHeight="12456"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змінами'!$A$1:$L$110</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7" l="1"/>
  <c r="F22" i="7"/>
  <c r="K97" i="7" l="1"/>
  <c r="K90" i="7"/>
  <c r="K65" i="7"/>
  <c r="K61" i="7"/>
  <c r="K60" i="7"/>
  <c r="K58" i="7"/>
  <c r="K27" i="7"/>
  <c r="F32" i="7"/>
  <c r="K45" i="7"/>
  <c r="K102" i="7" l="1"/>
  <c r="K100" i="7" s="1"/>
  <c r="K68" i="7"/>
  <c r="K64" i="7" l="1"/>
  <c r="K92" i="7" l="1"/>
  <c r="F102" i="7"/>
  <c r="F101" i="7"/>
  <c r="F100" i="7" l="1"/>
  <c r="K70" i="7"/>
  <c r="F103" i="7" l="1"/>
  <c r="F104" i="7"/>
  <c r="F99" i="7"/>
  <c r="F31" i="7" l="1"/>
  <c r="F68" i="7" l="1"/>
  <c r="F98" i="7" l="1"/>
  <c r="F96" i="7"/>
  <c r="F94" i="7"/>
  <c r="F90" i="7"/>
  <c r="F89" i="7"/>
  <c r="F85" i="7"/>
  <c r="F81" i="7"/>
  <c r="F80" i="7"/>
  <c r="F78" i="7"/>
  <c r="F77" i="7"/>
  <c r="F75" i="7"/>
  <c r="F74" i="7"/>
  <c r="F73" i="7"/>
  <c r="F71" i="7"/>
  <c r="F67" i="7"/>
  <c r="F65" i="7"/>
  <c r="F62" i="7"/>
  <c r="F59" i="7"/>
  <c r="F56" i="7"/>
  <c r="F55" i="7"/>
  <c r="F52" i="7"/>
  <c r="F43" i="7"/>
  <c r="F40" i="7"/>
  <c r="F37" i="7"/>
  <c r="F34" i="7"/>
  <c r="F29" i="7"/>
  <c r="F28" i="7"/>
  <c r="F25" i="7"/>
  <c r="F23" i="7"/>
  <c r="F21" i="7"/>
  <c r="F18" i="7"/>
  <c r="K24" i="7" l="1"/>
  <c r="K93" i="7"/>
  <c r="F93" i="7" s="1"/>
  <c r="K57" i="7" l="1"/>
  <c r="K106" i="7"/>
  <c r="F106" i="7" s="1"/>
  <c r="F92" i="7"/>
  <c r="F97" i="7" l="1"/>
  <c r="K82" i="7"/>
  <c r="F82" i="7" s="1"/>
  <c r="F79" i="7" s="1"/>
  <c r="K39" i="7"/>
  <c r="K12" i="7" s="1"/>
  <c r="F39" i="7" l="1"/>
  <c r="J86" i="7"/>
  <c r="F86" i="7" s="1"/>
  <c r="J79" i="7"/>
  <c r="J72" i="7" l="1"/>
  <c r="F72" i="7" s="1"/>
  <c r="J51" i="7" l="1"/>
  <c r="J27" i="7"/>
  <c r="J30" i="7"/>
  <c r="F30" i="7" s="1"/>
  <c r="K46" i="7" l="1"/>
  <c r="K48" i="7"/>
  <c r="K79" i="7" l="1"/>
  <c r="J38" i="7" l="1"/>
  <c r="F38" i="7" s="1"/>
  <c r="J42" i="7"/>
  <c r="F42" i="7" s="1"/>
  <c r="J41" i="7"/>
  <c r="F41" i="7" s="1"/>
  <c r="J36" i="7"/>
  <c r="F36" i="7" s="1"/>
  <c r="J33" i="7"/>
  <c r="J35" i="7"/>
  <c r="F35" i="7" s="1"/>
  <c r="J20" i="7"/>
  <c r="J19" i="7"/>
  <c r="F19" i="7" s="1"/>
  <c r="J95" i="7"/>
  <c r="F95" i="7" s="1"/>
  <c r="J91" i="7"/>
  <c r="F91" i="7" s="1"/>
  <c r="J64" i="7"/>
  <c r="F64" i="7" s="1"/>
  <c r="J60" i="7"/>
  <c r="F60" i="7" s="1"/>
  <c r="J66" i="7"/>
  <c r="F66" i="7" s="1"/>
  <c r="J50" i="7" l="1"/>
  <c r="J12" i="7"/>
  <c r="I27" i="7" l="1"/>
  <c r="J63" i="7" l="1"/>
  <c r="F63" i="7" s="1"/>
  <c r="J57" i="7" l="1"/>
  <c r="J49" i="7"/>
  <c r="K44" i="7" l="1"/>
  <c r="K107" i="7" s="1"/>
  <c r="G50" i="7"/>
  <c r="I50" i="7"/>
  <c r="I44" i="7" s="1"/>
  <c r="H51" i="7"/>
  <c r="F51" i="7" s="1"/>
  <c r="H50" i="7" l="1"/>
  <c r="F50" i="7" s="1"/>
  <c r="J87" i="7" l="1"/>
  <c r="F88" i="7" l="1"/>
  <c r="F87" i="7"/>
  <c r="F84" i="7"/>
  <c r="F83" i="7"/>
  <c r="I79" i="7" l="1"/>
  <c r="I33" i="7"/>
  <c r="F33" i="7" s="1"/>
  <c r="I12" i="7" l="1"/>
  <c r="J44" i="7" l="1"/>
  <c r="J107" i="7" l="1"/>
  <c r="I61" i="7"/>
  <c r="I57" i="7" l="1"/>
  <c r="F61" i="7"/>
  <c r="H58" i="7"/>
  <c r="F58" i="7" s="1"/>
  <c r="H57" i="7" l="1"/>
  <c r="F57" i="7" s="1"/>
  <c r="I54" i="7"/>
  <c r="I107" i="7" s="1"/>
  <c r="H54" i="7" l="1"/>
  <c r="H49" i="7"/>
  <c r="F49" i="7" s="1"/>
  <c r="H48" i="7"/>
  <c r="H47" i="7"/>
  <c r="F47" i="7" s="1"/>
  <c r="H46" i="7"/>
  <c r="H45" i="7"/>
  <c r="F45" i="7" s="1"/>
  <c r="H15" i="7"/>
  <c r="H44" i="7" l="1"/>
  <c r="H53" i="7"/>
  <c r="G54" i="7" l="1"/>
  <c r="F54" i="7" s="1"/>
  <c r="G53" i="7"/>
  <c r="F53" i="7" s="1"/>
  <c r="G27" i="7"/>
  <c r="F27" i="7" s="1"/>
  <c r="G26" i="7"/>
  <c r="F26" i="7" s="1"/>
  <c r="G24" i="7"/>
  <c r="F24" i="7" s="1"/>
  <c r="G76" i="7"/>
  <c r="F76" i="7" s="1"/>
  <c r="G70" i="7"/>
  <c r="F70" i="7" s="1"/>
  <c r="G48" i="7"/>
  <c r="F48" i="7" s="1"/>
  <c r="G46" i="7"/>
  <c r="F46" i="7" s="1"/>
  <c r="G20" i="7"/>
  <c r="F20" i="7" s="1"/>
  <c r="G17" i="7"/>
  <c r="F17" i="7" s="1"/>
  <c r="G16" i="7"/>
  <c r="F16" i="7" s="1"/>
  <c r="G15" i="7"/>
  <c r="F15" i="7" s="1"/>
  <c r="H14" i="7"/>
  <c r="H12" i="7" s="1"/>
  <c r="H107" i="7" s="1"/>
  <c r="G14" i="7"/>
  <c r="G13" i="7"/>
  <c r="F13" i="7" s="1"/>
  <c r="F14" i="7" l="1"/>
  <c r="G44" i="7"/>
  <c r="F44"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07" i="7" l="1"/>
  <c r="F107" i="7" s="1"/>
</calcChain>
</file>

<file path=xl/sharedStrings.xml><?xml version="1.0" encoding="utf-8"?>
<sst xmlns="http://schemas.openxmlformats.org/spreadsheetml/2006/main" count="680" uniqueCount="407">
  <si>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</si>
  <si>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</si>
  <si>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</si>
  <si>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</si>
  <si>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</si>
  <si>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</si>
  <si>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</si>
  <si>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</si>
  <si>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</si>
  <si>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</si>
  <si>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</si>
  <si>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</si>
  <si>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</si>
  <si>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</si>
  <si>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</si>
  <si>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</si>
  <si>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</si>
  <si>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</si>
  <si>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</si>
  <si>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</si>
  <si>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</si>
  <si>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</si>
  <si>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</si>
  <si>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</si>
  <si>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</si>
  <si>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</si>
  <si>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</si>
  <si>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</si>
  <si>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</si>
  <si>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</si>
  <si>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</si>
  <si>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</si>
  <si>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</si>
  <si>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</si>
  <si>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</si>
  <si>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</si>
  <si>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</si>
  <si>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</si>
  <si>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</si>
  <si>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</si>
  <si>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</si>
  <si>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</si>
  <si>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</si>
  <si>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</si>
  <si>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</si>
  <si>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</si>
  <si>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</si>
  <si>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</si>
  <si>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</si>
  <si>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</si>
  <si>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</si>
  <si>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</si>
  <si>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</si>
  <si>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</si>
  <si>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</si>
  <si>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</si>
  <si>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</si>
  <si>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</si>
  <si>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</si>
  <si>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</si>
  <si>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</si>
  <si>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</si>
  <si>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</si>
  <si>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</si>
  <si>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</si>
  <si>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</si>
  <si>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</si>
  <si>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</si>
  <si>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</si>
  <si>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</si>
  <si>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</si>
  <si>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</si>
  <si>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</si>
  <si>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</si>
  <si>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</si>
  <si>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</si>
  <si>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</si>
  <si>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</si>
  <si>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</si>
  <si>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</si>
  <si>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</si>
  <si>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</si>
  <si>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</si>
  <si>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</si>
  <si>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</si>
  <si>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</si>
  <si>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</si>
  <si>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</si>
  <si>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</si>
  <si>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</si>
  <si>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</si>
  <si>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</si>
  <si>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</si>
  <si>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</si>
  <si>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</si>
  <si>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</si>
  <si>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</si>
  <si>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</si>
  <si>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</si>
  <si>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</si>
  <si>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</si>
  <si>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</si>
  <si>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</si>
  <si>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</si>
  <si>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</si>
  <si>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</si>
  <si>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</si>
  <si>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</si>
  <si>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</si>
  <si>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</si>
  <si>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</si>
  <si>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</si>
  <si>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</si>
  <si>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</si>
  <si>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</si>
  <si>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</si>
  <si>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</si>
  <si>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</si>
  <si>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</si>
  <si>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</si>
  <si>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</si>
  <si>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</si>
  <si>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</si>
  <si>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</si>
  <si>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</si>
  <si>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</si>
  <si>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</si>
  <si>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</si>
  <si>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</si>
  <si>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</si>
  <si>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</si>
  <si>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</si>
  <si>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</si>
  <si>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</si>
  <si>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</si>
  <si>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</si>
  <si>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</si>
  <si>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</si>
  <si>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</si>
  <si>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</si>
  <si>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</si>
  <si>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</si>
  <si>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</si>
  <si>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</si>
  <si>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</si>
  <si>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</si>
  <si>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</si>
  <si>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</si>
  <si>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</si>
  <si>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</si>
  <si>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</si>
  <si>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</si>
  <si>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</si>
  <si>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</si>
  <si>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</si>
  <si>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</si>
  <si>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</si>
  <si>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</si>
  <si>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</si>
  <si>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</si>
  <si>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</si>
  <si>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</si>
  <si>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</si>
  <si>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</si>
  <si>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</si>
  <si>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</si>
  <si>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</si>
  <si>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</si>
  <si>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</si>
  <si>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</si>
  <si>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</si>
  <si>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</si>
  <si>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</si>
  <si>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</si>
  <si>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</si>
  <si>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</si>
  <si>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</si>
  <si>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</si>
  <si>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</si>
  <si>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</si>
  <si>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</si>
  <si>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</si>
  <si>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</si>
  <si>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</si>
  <si>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</si>
  <si>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</si>
  <si>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</si>
  <si>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</si>
  <si>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</si>
  <si>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</si>
  <si>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</si>
  <si>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</si>
  <si>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</si>
  <si>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</si>
  <si>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</si>
  <si>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</si>
  <si>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</si>
  <si>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</si>
  <si>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</si>
  <si>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</si>
  <si>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</si>
  <si>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</si>
  <si>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</si>
  <si>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</si>
  <si>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</si>
  <si>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</si>
  <si>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</si>
  <si>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</si>
  <si>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</si>
  <si>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</si>
  <si>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</si>
  <si>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</si>
  <si>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</si>
  <si>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</si>
  <si>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</si>
  <si>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</si>
  <si>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</si>
  <si>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</si>
  <si>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</si>
  <si>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</si>
  <si>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</si>
  <si>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</si>
  <si>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</si>
  <si>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</si>
  <si>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</si>
  <si>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</si>
  <si>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</si>
  <si>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</si>
  <si>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</si>
  <si>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</si>
  <si>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</si>
  <si>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</si>
  <si>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</si>
  <si>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</si>
  <si>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</si>
  <si>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</si>
  <si>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</si>
  <si>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</si>
  <si>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</si>
  <si>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</si>
  <si>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</si>
  <si>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</si>
  <si>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</si>
  <si>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</si>
  <si>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</si>
  <si>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</si>
  <si>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</si>
  <si>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</si>
  <si>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</si>
  <si>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</si>
  <si>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</si>
  <si>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</si>
  <si>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</si>
  <si>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</si>
  <si>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</si>
  <si>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</si>
  <si>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</si>
  <si>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</si>
  <si>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</si>
  <si>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</si>
  <si>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</si>
  <si>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</si>
  <si>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</si>
  <si>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</si>
  <si>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</si>
  <si>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</si>
  <si>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</si>
  <si>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</si>
  <si>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</si>
  <si>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</si>
  <si>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</si>
  <si>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</si>
  <si>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</si>
  <si>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</si>
  <si>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</si>
  <si>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</si>
  <si>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</si>
  <si>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</si>
  <si>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</si>
  <si>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</si>
  <si>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</si>
  <si>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</si>
  <si>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</si>
  <si>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</si>
  <si>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</si>
  <si>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</si>
  <si>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</si>
  <si>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</si>
  <si>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</si>
  <si>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</si>
  <si>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</si>
  <si>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</si>
  <si>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</si>
  <si>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</si>
  <si>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</si>
  <si>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</si>
  <si>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</si>
  <si>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</si>
  <si>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</si>
  <si>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</si>
  <si>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</si>
  <si>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</si>
  <si>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</si>
  <si>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</si>
  <si>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</si>
  <si>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</si>
  <si>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</si>
  <si>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</si>
  <si>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</si>
  <si>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</si>
  <si>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</si>
  <si>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</si>
  <si>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</si>
  <si>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</si>
  <si>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</si>
  <si>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</si>
  <si>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</si>
  <si>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</si>
  <si>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</si>
  <si>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</si>
  <si>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</si>
  <si>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</si>
  <si>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</si>
  <si>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</si>
  <si>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</si>
  <si>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</si>
  <si>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</si>
  <si>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</si>
  <si>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</si>
  <si>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</si>
  <si>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</si>
  <si>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</si>
  <si>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</si>
  <si>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</si>
  <si>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</si>
  <si>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</si>
  <si>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</si>
  <si>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</si>
  <si>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</si>
  <si>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</si>
  <si>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</si>
  <si>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</si>
  <si>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</si>
  <si>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</si>
  <si>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</si>
  <si>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</si>
  <si>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</si>
  <si>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</si>
  <si>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</si>
  <si>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</si>
  <si>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</si>
  <si>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</si>
  <si>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</si>
  <si>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</si>
  <si>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</si>
  <si>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</si>
  <si>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</si>
  <si>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</si>
  <si>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</si>
  <si>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</si>
  <si>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</si>
  <si>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</si>
  <si>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</si>
  <si>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</si>
  <si>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</si>
  <si>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</si>
  <si>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</si>
  <si>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</si>
  <si>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</si>
  <si>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</si>
  <si>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</si>
  <si>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</si>
  <si>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</si>
  <si>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</si>
  <si>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</si>
  <si>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</si>
  <si>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</si>
  <si>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</si>
  <si>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</si>
  <si>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</si>
  <si>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</si>
  <si>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</si>
  <si>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</si>
  <si>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</si>
  <si>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</si>
  <si>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</si>
  <si>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</si>
  <si>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</si>
  <si>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</si>
  <si>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</si>
  <si>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</si>
  <si>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</si>
  <si>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</si>
  <si>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</si>
  <si>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</si>
  <si>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</si>
  <si>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</si>
  <si>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</si>
  <si>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</si>
  <si>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</si>
  <si>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</si>
  <si>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</si>
  <si>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</si>
  <si>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</si>
  <si>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</si>
  <si>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</si>
  <si>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від 19.09.2025   № 927-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</si>
</sst>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83">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49" fontId="23" fillId="2" borderId="5"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3" fillId="2" borderId="1" xfId="3" applyFont="1" applyFill="1" applyBorder="1" applyAlignment="1">
      <alignment horizontal="center" vertical="center" wrapText="1"/>
    </xf>
    <xf numFmtId="165" fontId="24" fillId="2" borderId="0" xfId="3" applyFont="1" applyFill="1"/>
    <xf numFmtId="0" fontId="24" fillId="2" borderId="0" xfId="0" applyFont="1" applyFill="1"/>
    <xf numFmtId="0" fontId="25" fillId="2" borderId="1" xfId="0" applyFont="1" applyFill="1" applyBorder="1" applyAlignment="1">
      <alignment horizontal="left" vertical="center" wrapText="1"/>
    </xf>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0" fontId="28" fillId="2" borderId="1" xfId="0" applyFont="1" applyFill="1" applyBorder="1" applyAlignment="1">
      <alignment horizontal="center" vertical="center" wrapText="1"/>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5"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0" fontId="25" fillId="2" borderId="9" xfId="5" applyFont="1" applyFill="1" applyBorder="1" applyAlignment="1">
      <alignment horizontal="lef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0" fontId="8" fillId="5" borderId="1" xfId="0" applyFont="1" applyFill="1" applyBorder="1" applyAlignment="1">
      <alignment horizontal="center"/>
    </xf>
    <xf numFmtId="4" fontId="8" fillId="5" borderId="1" xfId="0" applyNumberFormat="1" applyFont="1" applyFill="1" applyBorder="1" applyAlignment="1">
      <alignment horizontal="center"/>
    </xf>
    <xf numFmtId="0" fontId="8" fillId="0" borderId="3" xfId="0" applyFont="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166" fontId="10" fillId="2" borderId="7" xfId="0" applyNumberFormat="1" applyFont="1" applyFill="1" applyBorder="1" applyAlignment="1">
      <alignment horizontal="center" vertical="center" wrapText="1"/>
    </xf>
    <xf numFmtId="0" fontId="0" fillId="0" borderId="9" xfId="0" applyBorder="1"/>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0" fontId="0" fillId="0" borderId="8" xfId="0" applyBorder="1"/>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9" borderId="1" xfId="0" applyFont="1" applyFill="1" applyBorder="1" applyAlignment="1">
      <alignment horizont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2"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166" fontId="10" fillId="0" borderId="8"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166" fontId="10" fillId="5" borderId="1" xfId="0" applyNumberFormat="1"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0" borderId="3" xfId="0" applyFont="1" applyBorder="1" applyAlignment="1">
      <alignment horizontal="center"/>
    </xf>
    <xf numFmtId="0" fontId="25" fillId="2" borderId="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6" xfId="0"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2" borderId="13" xfId="0" applyNumberFormat="1" applyFont="1" applyFill="1" applyBorder="1" applyAlignment="1">
      <alignment horizontal="center" vertical="center" wrapText="1"/>
    </xf>
    <xf numFmtId="49" fontId="25" fillId="2" borderId="6"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5" xfId="4" quotePrefix="1" applyFont="1" applyFill="1" applyBorder="1" applyAlignment="1">
      <alignment horizontal="left" vertical="center" wrapText="1"/>
    </xf>
    <xf numFmtId="0" fontId="25" fillId="2" borderId="13" xfId="4" quotePrefix="1" applyFont="1" applyFill="1" applyBorder="1" applyAlignment="1">
      <alignment horizontal="left" vertical="center" wrapText="1"/>
    </xf>
    <xf numFmtId="0" fontId="25" fillId="2" borderId="6" xfId="4" quotePrefix="1" applyFont="1" applyFill="1" applyBorder="1" applyAlignment="1">
      <alignment horizontal="left" vertical="center" wrapText="1"/>
    </xf>
    <xf numFmtId="1" fontId="25" fillId="2" borderId="5" xfId="0" applyNumberFormat="1" applyFont="1" applyFill="1" applyBorder="1" applyAlignment="1">
      <alignment horizontal="center" vertical="center" wrapText="1"/>
    </xf>
    <xf numFmtId="1" fontId="25" fillId="2" borderId="6" xfId="0" applyNumberFormat="1" applyFont="1" applyFill="1" applyBorder="1" applyAlignment="1">
      <alignment horizontal="center"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175" t="s">
        <v>0</v>
      </c>
      <c r="B2" s="175" t="s">
        <v>1</v>
      </c>
      <c r="C2" s="175" t="s">
        <v>2</v>
      </c>
      <c r="D2" s="175" t="s">
        <v>3</v>
      </c>
      <c r="E2" s="175" t="s">
        <v>4</v>
      </c>
      <c r="F2" s="175"/>
      <c r="G2" s="176" t="s">
        <v>5</v>
      </c>
      <c r="H2" s="169"/>
      <c r="I2" s="169"/>
      <c r="J2" s="169"/>
      <c r="K2" s="169"/>
      <c r="L2" s="169"/>
      <c r="M2" s="169"/>
      <c r="N2" s="169"/>
      <c r="O2" s="169"/>
      <c r="P2" s="169"/>
      <c r="Q2" s="169"/>
      <c r="R2" s="169"/>
      <c r="S2" s="169"/>
      <c r="T2" s="159"/>
    </row>
    <row r="3" spans="1:20" ht="17.25" customHeight="1" x14ac:dyDescent="0.35">
      <c r="A3" s="175"/>
      <c r="B3" s="175"/>
      <c r="C3" s="175"/>
      <c r="D3" s="175"/>
      <c r="E3" s="175"/>
      <c r="F3" s="175"/>
      <c r="G3" s="177" t="s">
        <v>6</v>
      </c>
      <c r="H3" s="178"/>
      <c r="I3" s="179"/>
      <c r="J3" s="176" t="s">
        <v>58</v>
      </c>
      <c r="K3" s="183"/>
      <c r="L3" s="183"/>
      <c r="M3" s="183"/>
      <c r="N3" s="183"/>
      <c r="O3" s="183"/>
      <c r="P3" s="183"/>
      <c r="Q3" s="183"/>
      <c r="R3" s="183"/>
      <c r="S3" s="183"/>
      <c r="T3" s="184"/>
    </row>
    <row r="4" spans="1:20" ht="27" customHeight="1" x14ac:dyDescent="0.35">
      <c r="A4" s="175"/>
      <c r="B4" s="175"/>
      <c r="C4" s="175"/>
      <c r="D4" s="175"/>
      <c r="E4" s="175"/>
      <c r="F4" s="175"/>
      <c r="G4" s="180"/>
      <c r="H4" s="181"/>
      <c r="I4" s="182"/>
      <c r="J4" s="176">
        <v>2016</v>
      </c>
      <c r="K4" s="183"/>
      <c r="L4" s="184"/>
      <c r="M4" s="176">
        <v>2017</v>
      </c>
      <c r="N4" s="184"/>
      <c r="O4" s="185">
        <v>2018</v>
      </c>
      <c r="P4" s="186"/>
      <c r="Q4" s="187"/>
      <c r="R4" s="185">
        <v>2019</v>
      </c>
      <c r="S4" s="187"/>
      <c r="T4" s="61">
        <v>2020</v>
      </c>
    </row>
    <row r="5" spans="1:20" ht="17.25" customHeight="1" x14ac:dyDescent="0.35">
      <c r="A5" s="172" t="s">
        <v>60</v>
      </c>
      <c r="B5" s="172"/>
      <c r="C5" s="172"/>
      <c r="D5" s="172"/>
      <c r="E5" s="172"/>
      <c r="F5" s="172"/>
      <c r="G5" s="172"/>
      <c r="H5" s="172"/>
      <c r="I5" s="172"/>
      <c r="J5" s="172"/>
      <c r="K5" s="172"/>
      <c r="L5" s="172"/>
      <c r="M5" s="172"/>
      <c r="N5" s="172"/>
      <c r="O5" s="172"/>
      <c r="P5" s="172"/>
      <c r="Q5" s="172"/>
      <c r="R5" s="172"/>
      <c r="S5" s="172"/>
      <c r="T5" s="172"/>
    </row>
    <row r="6" spans="1:20" s="7" customFormat="1" ht="78" customHeight="1" x14ac:dyDescent="0.35">
      <c r="A6" s="53" t="s">
        <v>7</v>
      </c>
      <c r="B6" s="30" t="s">
        <v>82</v>
      </c>
      <c r="C6" s="200" t="s">
        <v>52</v>
      </c>
      <c r="D6" s="201" t="s">
        <v>59</v>
      </c>
      <c r="E6" s="201" t="s">
        <v>9</v>
      </c>
      <c r="F6" s="201"/>
      <c r="G6" s="158">
        <f>J6+M6+O6+R6+T6</f>
        <v>250000</v>
      </c>
      <c r="H6" s="159"/>
      <c r="I6" s="66"/>
      <c r="J6" s="166">
        <v>50000</v>
      </c>
      <c r="K6" s="167"/>
      <c r="L6" s="168"/>
      <c r="M6" s="158">
        <v>50000</v>
      </c>
      <c r="N6" s="159"/>
      <c r="O6" s="158">
        <v>50000</v>
      </c>
      <c r="P6" s="169"/>
      <c r="Q6" s="159"/>
      <c r="R6" s="158">
        <v>50000</v>
      </c>
      <c r="S6" s="159"/>
      <c r="T6" s="58">
        <v>50000</v>
      </c>
    </row>
    <row r="7" spans="1:20" ht="88.5" customHeight="1" x14ac:dyDescent="0.35">
      <c r="A7" s="53" t="s">
        <v>8</v>
      </c>
      <c r="B7" s="25" t="s">
        <v>50</v>
      </c>
      <c r="C7" s="200"/>
      <c r="D7" s="201"/>
      <c r="E7" s="201"/>
      <c r="F7" s="201"/>
      <c r="G7" s="158">
        <f>J7+M7+O7+R7+T7</f>
        <v>70000</v>
      </c>
      <c r="H7" s="159"/>
      <c r="I7" s="26"/>
      <c r="J7" s="160">
        <v>35000</v>
      </c>
      <c r="K7" s="161"/>
      <c r="L7" s="162"/>
      <c r="M7" s="163"/>
      <c r="N7" s="164"/>
      <c r="O7" s="163">
        <v>35000</v>
      </c>
      <c r="P7" s="165"/>
      <c r="Q7" s="164"/>
      <c r="R7" s="163"/>
      <c r="S7" s="164"/>
      <c r="T7" s="31"/>
    </row>
    <row r="8" spans="1:20" ht="15.75" customHeight="1" x14ac:dyDescent="0.35">
      <c r="A8" s="214" t="s">
        <v>61</v>
      </c>
      <c r="B8" s="214"/>
      <c r="C8" s="214"/>
      <c r="D8" s="214"/>
      <c r="E8" s="214"/>
      <c r="F8" s="214"/>
      <c r="G8" s="214"/>
      <c r="H8" s="214"/>
      <c r="I8" s="214"/>
      <c r="J8" s="214"/>
      <c r="K8" s="214"/>
      <c r="L8" s="214"/>
      <c r="M8" s="214"/>
      <c r="N8" s="214"/>
      <c r="O8" s="214"/>
      <c r="P8" s="214"/>
      <c r="Q8" s="214"/>
      <c r="R8" s="214"/>
      <c r="S8" s="214"/>
      <c r="T8" s="214"/>
    </row>
    <row r="9" spans="1:20" x14ac:dyDescent="0.35">
      <c r="A9" s="214"/>
      <c r="B9" s="214"/>
      <c r="C9" s="214"/>
      <c r="D9" s="214"/>
      <c r="E9" s="214"/>
      <c r="F9" s="214"/>
      <c r="G9" s="214"/>
      <c r="H9" s="214"/>
      <c r="I9" s="214"/>
      <c r="J9" s="214"/>
      <c r="K9" s="214"/>
      <c r="L9" s="214"/>
      <c r="M9" s="214"/>
      <c r="N9" s="214"/>
      <c r="O9" s="214"/>
      <c r="P9" s="214"/>
      <c r="Q9" s="214"/>
      <c r="R9" s="214"/>
      <c r="S9" s="214"/>
      <c r="T9" s="214"/>
    </row>
    <row r="10" spans="1:20" ht="36.75" customHeight="1" x14ac:dyDescent="0.35">
      <c r="A10" s="200" t="s">
        <v>10</v>
      </c>
      <c r="B10" s="215" t="s">
        <v>55</v>
      </c>
      <c r="C10" s="216" t="s">
        <v>52</v>
      </c>
      <c r="D10" s="201" t="s">
        <v>59</v>
      </c>
      <c r="E10" s="201" t="s">
        <v>9</v>
      </c>
      <c r="F10" s="201"/>
      <c r="G10" s="202">
        <f>J10+M10+O10+R10+T10</f>
        <v>100000</v>
      </c>
      <c r="H10" s="219"/>
      <c r="I10" s="203"/>
      <c r="J10" s="221">
        <v>20000</v>
      </c>
      <c r="K10" s="222"/>
      <c r="L10" s="223"/>
      <c r="M10" s="202">
        <v>20000</v>
      </c>
      <c r="N10" s="203"/>
      <c r="O10" s="202">
        <v>20000</v>
      </c>
      <c r="P10" s="219"/>
      <c r="Q10" s="203"/>
      <c r="R10" s="202">
        <v>20000</v>
      </c>
      <c r="S10" s="203"/>
      <c r="T10" s="206">
        <v>20000</v>
      </c>
    </row>
    <row r="11" spans="1:20" ht="108.75" customHeight="1" x14ac:dyDescent="0.35">
      <c r="A11" s="200"/>
      <c r="B11" s="215"/>
      <c r="C11" s="217"/>
      <c r="D11" s="201"/>
      <c r="E11" s="201"/>
      <c r="F11" s="201"/>
      <c r="G11" s="204"/>
      <c r="H11" s="220"/>
      <c r="I11" s="205"/>
      <c r="J11" s="224"/>
      <c r="K11" s="225"/>
      <c r="L11" s="226"/>
      <c r="M11" s="204"/>
      <c r="N11" s="205"/>
      <c r="O11" s="204"/>
      <c r="P11" s="220"/>
      <c r="Q11" s="205"/>
      <c r="R11" s="204"/>
      <c r="S11" s="205"/>
      <c r="T11" s="207"/>
    </row>
    <row r="12" spans="1:20" ht="55.5" customHeight="1" x14ac:dyDescent="0.35">
      <c r="A12" s="56" t="s">
        <v>11</v>
      </c>
      <c r="B12" s="33" t="s">
        <v>80</v>
      </c>
      <c r="C12" s="217"/>
      <c r="D12" s="201"/>
      <c r="E12" s="201"/>
      <c r="F12" s="201"/>
      <c r="G12" s="208">
        <f>J12+M12+O12+R12+T12</f>
        <v>500000</v>
      </c>
      <c r="H12" s="209"/>
      <c r="I12" s="210"/>
      <c r="J12" s="160">
        <v>100000</v>
      </c>
      <c r="K12" s="161"/>
      <c r="L12" s="162"/>
      <c r="M12" s="211">
        <v>100000</v>
      </c>
      <c r="N12" s="212"/>
      <c r="O12" s="211">
        <v>100000</v>
      </c>
      <c r="P12" s="213"/>
      <c r="Q12" s="212"/>
      <c r="R12" s="211">
        <v>100000</v>
      </c>
      <c r="S12" s="212"/>
      <c r="T12" s="64">
        <v>100000</v>
      </c>
    </row>
    <row r="13" spans="1:20" ht="69" customHeight="1" x14ac:dyDescent="0.35">
      <c r="A13" s="173" t="s">
        <v>12</v>
      </c>
      <c r="B13" s="174" t="s">
        <v>14</v>
      </c>
      <c r="C13" s="218"/>
      <c r="D13" s="201"/>
      <c r="E13" s="201"/>
      <c r="F13" s="201"/>
      <c r="G13" s="188">
        <f>J13+M13+O13+R13+T13</f>
        <v>1500000</v>
      </c>
      <c r="H13" s="189"/>
      <c r="I13" s="190"/>
      <c r="J13" s="194">
        <v>300000</v>
      </c>
      <c r="K13" s="195"/>
      <c r="L13" s="196"/>
      <c r="M13" s="188">
        <v>300000</v>
      </c>
      <c r="N13" s="190"/>
      <c r="O13" s="188">
        <v>300000</v>
      </c>
      <c r="P13" s="189"/>
      <c r="Q13" s="190"/>
      <c r="R13" s="188">
        <v>300000</v>
      </c>
      <c r="S13" s="190"/>
      <c r="T13" s="64">
        <v>300000</v>
      </c>
    </row>
    <row r="14" spans="1:20" ht="17.25" hidden="1" customHeight="1" x14ac:dyDescent="0.35">
      <c r="A14" s="173"/>
      <c r="B14" s="174"/>
      <c r="C14" s="3" t="s">
        <v>15</v>
      </c>
      <c r="D14" s="201"/>
      <c r="E14" s="201"/>
      <c r="F14" s="201"/>
      <c r="G14" s="191"/>
      <c r="H14" s="192"/>
      <c r="I14" s="193"/>
      <c r="J14" s="197"/>
      <c r="K14" s="198"/>
      <c r="L14" s="199"/>
      <c r="M14" s="191"/>
      <c r="N14" s="193"/>
      <c r="O14" s="191"/>
      <c r="P14" s="192"/>
      <c r="Q14" s="193"/>
      <c r="R14" s="191"/>
      <c r="S14" s="193"/>
      <c r="T14" s="34"/>
    </row>
    <row r="15" spans="1:20" ht="15.75" customHeight="1" x14ac:dyDescent="0.35">
      <c r="A15" s="214" t="s">
        <v>62</v>
      </c>
      <c r="B15" s="214"/>
      <c r="C15" s="214"/>
      <c r="D15" s="214"/>
      <c r="E15" s="214"/>
      <c r="F15" s="214"/>
      <c r="G15" s="214"/>
      <c r="H15" s="214"/>
      <c r="I15" s="214"/>
      <c r="J15" s="214"/>
      <c r="K15" s="214"/>
      <c r="L15" s="214"/>
      <c r="M15" s="214"/>
      <c r="N15" s="214"/>
      <c r="O15" s="214"/>
      <c r="P15" s="214"/>
      <c r="Q15" s="214"/>
      <c r="R15" s="214"/>
      <c r="S15" s="214"/>
      <c r="T15" s="214"/>
    </row>
    <row r="16" spans="1:20" x14ac:dyDescent="0.35">
      <c r="A16" s="214"/>
      <c r="B16" s="214"/>
      <c r="C16" s="214"/>
      <c r="D16" s="214"/>
      <c r="E16" s="214"/>
      <c r="F16" s="214"/>
      <c r="G16" s="214"/>
      <c r="H16" s="214"/>
      <c r="I16" s="214"/>
      <c r="J16" s="214"/>
      <c r="K16" s="214"/>
      <c r="L16" s="214"/>
      <c r="M16" s="214"/>
      <c r="N16" s="214"/>
      <c r="O16" s="214"/>
      <c r="P16" s="214"/>
      <c r="Q16" s="214"/>
      <c r="R16" s="214"/>
      <c r="S16" s="214"/>
      <c r="T16" s="214"/>
    </row>
    <row r="17" spans="1:20" ht="36" customHeight="1" x14ac:dyDescent="0.35">
      <c r="A17" s="53" t="s">
        <v>88</v>
      </c>
      <c r="B17" s="8" t="s">
        <v>63</v>
      </c>
      <c r="C17" s="216" t="s">
        <v>45</v>
      </c>
      <c r="D17" s="216" t="s">
        <v>59</v>
      </c>
      <c r="E17" s="233" t="s">
        <v>9</v>
      </c>
      <c r="F17" s="234"/>
      <c r="G17" s="170">
        <f>J17+M17+O17+R17+T17</f>
        <v>500000</v>
      </c>
      <c r="H17" s="170"/>
      <c r="I17" s="21"/>
      <c r="J17" s="171">
        <v>100000</v>
      </c>
      <c r="K17" s="171"/>
      <c r="L17" s="171"/>
      <c r="M17" s="170">
        <v>100000</v>
      </c>
      <c r="N17" s="170"/>
      <c r="O17" s="170">
        <v>100000</v>
      </c>
      <c r="P17" s="170"/>
      <c r="Q17" s="170"/>
      <c r="R17" s="170">
        <v>100000</v>
      </c>
      <c r="S17" s="170"/>
      <c r="T17" s="60">
        <v>100000</v>
      </c>
    </row>
    <row r="18" spans="1:20" ht="106.5" customHeight="1" x14ac:dyDescent="0.35">
      <c r="A18" s="53" t="s">
        <v>13</v>
      </c>
      <c r="B18" s="8" t="s">
        <v>120</v>
      </c>
      <c r="C18" s="218"/>
      <c r="D18" s="218"/>
      <c r="E18" s="235"/>
      <c r="F18" s="236"/>
      <c r="G18" s="170">
        <f>J18+M18+O18+R18+T18</f>
        <v>2200000</v>
      </c>
      <c r="H18" s="170"/>
      <c r="I18" s="21"/>
      <c r="J18" s="171">
        <v>1000000</v>
      </c>
      <c r="K18" s="171"/>
      <c r="L18" s="171"/>
      <c r="M18" s="170">
        <v>300000</v>
      </c>
      <c r="N18" s="170"/>
      <c r="O18" s="170">
        <v>300000</v>
      </c>
      <c r="P18" s="170"/>
      <c r="Q18" s="170"/>
      <c r="R18" s="170">
        <v>300000</v>
      </c>
      <c r="S18" s="170"/>
      <c r="T18" s="60">
        <v>300000</v>
      </c>
    </row>
    <row r="19" spans="1:20" ht="17.25" customHeight="1" x14ac:dyDescent="0.35">
      <c r="A19" s="172" t="s">
        <v>85</v>
      </c>
      <c r="B19" s="172"/>
      <c r="C19" s="172"/>
      <c r="D19" s="172"/>
      <c r="E19" s="172"/>
      <c r="F19" s="172"/>
      <c r="G19" s="172"/>
      <c r="H19" s="172"/>
      <c r="I19" s="172"/>
      <c r="J19" s="172"/>
      <c r="K19" s="172"/>
      <c r="L19" s="172"/>
      <c r="M19" s="172"/>
      <c r="N19" s="172"/>
      <c r="O19" s="172"/>
      <c r="P19" s="172"/>
      <c r="Q19" s="172"/>
      <c r="R19" s="172"/>
      <c r="S19" s="172"/>
      <c r="T19" s="172"/>
    </row>
    <row r="20" spans="1:20" ht="88.5" customHeight="1" x14ac:dyDescent="0.35">
      <c r="A20" s="55" t="s">
        <v>16</v>
      </c>
      <c r="B20" s="50" t="s">
        <v>49</v>
      </c>
      <c r="C20" s="18" t="s">
        <v>44</v>
      </c>
      <c r="D20" s="55" t="s">
        <v>59</v>
      </c>
      <c r="E20" s="228" t="s">
        <v>9</v>
      </c>
      <c r="F20" s="228"/>
      <c r="G20" s="229">
        <v>100000</v>
      </c>
      <c r="H20" s="229"/>
      <c r="I20" s="19"/>
      <c r="J20" s="230">
        <v>20000</v>
      </c>
      <c r="K20" s="230"/>
      <c r="L20" s="230"/>
      <c r="M20" s="231">
        <v>20000</v>
      </c>
      <c r="N20" s="231"/>
      <c r="O20" s="232">
        <v>20000</v>
      </c>
      <c r="P20" s="232"/>
      <c r="Q20" s="232"/>
      <c r="R20" s="231">
        <v>20000</v>
      </c>
      <c r="S20" s="231"/>
      <c r="T20" s="65">
        <v>20000</v>
      </c>
    </row>
    <row r="21" spans="1:20" ht="17.25" customHeight="1" x14ac:dyDescent="0.35">
      <c r="A21" s="172" t="s">
        <v>84</v>
      </c>
      <c r="B21" s="172"/>
      <c r="C21" s="172"/>
      <c r="D21" s="172"/>
      <c r="E21" s="172"/>
      <c r="F21" s="172"/>
      <c r="G21" s="172"/>
      <c r="H21" s="172"/>
      <c r="I21" s="172"/>
      <c r="J21" s="172"/>
      <c r="K21" s="172"/>
      <c r="L21" s="172"/>
      <c r="M21" s="172"/>
      <c r="N21" s="172"/>
      <c r="O21" s="172"/>
      <c r="P21" s="172"/>
      <c r="Q21" s="172"/>
      <c r="R21" s="172"/>
      <c r="S21" s="172"/>
      <c r="T21" s="172"/>
    </row>
    <row r="22" spans="1:20" ht="124.5" customHeight="1" x14ac:dyDescent="0.35">
      <c r="A22" s="56" t="s">
        <v>17</v>
      </c>
      <c r="B22" s="63" t="s">
        <v>83</v>
      </c>
      <c r="C22" s="53" t="s">
        <v>41</v>
      </c>
      <c r="D22" s="53" t="s">
        <v>59</v>
      </c>
      <c r="E22" s="200" t="s">
        <v>9</v>
      </c>
      <c r="F22" s="200"/>
      <c r="G22" s="227">
        <f>J22+M22+O22+R22+T22</f>
        <v>50000</v>
      </c>
      <c r="H22" s="227"/>
      <c r="I22" s="227"/>
      <c r="J22" s="239">
        <v>10000</v>
      </c>
      <c r="K22" s="239"/>
      <c r="L22" s="239"/>
      <c r="M22" s="227">
        <v>10000</v>
      </c>
      <c r="N22" s="227"/>
      <c r="O22" s="227">
        <v>10000</v>
      </c>
      <c r="P22" s="227"/>
      <c r="Q22" s="227"/>
      <c r="R22" s="227">
        <v>10000</v>
      </c>
      <c r="S22" s="227"/>
      <c r="T22" s="57">
        <v>10000</v>
      </c>
    </row>
    <row r="23" spans="1:20" ht="52.5" customHeight="1" x14ac:dyDescent="0.35">
      <c r="A23" s="53" t="s">
        <v>18</v>
      </c>
      <c r="B23" s="32" t="s">
        <v>53</v>
      </c>
      <c r="C23" s="53" t="s">
        <v>40</v>
      </c>
      <c r="D23" s="53">
        <v>2017</v>
      </c>
      <c r="E23" s="200" t="s">
        <v>122</v>
      </c>
      <c r="F23" s="200"/>
      <c r="G23" s="240">
        <f>M23</f>
        <v>3000000</v>
      </c>
      <c r="H23" s="240"/>
      <c r="I23" s="240"/>
      <c r="J23" s="227"/>
      <c r="K23" s="227"/>
      <c r="L23" s="227"/>
      <c r="M23" s="227">
        <v>3000000</v>
      </c>
      <c r="N23" s="227"/>
      <c r="O23" s="227"/>
      <c r="P23" s="227"/>
      <c r="Q23" s="227"/>
      <c r="R23" s="227"/>
      <c r="S23" s="227"/>
      <c r="T23" s="34"/>
    </row>
    <row r="24" spans="1:20" ht="20.25" customHeight="1" x14ac:dyDescent="0.35">
      <c r="A24" s="172" t="s">
        <v>89</v>
      </c>
      <c r="B24" s="172"/>
      <c r="C24" s="172"/>
      <c r="D24" s="172"/>
      <c r="E24" s="172"/>
      <c r="F24" s="172"/>
      <c r="G24" s="172"/>
      <c r="H24" s="172"/>
      <c r="I24" s="172"/>
      <c r="J24" s="172"/>
      <c r="K24" s="172"/>
      <c r="L24" s="172"/>
      <c r="M24" s="172"/>
      <c r="N24" s="172"/>
      <c r="O24" s="172"/>
      <c r="P24" s="172"/>
      <c r="Q24" s="172"/>
      <c r="R24" s="172"/>
      <c r="S24" s="172"/>
      <c r="T24" s="172"/>
    </row>
    <row r="25" spans="1:20" ht="86.25" customHeight="1" x14ac:dyDescent="0.35">
      <c r="A25" s="56" t="s">
        <v>90</v>
      </c>
      <c r="B25" s="40" t="s">
        <v>123</v>
      </c>
      <c r="C25" s="56" t="s">
        <v>47</v>
      </c>
      <c r="D25" s="56" t="s">
        <v>59</v>
      </c>
      <c r="E25" s="237" t="s">
        <v>9</v>
      </c>
      <c r="F25" s="237"/>
      <c r="G25" s="238">
        <f>J25+M25+O25+R25+T25</f>
        <v>300000</v>
      </c>
      <c r="H25" s="238"/>
      <c r="I25" s="2"/>
      <c r="J25" s="239">
        <v>60000</v>
      </c>
      <c r="K25" s="239"/>
      <c r="L25" s="239"/>
      <c r="M25" s="238">
        <v>60000</v>
      </c>
      <c r="N25" s="238"/>
      <c r="O25" s="238">
        <v>60000</v>
      </c>
      <c r="P25" s="238"/>
      <c r="Q25" s="238"/>
      <c r="R25" s="238">
        <v>60000</v>
      </c>
      <c r="S25" s="238"/>
      <c r="T25" s="52">
        <v>60000</v>
      </c>
    </row>
    <row r="26" spans="1:20" ht="86.25" customHeight="1" x14ac:dyDescent="0.35">
      <c r="A26" s="41" t="s">
        <v>128</v>
      </c>
      <c r="B26" s="40" t="s">
        <v>125</v>
      </c>
      <c r="C26" s="56" t="s">
        <v>47</v>
      </c>
      <c r="D26" s="56" t="s">
        <v>59</v>
      </c>
      <c r="E26" s="237" t="s">
        <v>9</v>
      </c>
      <c r="F26" s="237"/>
      <c r="G26" s="238">
        <f>M26+O26+R26+T26</f>
        <v>40000</v>
      </c>
      <c r="H26" s="238"/>
      <c r="I26" s="2"/>
      <c r="J26" s="238"/>
      <c r="K26" s="238"/>
      <c r="L26" s="238"/>
      <c r="M26" s="238">
        <v>10000</v>
      </c>
      <c r="N26" s="238"/>
      <c r="O26" s="238">
        <v>10000</v>
      </c>
      <c r="P26" s="238"/>
      <c r="Q26" s="238"/>
      <c r="R26" s="238">
        <v>10000</v>
      </c>
      <c r="S26" s="238"/>
      <c r="T26" s="52">
        <v>10000</v>
      </c>
    </row>
    <row r="27" spans="1:20" ht="68.25" customHeight="1" x14ac:dyDescent="0.35">
      <c r="A27" s="56" t="s">
        <v>91</v>
      </c>
      <c r="B27" s="29" t="s">
        <v>64</v>
      </c>
      <c r="C27" s="56" t="s">
        <v>47</v>
      </c>
      <c r="D27" s="56" t="s">
        <v>59</v>
      </c>
      <c r="E27" s="237" t="s">
        <v>9</v>
      </c>
      <c r="F27" s="237"/>
      <c r="G27" s="238">
        <f>J27+M27+O27+R27+T27</f>
        <v>25000</v>
      </c>
      <c r="H27" s="238"/>
      <c r="I27" s="238"/>
      <c r="J27" s="238"/>
      <c r="K27" s="238"/>
      <c r="L27" s="238"/>
      <c r="M27" s="238">
        <v>25000</v>
      </c>
      <c r="N27" s="238"/>
      <c r="O27" s="238"/>
      <c r="P27" s="238"/>
      <c r="Q27" s="238"/>
      <c r="R27" s="238"/>
      <c r="S27" s="238"/>
      <c r="T27" s="2"/>
    </row>
    <row r="28" spans="1:20" ht="68.25" customHeight="1" x14ac:dyDescent="0.35">
      <c r="A28" s="41" t="s">
        <v>126</v>
      </c>
      <c r="B28" s="29" t="s">
        <v>127</v>
      </c>
      <c r="C28" s="56" t="s">
        <v>47</v>
      </c>
      <c r="D28" s="56" t="s">
        <v>59</v>
      </c>
      <c r="E28" s="237" t="s">
        <v>9</v>
      </c>
      <c r="F28" s="237"/>
      <c r="G28" s="238">
        <f>M28+O28</f>
        <v>30000</v>
      </c>
      <c r="H28" s="238"/>
      <c r="I28" s="52"/>
      <c r="J28" s="238"/>
      <c r="K28" s="238"/>
      <c r="L28" s="238"/>
      <c r="M28" s="238">
        <v>15000</v>
      </c>
      <c r="N28" s="238"/>
      <c r="O28" s="238">
        <v>15000</v>
      </c>
      <c r="P28" s="238"/>
      <c r="Q28" s="238"/>
      <c r="R28" s="238"/>
      <c r="S28" s="238"/>
      <c r="T28" s="2"/>
    </row>
    <row r="29" spans="1:20" s="24" customFormat="1" ht="81" customHeight="1" x14ac:dyDescent="0.35">
      <c r="A29" s="53" t="s">
        <v>92</v>
      </c>
      <c r="B29" s="8" t="s">
        <v>65</v>
      </c>
      <c r="C29" s="56" t="s">
        <v>47</v>
      </c>
      <c r="D29" s="56" t="s">
        <v>59</v>
      </c>
      <c r="E29" s="237" t="s">
        <v>9</v>
      </c>
      <c r="F29" s="237"/>
      <c r="G29" s="227">
        <f>J29+M29+O29+R29+T29</f>
        <v>80000</v>
      </c>
      <c r="H29" s="227"/>
      <c r="I29" s="227"/>
      <c r="J29" s="239">
        <v>16000</v>
      </c>
      <c r="K29" s="239"/>
      <c r="L29" s="239"/>
      <c r="M29" s="227">
        <v>16000</v>
      </c>
      <c r="N29" s="227"/>
      <c r="O29" s="227">
        <v>16000</v>
      </c>
      <c r="P29" s="227"/>
      <c r="Q29" s="227"/>
      <c r="R29" s="227">
        <v>16000</v>
      </c>
      <c r="S29" s="227"/>
      <c r="T29" s="57">
        <v>16000</v>
      </c>
    </row>
    <row r="30" spans="1:20" ht="87" customHeight="1" x14ac:dyDescent="0.35">
      <c r="A30" s="53" t="s">
        <v>93</v>
      </c>
      <c r="B30" s="4" t="s">
        <v>124</v>
      </c>
      <c r="C30" s="56" t="s">
        <v>47</v>
      </c>
      <c r="D30" s="4" t="s">
        <v>59</v>
      </c>
      <c r="E30" s="237" t="s">
        <v>9</v>
      </c>
      <c r="F30" s="237"/>
      <c r="G30" s="227">
        <f>J30+M30+O30+R30+T30</f>
        <v>125000</v>
      </c>
      <c r="H30" s="227"/>
      <c r="I30" s="227"/>
      <c r="J30" s="239">
        <v>25000</v>
      </c>
      <c r="K30" s="239"/>
      <c r="L30" s="239"/>
      <c r="M30" s="238">
        <v>25000</v>
      </c>
      <c r="N30" s="238"/>
      <c r="O30" s="238">
        <v>25000</v>
      </c>
      <c r="P30" s="238"/>
      <c r="Q30" s="238"/>
      <c r="R30" s="238">
        <v>25000</v>
      </c>
      <c r="S30" s="238"/>
      <c r="T30" s="52">
        <v>25000</v>
      </c>
    </row>
    <row r="31" spans="1:20" ht="117" customHeight="1" x14ac:dyDescent="0.35">
      <c r="A31" s="53" t="s">
        <v>94</v>
      </c>
      <c r="B31" s="32" t="s">
        <v>129</v>
      </c>
      <c r="C31" s="56" t="s">
        <v>47</v>
      </c>
      <c r="D31" s="4" t="s">
        <v>59</v>
      </c>
      <c r="E31" s="237" t="s">
        <v>9</v>
      </c>
      <c r="F31" s="237"/>
      <c r="G31" s="227">
        <f>J31+M31+O31+R31+T31</f>
        <v>1008000</v>
      </c>
      <c r="H31" s="227"/>
      <c r="I31" s="227"/>
      <c r="J31" s="241">
        <v>180000</v>
      </c>
      <c r="K31" s="241"/>
      <c r="L31" s="241"/>
      <c r="M31" s="227">
        <v>168000</v>
      </c>
      <c r="N31" s="227"/>
      <c r="O31" s="227">
        <v>220000</v>
      </c>
      <c r="P31" s="227"/>
      <c r="Q31" s="227"/>
      <c r="R31" s="227">
        <v>220000</v>
      </c>
      <c r="S31" s="227"/>
      <c r="T31" s="57">
        <v>220000</v>
      </c>
    </row>
    <row r="32" spans="1:20" ht="27.75" customHeight="1" x14ac:dyDescent="0.35">
      <c r="A32" s="242" t="s">
        <v>95</v>
      </c>
      <c r="B32" s="242"/>
      <c r="C32" s="242"/>
      <c r="D32" s="242"/>
      <c r="E32" s="242"/>
      <c r="F32" s="242"/>
      <c r="G32" s="242"/>
      <c r="H32" s="242"/>
      <c r="I32" s="242"/>
      <c r="J32" s="242"/>
      <c r="K32" s="242"/>
      <c r="L32" s="242"/>
      <c r="M32" s="242"/>
      <c r="N32" s="242"/>
      <c r="O32" s="242"/>
      <c r="P32" s="242"/>
      <c r="Q32" s="242"/>
      <c r="R32" s="242"/>
      <c r="S32" s="242"/>
      <c r="T32" s="242"/>
    </row>
    <row r="33" spans="1:20" ht="93.75" customHeight="1" x14ac:dyDescent="0.35">
      <c r="A33" s="53" t="s">
        <v>19</v>
      </c>
      <c r="B33" s="8" t="s">
        <v>66</v>
      </c>
      <c r="C33" s="200" t="s">
        <v>48</v>
      </c>
      <c r="D33" s="200" t="s">
        <v>59</v>
      </c>
      <c r="E33" s="200" t="s">
        <v>9</v>
      </c>
      <c r="F33" s="200"/>
      <c r="G33" s="240">
        <f>J33+M33+O33+R33+T33</f>
        <v>1000000</v>
      </c>
      <c r="H33" s="240"/>
      <c r="I33" s="240"/>
      <c r="J33" s="243">
        <v>200000</v>
      </c>
      <c r="K33" s="243"/>
      <c r="L33" s="243"/>
      <c r="M33" s="240">
        <v>200000</v>
      </c>
      <c r="N33" s="240"/>
      <c r="O33" s="240">
        <v>200000</v>
      </c>
      <c r="P33" s="240"/>
      <c r="Q33" s="240"/>
      <c r="R33" s="240">
        <v>200000</v>
      </c>
      <c r="S33" s="240"/>
      <c r="T33" s="58">
        <v>200000</v>
      </c>
    </row>
    <row r="34" spans="1:20" ht="87" customHeight="1" x14ac:dyDescent="0.35">
      <c r="A34" s="53" t="s">
        <v>20</v>
      </c>
      <c r="B34" s="8" t="s">
        <v>86</v>
      </c>
      <c r="C34" s="200"/>
      <c r="D34" s="200"/>
      <c r="E34" s="200"/>
      <c r="F34" s="200"/>
      <c r="G34" s="240">
        <f>J34+M34+O34+R34+T34</f>
        <v>1000000</v>
      </c>
      <c r="H34" s="240"/>
      <c r="I34" s="240"/>
      <c r="J34" s="243">
        <v>200000</v>
      </c>
      <c r="K34" s="243"/>
      <c r="L34" s="243"/>
      <c r="M34" s="240">
        <v>200000</v>
      </c>
      <c r="N34" s="240"/>
      <c r="O34" s="240">
        <v>200000</v>
      </c>
      <c r="P34" s="240"/>
      <c r="Q34" s="240"/>
      <c r="R34" s="240">
        <v>200000</v>
      </c>
      <c r="S34" s="240"/>
      <c r="T34" s="58">
        <v>200000</v>
      </c>
    </row>
    <row r="35" spans="1:20" ht="120" customHeight="1" x14ac:dyDescent="0.35">
      <c r="A35" s="53" t="s">
        <v>21</v>
      </c>
      <c r="B35" s="4" t="s">
        <v>87</v>
      </c>
      <c r="C35" s="55" t="s">
        <v>45</v>
      </c>
      <c r="D35" s="200"/>
      <c r="E35" s="200"/>
      <c r="F35" s="200"/>
      <c r="G35" s="238">
        <f>J35+M35+O35+R35+T35</f>
        <v>100000</v>
      </c>
      <c r="H35" s="238"/>
      <c r="I35" s="10"/>
      <c r="J35" s="239">
        <v>20000</v>
      </c>
      <c r="K35" s="239"/>
      <c r="L35" s="239"/>
      <c r="M35" s="227">
        <v>20000</v>
      </c>
      <c r="N35" s="227"/>
      <c r="O35" s="227">
        <v>20000</v>
      </c>
      <c r="P35" s="227"/>
      <c r="Q35" s="227"/>
      <c r="R35" s="238">
        <v>20000</v>
      </c>
      <c r="S35" s="238"/>
      <c r="T35" s="52">
        <v>20000</v>
      </c>
    </row>
    <row r="36" spans="1:20" ht="27.75" customHeight="1" x14ac:dyDescent="0.35">
      <c r="A36" s="214" t="s">
        <v>96</v>
      </c>
      <c r="B36" s="214"/>
      <c r="C36" s="214"/>
      <c r="D36" s="214"/>
      <c r="E36" s="214"/>
      <c r="F36" s="214"/>
      <c r="G36" s="214"/>
      <c r="H36" s="214"/>
      <c r="I36" s="214"/>
      <c r="J36" s="214"/>
      <c r="K36" s="214"/>
      <c r="L36" s="214"/>
      <c r="M36" s="214"/>
      <c r="N36" s="214"/>
      <c r="O36" s="214"/>
      <c r="P36" s="214"/>
      <c r="Q36" s="214"/>
      <c r="R36" s="214"/>
      <c r="S36" s="214"/>
      <c r="T36" s="214"/>
    </row>
    <row r="37" spans="1:20" ht="141" customHeight="1" x14ac:dyDescent="0.35">
      <c r="A37" s="53" t="s">
        <v>22</v>
      </c>
      <c r="B37" s="62" t="s">
        <v>25</v>
      </c>
      <c r="C37" s="22" t="s">
        <v>42</v>
      </c>
      <c r="D37" s="51" t="s">
        <v>59</v>
      </c>
      <c r="E37" s="201" t="s">
        <v>9</v>
      </c>
      <c r="F37" s="201"/>
      <c r="G37" s="240">
        <f>J37+M37+O37+R37+T37</f>
        <v>100000</v>
      </c>
      <c r="H37" s="240"/>
      <c r="I37" s="9"/>
      <c r="J37" s="243">
        <v>20000</v>
      </c>
      <c r="K37" s="243"/>
      <c r="L37" s="243"/>
      <c r="M37" s="240">
        <v>20000</v>
      </c>
      <c r="N37" s="240"/>
      <c r="O37" s="240">
        <v>20000</v>
      </c>
      <c r="P37" s="240"/>
      <c r="Q37" s="240"/>
      <c r="R37" s="240">
        <v>20000</v>
      </c>
      <c r="S37" s="240"/>
      <c r="T37" s="58">
        <v>20000</v>
      </c>
    </row>
    <row r="38" spans="1:20" ht="17.25" customHeight="1" x14ac:dyDescent="0.35">
      <c r="A38" s="172" t="s">
        <v>97</v>
      </c>
      <c r="B38" s="172"/>
      <c r="C38" s="172"/>
      <c r="D38" s="172"/>
      <c r="E38" s="172"/>
      <c r="F38" s="172"/>
      <c r="G38" s="172"/>
      <c r="H38" s="172"/>
      <c r="I38" s="172"/>
      <c r="J38" s="172"/>
      <c r="K38" s="172"/>
      <c r="L38" s="172"/>
      <c r="M38" s="172"/>
      <c r="N38" s="172"/>
      <c r="O38" s="172"/>
      <c r="P38" s="172"/>
      <c r="Q38" s="172"/>
      <c r="R38" s="172"/>
      <c r="S38" s="172"/>
      <c r="T38" s="172"/>
    </row>
    <row r="39" spans="1:20" ht="129.75" customHeight="1" x14ac:dyDescent="0.35">
      <c r="A39" s="55" t="s">
        <v>23</v>
      </c>
      <c r="B39" s="6" t="s">
        <v>67</v>
      </c>
      <c r="C39" s="53" t="s">
        <v>68</v>
      </c>
      <c r="D39" s="228" t="s">
        <v>59</v>
      </c>
      <c r="E39" s="228" t="s">
        <v>9</v>
      </c>
      <c r="F39" s="228"/>
      <c r="G39" s="229">
        <f>J39+M39+O39+R39+T39</f>
        <v>400000</v>
      </c>
      <c r="H39" s="229"/>
      <c r="I39" s="229"/>
      <c r="J39" s="229"/>
      <c r="K39" s="229"/>
      <c r="L39" s="229"/>
      <c r="M39" s="229">
        <v>100000</v>
      </c>
      <c r="N39" s="229"/>
      <c r="O39" s="229">
        <v>100000</v>
      </c>
      <c r="P39" s="229"/>
      <c r="Q39" s="229"/>
      <c r="R39" s="229">
        <v>100000</v>
      </c>
      <c r="S39" s="229"/>
      <c r="T39" s="64">
        <v>100000</v>
      </c>
    </row>
    <row r="40" spans="1:20" ht="111" customHeight="1" x14ac:dyDescent="0.35">
      <c r="A40" s="55" t="s">
        <v>98</v>
      </c>
      <c r="B40" s="6" t="s">
        <v>27</v>
      </c>
      <c r="C40" s="53" t="s">
        <v>69</v>
      </c>
      <c r="D40" s="228"/>
      <c r="E40" s="228"/>
      <c r="F40" s="228"/>
      <c r="G40" s="229">
        <f>J40+M40+O40+R40+T40</f>
        <v>500000</v>
      </c>
      <c r="H40" s="229"/>
      <c r="I40" s="229"/>
      <c r="J40" s="244">
        <v>100000</v>
      </c>
      <c r="K40" s="244"/>
      <c r="L40" s="244"/>
      <c r="M40" s="229">
        <v>100000</v>
      </c>
      <c r="N40" s="229"/>
      <c r="O40" s="229">
        <v>100000</v>
      </c>
      <c r="P40" s="229"/>
      <c r="Q40" s="229"/>
      <c r="R40" s="211">
        <v>100000</v>
      </c>
      <c r="S40" s="212"/>
      <c r="T40" s="64">
        <v>100000</v>
      </c>
    </row>
    <row r="41" spans="1:20" ht="26.25" customHeight="1" x14ac:dyDescent="0.35">
      <c r="A41" s="245" t="s">
        <v>99</v>
      </c>
      <c r="B41" s="245"/>
      <c r="C41" s="245"/>
      <c r="D41" s="245"/>
      <c r="E41" s="245"/>
      <c r="F41" s="245"/>
      <c r="G41" s="245"/>
      <c r="H41" s="245"/>
      <c r="I41" s="245"/>
      <c r="J41" s="245"/>
      <c r="K41" s="245"/>
      <c r="L41" s="245"/>
      <c r="M41" s="245"/>
      <c r="N41" s="245"/>
      <c r="O41" s="245"/>
      <c r="P41" s="245"/>
      <c r="Q41" s="245"/>
      <c r="R41" s="245"/>
      <c r="S41" s="245"/>
      <c r="T41" s="245"/>
    </row>
    <row r="42" spans="1:20" ht="103.65" customHeight="1" x14ac:dyDescent="0.35">
      <c r="A42" s="53" t="s">
        <v>24</v>
      </c>
      <c r="B42" s="62" t="s">
        <v>56</v>
      </c>
      <c r="C42" s="22" t="s">
        <v>43</v>
      </c>
      <c r="D42" s="55" t="s">
        <v>59</v>
      </c>
      <c r="E42" s="200" t="s">
        <v>9</v>
      </c>
      <c r="F42" s="200"/>
      <c r="G42" s="240">
        <f>J42+M42+O42+R42+T42</f>
        <v>100000</v>
      </c>
      <c r="H42" s="240"/>
      <c r="I42" s="240"/>
      <c r="J42" s="243">
        <v>20000</v>
      </c>
      <c r="K42" s="243"/>
      <c r="L42" s="243"/>
      <c r="M42" s="240">
        <v>20000</v>
      </c>
      <c r="N42" s="240"/>
      <c r="O42" s="240">
        <v>20000</v>
      </c>
      <c r="P42" s="240"/>
      <c r="Q42" s="240"/>
      <c r="R42" s="240">
        <v>20000</v>
      </c>
      <c r="S42" s="240"/>
      <c r="T42" s="58">
        <v>20000</v>
      </c>
    </row>
    <row r="43" spans="1:20" ht="17.25" customHeight="1" x14ac:dyDescent="0.35">
      <c r="A43" s="245" t="s">
        <v>121</v>
      </c>
      <c r="B43" s="245"/>
      <c r="C43" s="245"/>
      <c r="D43" s="245"/>
      <c r="E43" s="245"/>
      <c r="F43" s="245"/>
      <c r="G43" s="245"/>
      <c r="H43" s="245"/>
      <c r="I43" s="245"/>
      <c r="J43" s="245"/>
      <c r="K43" s="245"/>
      <c r="L43" s="245"/>
      <c r="M43" s="245"/>
      <c r="N43" s="245"/>
      <c r="O43" s="245"/>
      <c r="P43" s="245"/>
      <c r="Q43" s="245"/>
      <c r="R43" s="245"/>
      <c r="S43" s="245"/>
      <c r="T43" s="245"/>
    </row>
    <row r="44" spans="1:20" ht="94.65" customHeight="1" x14ac:dyDescent="0.35">
      <c r="A44" s="56" t="s">
        <v>26</v>
      </c>
      <c r="B44" s="4" t="s">
        <v>30</v>
      </c>
      <c r="C44" s="200" t="s">
        <v>43</v>
      </c>
      <c r="D44" s="228" t="s">
        <v>59</v>
      </c>
      <c r="E44" s="200" t="s">
        <v>9</v>
      </c>
      <c r="F44" s="200"/>
      <c r="G44" s="238">
        <f>J44+M44+O44+R44+T44</f>
        <v>1550000</v>
      </c>
      <c r="H44" s="238"/>
      <c r="I44" s="238"/>
      <c r="J44" s="241">
        <v>350000</v>
      </c>
      <c r="K44" s="241"/>
      <c r="L44" s="241"/>
      <c r="M44" s="238">
        <v>300000</v>
      </c>
      <c r="N44" s="238"/>
      <c r="O44" s="238">
        <v>300000</v>
      </c>
      <c r="P44" s="238"/>
      <c r="Q44" s="238"/>
      <c r="R44" s="238">
        <v>300000</v>
      </c>
      <c r="S44" s="238"/>
      <c r="T44" s="52">
        <v>300000</v>
      </c>
    </row>
    <row r="45" spans="1:20" ht="59.25" customHeight="1" x14ac:dyDescent="0.35">
      <c r="A45" s="53" t="s">
        <v>100</v>
      </c>
      <c r="B45" s="8" t="s">
        <v>70</v>
      </c>
      <c r="C45" s="200"/>
      <c r="D45" s="228"/>
      <c r="E45" s="200"/>
      <c r="F45" s="200"/>
      <c r="G45" s="227">
        <f>J45+M45+O45+R45+T45</f>
        <v>1300000</v>
      </c>
      <c r="H45" s="227"/>
      <c r="I45" s="5"/>
      <c r="J45" s="241">
        <v>100000</v>
      </c>
      <c r="K45" s="241"/>
      <c r="L45" s="241"/>
      <c r="M45" s="227">
        <v>300000</v>
      </c>
      <c r="N45" s="227"/>
      <c r="O45" s="227">
        <v>300000</v>
      </c>
      <c r="P45" s="227"/>
      <c r="Q45" s="227"/>
      <c r="R45" s="227">
        <v>300000</v>
      </c>
      <c r="S45" s="227"/>
      <c r="T45" s="57">
        <v>300000</v>
      </c>
    </row>
    <row r="46" spans="1:20" ht="48" customHeight="1" x14ac:dyDescent="0.35">
      <c r="A46" s="53" t="s">
        <v>101</v>
      </c>
      <c r="B46" s="8" t="s">
        <v>54</v>
      </c>
      <c r="C46" s="200"/>
      <c r="D46" s="228"/>
      <c r="E46" s="200"/>
      <c r="F46" s="200"/>
      <c r="G46" s="227">
        <f>J46+M46+O46+T46+R46</f>
        <v>1200000</v>
      </c>
      <c r="H46" s="227"/>
      <c r="I46" s="227"/>
      <c r="J46" s="227"/>
      <c r="K46" s="227"/>
      <c r="L46" s="227"/>
      <c r="M46" s="227">
        <v>300000</v>
      </c>
      <c r="N46" s="227"/>
      <c r="O46" s="227">
        <v>300000</v>
      </c>
      <c r="P46" s="227"/>
      <c r="Q46" s="227"/>
      <c r="R46" s="227">
        <v>300000</v>
      </c>
      <c r="S46" s="227"/>
      <c r="T46" s="57">
        <v>300000</v>
      </c>
    </row>
    <row r="47" spans="1:20" ht="36.75" customHeight="1" x14ac:dyDescent="0.35">
      <c r="A47" s="53" t="s">
        <v>102</v>
      </c>
      <c r="B47" s="30" t="s">
        <v>31</v>
      </c>
      <c r="C47" s="53"/>
      <c r="D47" s="6"/>
      <c r="E47" s="246"/>
      <c r="F47" s="247"/>
      <c r="G47" s="227">
        <f>G48+G49+G50+G51+G52+G53+G54+G55+G56</f>
        <v>1640000</v>
      </c>
      <c r="H47" s="227"/>
      <c r="I47" s="227"/>
      <c r="J47" s="241">
        <f>J50+J51+J52+J49</f>
        <v>165000</v>
      </c>
      <c r="K47" s="241"/>
      <c r="L47" s="241"/>
      <c r="M47" s="227">
        <f>M56</f>
        <v>1200000</v>
      </c>
      <c r="N47" s="227"/>
      <c r="O47" s="227">
        <f>O51+O53+O54</f>
        <v>150000</v>
      </c>
      <c r="P47" s="227"/>
      <c r="Q47" s="227"/>
      <c r="R47" s="227">
        <f>R50+R52</f>
        <v>125000</v>
      </c>
      <c r="S47" s="227"/>
      <c r="T47" s="34"/>
    </row>
    <row r="48" spans="1:20" ht="109.5" customHeight="1" x14ac:dyDescent="0.35">
      <c r="A48" s="54" t="s">
        <v>103</v>
      </c>
      <c r="B48" s="35" t="s">
        <v>81</v>
      </c>
      <c r="C48" s="250" t="s">
        <v>43</v>
      </c>
      <c r="D48" s="253" t="s">
        <v>59</v>
      </c>
      <c r="E48" s="254" t="s">
        <v>9</v>
      </c>
      <c r="F48" s="254"/>
      <c r="G48" s="249">
        <f>J48+M48+O48+R48</f>
        <v>0</v>
      </c>
      <c r="H48" s="249"/>
      <c r="I48" s="42"/>
      <c r="J48" s="248"/>
      <c r="K48" s="248"/>
      <c r="L48" s="248"/>
      <c r="M48" s="248"/>
      <c r="N48" s="248"/>
      <c r="O48" s="248"/>
      <c r="P48" s="248"/>
      <c r="Q48" s="248"/>
      <c r="R48" s="248"/>
      <c r="S48" s="248"/>
      <c r="T48" s="49"/>
    </row>
    <row r="49" spans="1:20" ht="41.25" customHeight="1" x14ac:dyDescent="0.35">
      <c r="A49" s="54" t="s">
        <v>104</v>
      </c>
      <c r="B49" s="35" t="s">
        <v>71</v>
      </c>
      <c r="C49" s="251"/>
      <c r="D49" s="253"/>
      <c r="E49" s="254"/>
      <c r="F49" s="254"/>
      <c r="G49" s="249">
        <f>J49+M49+O49+R49</f>
        <v>25000</v>
      </c>
      <c r="H49" s="249"/>
      <c r="I49" s="249"/>
      <c r="J49" s="248">
        <v>25000</v>
      </c>
      <c r="K49" s="248"/>
      <c r="L49" s="248"/>
      <c r="M49" s="248"/>
      <c r="N49" s="248"/>
      <c r="O49" s="248"/>
      <c r="P49" s="248"/>
      <c r="Q49" s="248"/>
      <c r="R49" s="248"/>
      <c r="S49" s="248"/>
      <c r="T49" s="49"/>
    </row>
    <row r="50" spans="1:20" ht="54" customHeight="1" x14ac:dyDescent="0.35">
      <c r="A50" s="36" t="s">
        <v>105</v>
      </c>
      <c r="B50" s="37" t="s">
        <v>32</v>
      </c>
      <c r="C50" s="252"/>
      <c r="D50" s="253"/>
      <c r="E50" s="254"/>
      <c r="F50" s="254"/>
      <c r="G50" s="255">
        <f>J50+M50+O50+R50</f>
        <v>100000</v>
      </c>
      <c r="H50" s="255"/>
      <c r="I50" s="255"/>
      <c r="J50" s="256">
        <v>50000</v>
      </c>
      <c r="K50" s="256"/>
      <c r="L50" s="256"/>
      <c r="M50" s="256"/>
      <c r="N50" s="256"/>
      <c r="O50" s="256"/>
      <c r="P50" s="256"/>
      <c r="Q50" s="256"/>
      <c r="R50" s="256">
        <v>50000</v>
      </c>
      <c r="S50" s="256"/>
      <c r="T50" s="49"/>
    </row>
    <row r="51" spans="1:20" ht="33" customHeight="1" x14ac:dyDescent="0.35">
      <c r="A51" s="36" t="s">
        <v>106</v>
      </c>
      <c r="B51" s="37" t="s">
        <v>33</v>
      </c>
      <c r="C51" s="254" t="s">
        <v>43</v>
      </c>
      <c r="D51" s="253" t="s">
        <v>59</v>
      </c>
      <c r="E51" s="254" t="s">
        <v>9</v>
      </c>
      <c r="F51" s="254"/>
      <c r="G51" s="255">
        <f>J51+M51+O51+R51</f>
        <v>50000</v>
      </c>
      <c r="H51" s="255"/>
      <c r="I51" s="255"/>
      <c r="J51" s="256">
        <v>25000</v>
      </c>
      <c r="K51" s="256"/>
      <c r="L51" s="256"/>
      <c r="M51" s="256"/>
      <c r="N51" s="256"/>
      <c r="O51" s="256">
        <v>25000</v>
      </c>
      <c r="P51" s="256"/>
      <c r="Q51" s="256"/>
      <c r="R51" s="256"/>
      <c r="S51" s="256"/>
      <c r="T51" s="49"/>
    </row>
    <row r="52" spans="1:20" ht="33" customHeight="1" x14ac:dyDescent="0.35">
      <c r="A52" s="36" t="s">
        <v>107</v>
      </c>
      <c r="B52" s="37" t="s">
        <v>34</v>
      </c>
      <c r="C52" s="254"/>
      <c r="D52" s="253"/>
      <c r="E52" s="254"/>
      <c r="F52" s="254"/>
      <c r="G52" s="255">
        <f>J52+M52+O52+R52</f>
        <v>140000</v>
      </c>
      <c r="H52" s="255"/>
      <c r="I52" s="255"/>
      <c r="J52" s="256">
        <v>65000</v>
      </c>
      <c r="K52" s="256"/>
      <c r="L52" s="256"/>
      <c r="M52" s="256"/>
      <c r="N52" s="256"/>
      <c r="O52" s="256"/>
      <c r="P52" s="256"/>
      <c r="Q52" s="256"/>
      <c r="R52" s="256">
        <v>75000</v>
      </c>
      <c r="S52" s="256"/>
      <c r="T52" s="49"/>
    </row>
    <row r="53" spans="1:20" ht="33" customHeight="1" x14ac:dyDescent="0.35">
      <c r="A53" s="36" t="s">
        <v>108</v>
      </c>
      <c r="B53" s="37" t="s">
        <v>35</v>
      </c>
      <c r="C53" s="254"/>
      <c r="D53" s="253"/>
      <c r="E53" s="254"/>
      <c r="F53" s="254"/>
      <c r="G53" s="255">
        <f>M53+O53+R53+J53</f>
        <v>25000</v>
      </c>
      <c r="H53" s="255"/>
      <c r="I53" s="255"/>
      <c r="J53" s="256"/>
      <c r="K53" s="256"/>
      <c r="L53" s="256"/>
      <c r="M53" s="256"/>
      <c r="N53" s="256"/>
      <c r="O53" s="256">
        <v>25000</v>
      </c>
      <c r="P53" s="256"/>
      <c r="Q53" s="256"/>
      <c r="R53" s="256"/>
      <c r="S53" s="256"/>
      <c r="T53" s="49"/>
    </row>
    <row r="54" spans="1:20" ht="33" customHeight="1" x14ac:dyDescent="0.35">
      <c r="A54" s="36" t="s">
        <v>109</v>
      </c>
      <c r="B54" s="37" t="s">
        <v>36</v>
      </c>
      <c r="C54" s="254"/>
      <c r="D54" s="253"/>
      <c r="E54" s="254"/>
      <c r="F54" s="254"/>
      <c r="G54" s="255">
        <f>J54+M54+O54+R54</f>
        <v>100000</v>
      </c>
      <c r="H54" s="255"/>
      <c r="I54" s="255"/>
      <c r="J54" s="256"/>
      <c r="K54" s="256"/>
      <c r="L54" s="256"/>
      <c r="M54" s="256"/>
      <c r="N54" s="256"/>
      <c r="O54" s="256">
        <v>100000</v>
      </c>
      <c r="P54" s="256"/>
      <c r="Q54" s="256"/>
      <c r="R54" s="256"/>
      <c r="S54" s="256"/>
      <c r="T54" s="49"/>
    </row>
    <row r="55" spans="1:20" ht="41.25" customHeight="1" x14ac:dyDescent="0.35">
      <c r="A55" s="36" t="s">
        <v>110</v>
      </c>
      <c r="B55" s="38" t="s">
        <v>72</v>
      </c>
      <c r="C55" s="254"/>
      <c r="D55" s="253"/>
      <c r="E55" s="254"/>
      <c r="F55" s="254"/>
      <c r="G55" s="249">
        <f>J55</f>
        <v>0</v>
      </c>
      <c r="H55" s="249"/>
      <c r="I55" s="42"/>
      <c r="J55" s="248"/>
      <c r="K55" s="248"/>
      <c r="L55" s="248"/>
      <c r="M55" s="248"/>
      <c r="N55" s="248"/>
      <c r="O55" s="248"/>
      <c r="P55" s="248"/>
      <c r="Q55" s="248"/>
      <c r="R55" s="248"/>
      <c r="S55" s="248"/>
      <c r="T55" s="49"/>
    </row>
    <row r="56" spans="1:20" ht="55.5" customHeight="1" x14ac:dyDescent="0.35">
      <c r="A56" s="36" t="s">
        <v>111</v>
      </c>
      <c r="B56" s="35" t="s">
        <v>51</v>
      </c>
      <c r="C56" s="254"/>
      <c r="D56" s="253"/>
      <c r="E56" s="254"/>
      <c r="F56" s="254"/>
      <c r="G56" s="249">
        <f>J56+M56+O56+R56</f>
        <v>1200000</v>
      </c>
      <c r="H56" s="249"/>
      <c r="I56" s="42"/>
      <c r="J56" s="248"/>
      <c r="K56" s="248"/>
      <c r="L56" s="248"/>
      <c r="M56" s="248">
        <v>1200000</v>
      </c>
      <c r="N56" s="248"/>
      <c r="O56" s="248"/>
      <c r="P56" s="248"/>
      <c r="Q56" s="248"/>
      <c r="R56" s="257"/>
      <c r="S56" s="257"/>
      <c r="T56" s="49"/>
    </row>
    <row r="57" spans="1:20" ht="17.25" customHeight="1" x14ac:dyDescent="0.35">
      <c r="A57" s="258" t="s">
        <v>112</v>
      </c>
      <c r="B57" s="258"/>
      <c r="C57" s="258"/>
      <c r="D57" s="258"/>
      <c r="E57" s="258"/>
      <c r="F57" s="258"/>
      <c r="G57" s="258"/>
      <c r="H57" s="258"/>
      <c r="I57" s="258"/>
      <c r="J57" s="258"/>
      <c r="K57" s="258"/>
      <c r="L57" s="258"/>
      <c r="M57" s="258"/>
      <c r="N57" s="258"/>
      <c r="O57" s="258"/>
      <c r="P57" s="258"/>
      <c r="Q57" s="258"/>
      <c r="R57" s="258"/>
      <c r="S57" s="258"/>
      <c r="T57" s="258"/>
    </row>
    <row r="58" spans="1:20" s="23" customFormat="1" ht="89.25" customHeight="1" x14ac:dyDescent="0.35">
      <c r="A58" s="51" t="s">
        <v>28</v>
      </c>
      <c r="B58" s="30" t="s">
        <v>37</v>
      </c>
      <c r="C58" s="51" t="s">
        <v>57</v>
      </c>
      <c r="D58" s="51" t="s">
        <v>59</v>
      </c>
      <c r="E58" s="201" t="s">
        <v>39</v>
      </c>
      <c r="F58" s="201"/>
      <c r="G58" s="240">
        <f>J58+M58+O58+R58+T58</f>
        <v>200000</v>
      </c>
      <c r="H58" s="240"/>
      <c r="I58" s="58"/>
      <c r="J58" s="240"/>
      <c r="K58" s="240"/>
      <c r="L58" s="240"/>
      <c r="M58" s="240">
        <v>50000</v>
      </c>
      <c r="N58" s="240"/>
      <c r="O58" s="240">
        <v>50000</v>
      </c>
      <c r="P58" s="240"/>
      <c r="Q58" s="240"/>
      <c r="R58" s="240">
        <v>50000</v>
      </c>
      <c r="S58" s="240"/>
      <c r="T58" s="58">
        <v>50000</v>
      </c>
    </row>
    <row r="59" spans="1:20" ht="17.25" customHeight="1" x14ac:dyDescent="0.35">
      <c r="A59" s="258" t="s">
        <v>113</v>
      </c>
      <c r="B59" s="258"/>
      <c r="C59" s="258"/>
      <c r="D59" s="258"/>
      <c r="E59" s="258"/>
      <c r="F59" s="258"/>
      <c r="G59" s="258"/>
      <c r="H59" s="258"/>
      <c r="I59" s="258"/>
      <c r="J59" s="258"/>
      <c r="K59" s="258"/>
      <c r="L59" s="258"/>
      <c r="M59" s="258"/>
      <c r="N59" s="258"/>
      <c r="O59" s="258"/>
      <c r="P59" s="258"/>
      <c r="Q59" s="258"/>
      <c r="R59" s="258"/>
      <c r="S59" s="258"/>
      <c r="T59" s="258"/>
    </row>
    <row r="60" spans="1:20" x14ac:dyDescent="0.35">
      <c r="A60" s="12"/>
      <c r="B60" s="13" t="s">
        <v>38</v>
      </c>
      <c r="C60" s="14"/>
      <c r="D60" s="67"/>
      <c r="E60" s="259"/>
      <c r="F60" s="259"/>
      <c r="G60" s="260"/>
      <c r="H60" s="260"/>
      <c r="I60" s="260"/>
      <c r="J60" s="260"/>
      <c r="K60" s="260"/>
      <c r="L60" s="260"/>
      <c r="M60" s="260"/>
      <c r="N60" s="260"/>
      <c r="O60" s="260"/>
      <c r="P60" s="260"/>
      <c r="Q60" s="260"/>
      <c r="R60" s="260"/>
      <c r="S60" s="260"/>
      <c r="T60" s="34"/>
    </row>
    <row r="61" spans="1:20" ht="66" customHeight="1" x14ac:dyDescent="0.35">
      <c r="A61" s="51" t="s">
        <v>29</v>
      </c>
      <c r="B61" s="30" t="s">
        <v>46</v>
      </c>
      <c r="C61" s="201" t="s">
        <v>57</v>
      </c>
      <c r="D61" s="201" t="s">
        <v>59</v>
      </c>
      <c r="E61" s="201" t="s">
        <v>39</v>
      </c>
      <c r="F61" s="201"/>
      <c r="G61" s="240">
        <f>J61+M61+O61+R61+T61</f>
        <v>1500000</v>
      </c>
      <c r="H61" s="240"/>
      <c r="I61" s="240"/>
      <c r="J61" s="243">
        <v>300000</v>
      </c>
      <c r="K61" s="243"/>
      <c r="L61" s="243"/>
      <c r="M61" s="240">
        <v>300000</v>
      </c>
      <c r="N61" s="240"/>
      <c r="O61" s="240">
        <v>300000</v>
      </c>
      <c r="P61" s="240"/>
      <c r="Q61" s="240"/>
      <c r="R61" s="240">
        <v>300000</v>
      </c>
      <c r="S61" s="240"/>
      <c r="T61" s="58">
        <v>300000</v>
      </c>
    </row>
    <row r="62" spans="1:20" ht="45" customHeight="1" x14ac:dyDescent="0.35">
      <c r="A62" s="51" t="s">
        <v>114</v>
      </c>
      <c r="B62" s="11" t="s">
        <v>73</v>
      </c>
      <c r="C62" s="201"/>
      <c r="D62" s="201"/>
      <c r="E62" s="201"/>
      <c r="F62" s="201"/>
      <c r="G62" s="240">
        <f>J62+M62+O62+R62</f>
        <v>4000000</v>
      </c>
      <c r="H62" s="240"/>
      <c r="I62" s="240"/>
      <c r="J62" s="244">
        <v>2890000</v>
      </c>
      <c r="K62" s="244"/>
      <c r="L62" s="244"/>
      <c r="M62" s="240">
        <v>1110000</v>
      </c>
      <c r="N62" s="240"/>
      <c r="O62" s="240"/>
      <c r="P62" s="240"/>
      <c r="Q62" s="240"/>
      <c r="R62" s="240"/>
      <c r="S62" s="240"/>
      <c r="T62" s="34"/>
    </row>
    <row r="63" spans="1:20" ht="51.75" customHeight="1" x14ac:dyDescent="0.35">
      <c r="A63" s="51" t="s">
        <v>115</v>
      </c>
      <c r="B63" s="30" t="s">
        <v>74</v>
      </c>
      <c r="C63" s="201"/>
      <c r="D63" s="201"/>
      <c r="E63" s="201"/>
      <c r="F63" s="201"/>
      <c r="G63" s="240">
        <f>J63+M63+O63+R63</f>
        <v>4000000</v>
      </c>
      <c r="H63" s="240"/>
      <c r="I63" s="9"/>
      <c r="J63" s="240"/>
      <c r="K63" s="240"/>
      <c r="L63" s="240"/>
      <c r="M63" s="232">
        <v>2000000</v>
      </c>
      <c r="N63" s="232"/>
      <c r="O63" s="232">
        <v>2000000</v>
      </c>
      <c r="P63" s="232"/>
      <c r="Q63" s="232"/>
      <c r="R63" s="232"/>
      <c r="S63" s="232"/>
      <c r="T63" s="34"/>
    </row>
    <row r="64" spans="1:20" ht="102" customHeight="1" x14ac:dyDescent="0.35">
      <c r="A64" s="27" t="s">
        <v>116</v>
      </c>
      <c r="B64" s="30" t="s">
        <v>75</v>
      </c>
      <c r="C64" s="201"/>
      <c r="D64" s="201"/>
      <c r="E64" s="201"/>
      <c r="F64" s="201"/>
      <c r="G64" s="232">
        <f>J64+M64+O64+R64+T64</f>
        <v>5000000</v>
      </c>
      <c r="H64" s="232"/>
      <c r="I64" s="59"/>
      <c r="J64" s="232"/>
      <c r="K64" s="232"/>
      <c r="L64" s="232"/>
      <c r="M64" s="232"/>
      <c r="N64" s="232"/>
      <c r="O64" s="232">
        <v>1000000</v>
      </c>
      <c r="P64" s="232"/>
      <c r="Q64" s="232"/>
      <c r="R64" s="232">
        <v>2000000</v>
      </c>
      <c r="S64" s="232"/>
      <c r="T64" s="68">
        <v>2000000</v>
      </c>
    </row>
    <row r="65" spans="1:20" ht="84.75" customHeight="1" x14ac:dyDescent="0.35">
      <c r="A65" s="27" t="s">
        <v>117</v>
      </c>
      <c r="B65" s="30" t="s">
        <v>76</v>
      </c>
      <c r="C65" s="201"/>
      <c r="D65" s="201"/>
      <c r="E65" s="201"/>
      <c r="F65" s="201"/>
      <c r="G65" s="232">
        <f>J65+M65+O65+R65+T65</f>
        <v>500000</v>
      </c>
      <c r="H65" s="232"/>
      <c r="I65" s="59"/>
      <c r="J65" s="232"/>
      <c r="K65" s="232"/>
      <c r="L65" s="232"/>
      <c r="M65" s="232"/>
      <c r="N65" s="232"/>
      <c r="O65" s="232"/>
      <c r="P65" s="232"/>
      <c r="Q65" s="232"/>
      <c r="R65" s="232"/>
      <c r="S65" s="232"/>
      <c r="T65" s="68">
        <v>500000</v>
      </c>
    </row>
    <row r="66" spans="1:20" ht="84.75" customHeight="1" x14ac:dyDescent="0.35">
      <c r="A66" s="27" t="s">
        <v>118</v>
      </c>
      <c r="B66" s="28" t="s">
        <v>77</v>
      </c>
      <c r="C66" s="201"/>
      <c r="D66" s="201"/>
      <c r="E66" s="201"/>
      <c r="F66" s="201"/>
      <c r="G66" s="232">
        <f>J66+M66+O66+R66+T66</f>
        <v>300000</v>
      </c>
      <c r="H66" s="232"/>
      <c r="I66" s="59"/>
      <c r="J66" s="232"/>
      <c r="K66" s="232"/>
      <c r="L66" s="232"/>
      <c r="M66" s="232"/>
      <c r="N66" s="232"/>
      <c r="O66" s="232"/>
      <c r="P66" s="232"/>
      <c r="Q66" s="232"/>
      <c r="R66" s="232"/>
      <c r="S66" s="232"/>
      <c r="T66" s="68">
        <v>300000</v>
      </c>
    </row>
    <row r="67" spans="1:20" ht="84.75" customHeight="1" x14ac:dyDescent="0.35">
      <c r="A67" s="27" t="s">
        <v>119</v>
      </c>
      <c r="B67" s="28" t="s">
        <v>78</v>
      </c>
      <c r="C67" s="51" t="s">
        <v>57</v>
      </c>
      <c r="D67" s="51" t="s">
        <v>59</v>
      </c>
      <c r="E67" s="201" t="s">
        <v>39</v>
      </c>
      <c r="F67" s="201"/>
      <c r="G67" s="232">
        <f>J67+M67+O67+R67+T67</f>
        <v>300000</v>
      </c>
      <c r="H67" s="232"/>
      <c r="I67" s="59"/>
      <c r="J67" s="232"/>
      <c r="K67" s="232"/>
      <c r="L67" s="232"/>
      <c r="M67" s="232"/>
      <c r="N67" s="232"/>
      <c r="O67" s="232"/>
      <c r="P67" s="232"/>
      <c r="Q67" s="232"/>
      <c r="R67" s="232"/>
      <c r="S67" s="232"/>
      <c r="T67" s="68">
        <v>300000</v>
      </c>
    </row>
    <row r="68" spans="1:20" ht="41.25" customHeight="1" x14ac:dyDescent="0.35">
      <c r="A68" s="30"/>
      <c r="B68" s="261" t="s">
        <v>79</v>
      </c>
      <c r="C68" s="261"/>
      <c r="D68" s="261"/>
      <c r="E68" s="261"/>
      <c r="F68" s="261"/>
      <c r="G68" s="262">
        <f>G6+G7+G10+G12+G13+G17+G20+G22+G23+G25+G27+G29+G30+G31+G33+G34+G35+G37+G39+G40+G42+G44+G45+G46+G58+G61+G62+G63+G64+G65+G66+G67+G18+G28+G26+G47</f>
        <v>34568000</v>
      </c>
      <c r="H68" s="262"/>
      <c r="I68" s="262"/>
      <c r="J68" s="262">
        <f>J6+J7+J10+J12+J13+J17+J18+J20+J22+J25+J29+J30+J31+J33+J34+J35+J37+J39+J40+J42+J44+J45+J46+J47+J58+J61+J62+J63+J64+J65+J66+J67</f>
        <v>6281000</v>
      </c>
      <c r="K68" s="262"/>
      <c r="L68" s="262"/>
      <c r="M68" s="262">
        <f>M6+M7+M10+M12+M13+M17+M18+M20+M22+M23+M25+M26+M27+M28+M29+M30+M31+M33+M34+M35+M37+M39+M40+M42+M44+M45+M46+M47+M58+M61+M62+M63+M64+M65+M66+M67</f>
        <v>10439000</v>
      </c>
      <c r="N68" s="262"/>
      <c r="O68" s="262">
        <f>O6+O7+O10+O12+O13+O17++O20+O22+O23+O25+O27+O29++O30+O31+O33+O34+O35+O37++O39+O40+O42+O44+O45+O46+O48+O49+O50+O51+O52+O53+O54+O56+O55+O58+O61+O62+O63+O64++O65+O66+O67+O18+O28+O26</f>
        <v>6341000</v>
      </c>
      <c r="P68" s="262"/>
      <c r="Q68" s="262"/>
      <c r="R68" s="262">
        <f>R6+R7+R10+R12+R13+R17+R20+R22+R23+R25+R27+R29+R30+R31+R33+R34+R35+R37+R39+R40+R42++R44+R45+R46+R48+R49+R50+R51+R52+R53+R54+R55+R56+R58++R61+R62+R63+R64+R65+R66+R67+R18+R28+R26</f>
        <v>5266000</v>
      </c>
      <c r="S68" s="262"/>
      <c r="T68" s="39">
        <f>T6+T7+T10+T12+T13+T17+T20+T22+T23+T25+T27+T29+T30+T31+T33+T34+T35+T37+T39+T40+T42+T44+T45+T46+T48+T49+T50+T51+T52+T53+T54+T55+T56+T58+T61+T62+T63+T64+T65+T66+T67+T18+T28+T26</f>
        <v>6241000</v>
      </c>
    </row>
    <row r="69" spans="1:20" ht="30" customHeight="1" x14ac:dyDescent="0.35">
      <c r="B69" s="77" t="s">
        <v>134</v>
      </c>
      <c r="J69" s="151">
        <f>J72+J76</f>
        <v>6281000</v>
      </c>
      <c r="K69" s="152"/>
      <c r="L69" s="152"/>
    </row>
    <row r="70" spans="1:20" s="23" customFormat="1" ht="27.75" customHeight="1" x14ac:dyDescent="0.35">
      <c r="A70" s="78"/>
      <c r="B70" s="149" t="s">
        <v>130</v>
      </c>
      <c r="C70" s="149"/>
      <c r="D70" s="70"/>
      <c r="E70" s="70"/>
      <c r="F70" s="70"/>
      <c r="G70" s="153"/>
      <c r="H70" s="153"/>
      <c r="I70" s="71"/>
      <c r="J70" s="154">
        <f>J6+J7+J10+J12+J13+J17+J18+J20+J22+J33+J34+J35+J37+J42+J61</f>
        <v>2395000</v>
      </c>
      <c r="K70" s="153"/>
      <c r="L70" s="153"/>
      <c r="M70" s="153"/>
      <c r="N70" s="153"/>
      <c r="O70" s="153"/>
      <c r="P70" s="153"/>
      <c r="Q70" s="153"/>
      <c r="R70" s="153"/>
      <c r="S70" s="153"/>
      <c r="T70" s="71"/>
    </row>
    <row r="71" spans="1:20" s="74" customFormat="1" ht="26.25" customHeight="1" x14ac:dyDescent="0.35">
      <c r="A71" s="78"/>
      <c r="B71" s="150" t="s">
        <v>131</v>
      </c>
      <c r="C71" s="150"/>
      <c r="D71" s="72"/>
      <c r="E71" s="72"/>
      <c r="F71" s="72"/>
      <c r="G71" s="156"/>
      <c r="H71" s="156"/>
      <c r="I71" s="73"/>
      <c r="J71" s="157">
        <f>J40+J44+J45+J47+J62</f>
        <v>3605000</v>
      </c>
      <c r="K71" s="156"/>
      <c r="L71" s="156"/>
      <c r="M71" s="156"/>
      <c r="N71" s="156"/>
      <c r="O71" s="156"/>
      <c r="P71" s="156"/>
      <c r="Q71" s="156"/>
      <c r="R71" s="156"/>
      <c r="S71" s="156"/>
      <c r="T71" s="73"/>
    </row>
    <row r="72" spans="1:20" ht="35.25" customHeight="1" x14ac:dyDescent="0.35">
      <c r="A72" s="69"/>
      <c r="B72" s="75" t="s">
        <v>132</v>
      </c>
      <c r="C72" s="69"/>
      <c r="D72" s="69"/>
      <c r="G72" s="155"/>
      <c r="H72" s="155"/>
      <c r="J72" s="147">
        <f>J70+J71</f>
        <v>6000000</v>
      </c>
      <c r="K72" s="148"/>
      <c r="L72" s="148"/>
      <c r="M72" s="155"/>
      <c r="N72" s="155"/>
      <c r="O72" s="263"/>
      <c r="P72" s="263"/>
      <c r="Q72" s="263"/>
      <c r="R72" s="263"/>
      <c r="S72" s="263"/>
    </row>
    <row r="74" spans="1:20" ht="26.25" customHeight="1" x14ac:dyDescent="0.35">
      <c r="B74" s="149" t="s">
        <v>130</v>
      </c>
      <c r="C74" s="149"/>
      <c r="D74" s="70"/>
      <c r="E74" s="70"/>
      <c r="F74" s="70"/>
      <c r="G74" s="153"/>
      <c r="H74" s="153"/>
      <c r="I74" s="71"/>
      <c r="J74" s="154">
        <f>J25+J29+J30</f>
        <v>101000</v>
      </c>
      <c r="K74" s="153"/>
      <c r="L74" s="153"/>
      <c r="M74" s="153"/>
      <c r="N74" s="153"/>
      <c r="O74" s="153"/>
      <c r="P74" s="153"/>
      <c r="Q74" s="153"/>
      <c r="R74" s="153"/>
      <c r="S74" s="153"/>
      <c r="T74" s="71"/>
    </row>
    <row r="75" spans="1:20" ht="25.5" customHeight="1" x14ac:dyDescent="0.35">
      <c r="B75" s="150" t="s">
        <v>131</v>
      </c>
      <c r="C75" s="150"/>
      <c r="D75" s="72"/>
      <c r="E75" s="72"/>
      <c r="F75" s="72"/>
      <c r="G75" s="156"/>
      <c r="H75" s="156"/>
      <c r="I75" s="73"/>
      <c r="J75" s="157">
        <f>J31</f>
        <v>180000</v>
      </c>
      <c r="K75" s="156"/>
      <c r="L75" s="156"/>
      <c r="M75" s="156"/>
      <c r="N75" s="156"/>
      <c r="O75" s="156"/>
      <c r="P75" s="156"/>
      <c r="Q75" s="156"/>
      <c r="R75" s="156"/>
      <c r="S75" s="156"/>
      <c r="T75" s="73"/>
    </row>
    <row r="76" spans="1:20" ht="26.25" customHeight="1" x14ac:dyDescent="0.35">
      <c r="B76" s="76" t="s">
        <v>133</v>
      </c>
      <c r="J76" s="147">
        <f>J74+J75</f>
        <v>281000</v>
      </c>
      <c r="K76" s="148"/>
      <c r="L76" s="148"/>
    </row>
    <row r="85" spans="2:2" x14ac:dyDescent="0.35">
      <c r="B85" s="20"/>
    </row>
    <row r="86" spans="2:2" x14ac:dyDescent="0.35">
      <c r="B86" s="20"/>
    </row>
    <row r="87" spans="2:2" x14ac:dyDescent="0.35">
      <c r="B87" s="20"/>
    </row>
  </sheetData>
  <mergeCells count="339">
    <mergeCell ref="M72:N72"/>
    <mergeCell ref="O72:Q72"/>
    <mergeCell ref="R72:S72"/>
    <mergeCell ref="M70:N70"/>
    <mergeCell ref="O70:Q70"/>
    <mergeCell ref="R70:S70"/>
    <mergeCell ref="G71:H71"/>
    <mergeCell ref="J71:L71"/>
    <mergeCell ref="M71:N71"/>
    <mergeCell ref="O71:Q71"/>
    <mergeCell ref="R71:S71"/>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J62:L62"/>
    <mergeCell ref="M62:N62"/>
    <mergeCell ref="O62:Q62"/>
    <mergeCell ref="R62:S62"/>
    <mergeCell ref="G61:I61"/>
    <mergeCell ref="J61:L61"/>
    <mergeCell ref="M61:N61"/>
    <mergeCell ref="G63:H63"/>
    <mergeCell ref="J63:L63"/>
    <mergeCell ref="M63:N63"/>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G53:I53"/>
    <mergeCell ref="J53:L53"/>
    <mergeCell ref="M53:N53"/>
    <mergeCell ref="O53:Q53"/>
    <mergeCell ref="R53:S53"/>
    <mergeCell ref="G56:H56"/>
    <mergeCell ref="J56:L56"/>
    <mergeCell ref="M56:N56"/>
    <mergeCell ref="O56:Q56"/>
    <mergeCell ref="R56:S5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A38:T38"/>
    <mergeCell ref="D39:D40"/>
    <mergeCell ref="E39:F40"/>
    <mergeCell ref="G39:I39"/>
    <mergeCell ref="J39:L39"/>
    <mergeCell ref="M39:N39"/>
    <mergeCell ref="O39:Q39"/>
    <mergeCell ref="R39:S39"/>
    <mergeCell ref="G40:I40"/>
    <mergeCell ref="J40:L40"/>
    <mergeCell ref="M40:N40"/>
    <mergeCell ref="O40:Q40"/>
    <mergeCell ref="R40:S40"/>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2:T32"/>
    <mergeCell ref="C33:C34"/>
    <mergeCell ref="D33:D35"/>
    <mergeCell ref="E33:F35"/>
    <mergeCell ref="G33:I33"/>
    <mergeCell ref="J33:L33"/>
    <mergeCell ref="M33:N33"/>
    <mergeCell ref="O33:Q33"/>
    <mergeCell ref="R33:S33"/>
    <mergeCell ref="G34:I34"/>
    <mergeCell ref="E31:F31"/>
    <mergeCell ref="G31:I31"/>
    <mergeCell ref="J31:L31"/>
    <mergeCell ref="M31:N31"/>
    <mergeCell ref="O31:Q31"/>
    <mergeCell ref="R31:S31"/>
    <mergeCell ref="E30:F30"/>
    <mergeCell ref="G30:I30"/>
    <mergeCell ref="J30:L30"/>
    <mergeCell ref="M30:N30"/>
    <mergeCell ref="O30:Q30"/>
    <mergeCell ref="R30:S30"/>
    <mergeCell ref="E29:F29"/>
    <mergeCell ref="G29:I29"/>
    <mergeCell ref="J29:L29"/>
    <mergeCell ref="M29:N29"/>
    <mergeCell ref="O29:Q29"/>
    <mergeCell ref="R29:S29"/>
    <mergeCell ref="E28:F28"/>
    <mergeCell ref="G28:H28"/>
    <mergeCell ref="J28:L28"/>
    <mergeCell ref="M28:N28"/>
    <mergeCell ref="O28:Q28"/>
    <mergeCell ref="R28:S28"/>
    <mergeCell ref="E27:F27"/>
    <mergeCell ref="G27:I27"/>
    <mergeCell ref="J27:L27"/>
    <mergeCell ref="M27:N27"/>
    <mergeCell ref="O27:Q27"/>
    <mergeCell ref="R27:S27"/>
    <mergeCell ref="E26:F26"/>
    <mergeCell ref="G26:H26"/>
    <mergeCell ref="J26:L26"/>
    <mergeCell ref="M26:N26"/>
    <mergeCell ref="O26:Q26"/>
    <mergeCell ref="R26:S26"/>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M22:N22"/>
    <mergeCell ref="O22:Q22"/>
    <mergeCell ref="R22:S22"/>
    <mergeCell ref="E20:F20"/>
    <mergeCell ref="G20:H20"/>
    <mergeCell ref="J20:L20"/>
    <mergeCell ref="M20:N20"/>
    <mergeCell ref="O20:Q20"/>
    <mergeCell ref="R20:S20"/>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J76:L76"/>
    <mergeCell ref="B70:C70"/>
    <mergeCell ref="B71:C71"/>
    <mergeCell ref="B74:C74"/>
    <mergeCell ref="B75:C75"/>
    <mergeCell ref="J69:L69"/>
    <mergeCell ref="G74:H74"/>
    <mergeCell ref="J74:L74"/>
    <mergeCell ref="G70:H70"/>
    <mergeCell ref="J70:L70"/>
    <mergeCell ref="G72:H72"/>
    <mergeCell ref="J72:L72"/>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0"/>
  <sheetViews>
    <sheetView tabSelected="1" view="pageBreakPreview" topLeftCell="C1" zoomScale="70" zoomScaleNormal="70" zoomScaleSheetLayoutView="70" workbookViewId="0">
      <selection activeCell="J3" sqref="J3"/>
    </sheetView>
  </sheetViews>
  <sheetFormatPr defaultColWidth="9.109375" defaultRowHeight="14.4" x14ac:dyDescent="0.3"/>
  <cols>
    <col min="1" max="1" width="9.109375" style="90" customWidth="1"/>
    <col min="2" max="2" width="58.88671875" style="91" customWidth="1"/>
    <col min="3" max="3" width="50" style="91" customWidth="1"/>
    <col min="4" max="4" width="14.88671875" style="91" customWidth="1"/>
    <col min="5" max="5" width="17.6640625" style="91" customWidth="1"/>
    <col min="6" max="6" width="20.33203125" style="91" customWidth="1"/>
    <col min="7" max="7" width="19.33203125" style="91" customWidth="1"/>
    <col min="8" max="8" width="19.6640625" style="91" customWidth="1"/>
    <col min="9" max="9" width="18.109375" style="91" customWidth="1"/>
    <col min="10" max="10" width="19.88671875" style="91" customWidth="1"/>
    <col min="11" max="11" width="19.6640625" style="91" customWidth="1"/>
    <col min="12" max="12" width="38" style="91" customWidth="1"/>
    <col min="13" max="13" width="23.109375" style="92" customWidth="1"/>
    <col min="14" max="14" width="16.6640625" style="91" customWidth="1"/>
    <col min="15" max="16" width="9.109375" style="91"/>
    <col min="17" max="17" width="13.44140625" style="91" bestFit="1" customWidth="1"/>
    <col min="18" max="16384" width="9.109375" style="91"/>
  </cols>
  <sheetData>
    <row r="1" spans="1:21" s="87" customFormat="1" ht="15.6" x14ac:dyDescent="0.3">
      <c r="A1" s="86"/>
      <c r="J1" s="88" t="s">
        <v>386</v>
      </c>
      <c r="K1" s="88"/>
      <c r="L1" s="88"/>
      <c r="M1" s="89"/>
    </row>
    <row r="2" spans="1:21" s="87" customFormat="1" ht="15.6" x14ac:dyDescent="0.3">
      <c r="A2" s="86"/>
      <c r="J2" s="88" t="s">
        <v>230</v>
      </c>
      <c r="K2" s="88"/>
      <c r="L2" s="88"/>
      <c r="M2" s="89"/>
    </row>
    <row r="3" spans="1:21" s="87" customFormat="1" ht="15.6" x14ac:dyDescent="0.3">
      <c r="A3" s="86"/>
      <c r="J3" s="88" t="s">
        <v>406</v>
      </c>
      <c r="K3" s="88"/>
      <c r="L3" s="88"/>
      <c r="M3" s="89"/>
    </row>
    <row r="4" spans="1:21" ht="0.75" hidden="1" customHeight="1" x14ac:dyDescent="0.3"/>
    <row r="5" spans="1:21" ht="51.75" customHeight="1" x14ac:dyDescent="0.3">
      <c r="A5" s="280" t="s">
        <v>404</v>
      </c>
      <c r="B5" s="280"/>
      <c r="C5" s="280"/>
      <c r="D5" s="280"/>
      <c r="E5" s="280"/>
      <c r="F5" s="280"/>
      <c r="G5" s="280"/>
      <c r="H5" s="280"/>
      <c r="I5" s="280"/>
      <c r="J5" s="280"/>
      <c r="K5" s="280"/>
      <c r="L5" s="280"/>
      <c r="M5" s="93"/>
      <c r="N5" s="94"/>
      <c r="O5" s="94"/>
      <c r="P5" s="94"/>
      <c r="Q5" s="94"/>
      <c r="R5" s="94"/>
      <c r="S5" s="94"/>
      <c r="T5" s="94"/>
      <c r="U5" s="94"/>
    </row>
    <row r="6" spans="1:21" ht="1.5" customHeight="1" x14ac:dyDescent="0.3"/>
    <row r="7" spans="1:21" ht="15.6" x14ac:dyDescent="0.3">
      <c r="A7" s="281" t="s">
        <v>0</v>
      </c>
      <c r="B7" s="282" t="s">
        <v>1</v>
      </c>
      <c r="C7" s="282" t="s">
        <v>167</v>
      </c>
      <c r="D7" s="282" t="s">
        <v>144</v>
      </c>
      <c r="E7" s="282" t="s">
        <v>155</v>
      </c>
      <c r="F7" s="282" t="s">
        <v>213</v>
      </c>
      <c r="G7" s="282"/>
      <c r="H7" s="282"/>
      <c r="I7" s="282"/>
      <c r="J7" s="282"/>
      <c r="K7" s="282"/>
      <c r="L7" s="282" t="s">
        <v>145</v>
      </c>
    </row>
    <row r="8" spans="1:21" ht="15.75" customHeight="1" x14ac:dyDescent="0.3">
      <c r="A8" s="281"/>
      <c r="B8" s="282"/>
      <c r="C8" s="282"/>
      <c r="D8" s="282"/>
      <c r="E8" s="282"/>
      <c r="F8" s="282" t="s">
        <v>156</v>
      </c>
      <c r="G8" s="282" t="s">
        <v>157</v>
      </c>
      <c r="H8" s="282"/>
      <c r="I8" s="282"/>
      <c r="J8" s="282"/>
      <c r="K8" s="282"/>
      <c r="L8" s="282"/>
    </row>
    <row r="9" spans="1:21" ht="15.6" x14ac:dyDescent="0.3">
      <c r="A9" s="281"/>
      <c r="B9" s="282"/>
      <c r="C9" s="282"/>
      <c r="D9" s="282"/>
      <c r="E9" s="282"/>
      <c r="F9" s="282"/>
      <c r="G9" s="95" t="s">
        <v>223</v>
      </c>
      <c r="H9" s="95" t="s">
        <v>244</v>
      </c>
      <c r="I9" s="95" t="s">
        <v>292</v>
      </c>
      <c r="J9" s="95" t="s">
        <v>366</v>
      </c>
      <c r="K9" s="95">
        <v>2025</v>
      </c>
      <c r="L9" s="282"/>
    </row>
    <row r="10" spans="1:21" ht="15.6" x14ac:dyDescent="0.3">
      <c r="A10" s="96">
        <v>1</v>
      </c>
      <c r="B10" s="97">
        <v>2</v>
      </c>
      <c r="C10" s="97">
        <v>3</v>
      </c>
      <c r="D10" s="97">
        <v>4</v>
      </c>
      <c r="E10" s="97">
        <v>5</v>
      </c>
      <c r="F10" s="97">
        <v>6</v>
      </c>
      <c r="G10" s="97">
        <v>7</v>
      </c>
      <c r="H10" s="97">
        <v>8</v>
      </c>
      <c r="I10" s="97">
        <v>9</v>
      </c>
      <c r="J10" s="97">
        <v>10</v>
      </c>
      <c r="K10" s="97">
        <v>11</v>
      </c>
      <c r="L10" s="97">
        <v>12</v>
      </c>
    </row>
    <row r="11" spans="1:21" ht="42.75" customHeight="1" x14ac:dyDescent="0.3">
      <c r="A11" s="270" t="s">
        <v>169</v>
      </c>
      <c r="B11" s="270"/>
      <c r="C11" s="270"/>
      <c r="D11" s="270"/>
      <c r="E11" s="270"/>
      <c r="F11" s="270"/>
      <c r="G11" s="270"/>
      <c r="H11" s="270"/>
      <c r="I11" s="270"/>
      <c r="J11" s="270"/>
      <c r="K11" s="270"/>
      <c r="L11" s="270"/>
      <c r="M11" s="98"/>
      <c r="N11" s="99"/>
      <c r="O11" s="99"/>
      <c r="P11" s="99"/>
      <c r="Q11" s="99"/>
      <c r="R11" s="99"/>
      <c r="S11" s="99"/>
    </row>
    <row r="12" spans="1:21" s="105" customFormat="1" ht="177" customHeight="1" x14ac:dyDescent="0.3">
      <c r="A12" s="100" t="s">
        <v>146</v>
      </c>
      <c r="B12" s="85" t="s">
        <v>190</v>
      </c>
      <c r="C12" s="101" t="s">
        <v>191</v>
      </c>
      <c r="D12" s="101" t="s">
        <v>160</v>
      </c>
      <c r="E12" s="101" t="s">
        <v>158</v>
      </c>
      <c r="F12" s="102">
        <f t="shared" ref="F12:F56" si="0">G12+H12+I12+J12+K12</f>
        <v>141434371.69</v>
      </c>
      <c r="G12" s="102">
        <f>SUM(G13:G37)-G28-G29-G34-G35</f>
        <v>18262534.02</v>
      </c>
      <c r="H12" s="102">
        <f>SUM(H13:H37)-H28-H29-H34-H35</f>
        <v>24980532.59</v>
      </c>
      <c r="I12" s="102">
        <f>SUM(I13:I37)-I28-I29-I34-I35</f>
        <v>31419346.640000004</v>
      </c>
      <c r="J12" s="102">
        <f>SUM(J13:J43)-J28-J29-J34-J35-J30</f>
        <v>24780448.439999994</v>
      </c>
      <c r="K12" s="102">
        <f>SUM(K13:K43)-K28-K29-K34-K35-K30-K31-K32</f>
        <v>41991510</v>
      </c>
      <c r="L12" s="101" t="s">
        <v>221</v>
      </c>
      <c r="M12" s="103"/>
      <c r="N12" s="104"/>
    </row>
    <row r="13" spans="1:21" s="105" customFormat="1" ht="186" customHeight="1" x14ac:dyDescent="0.3">
      <c r="A13" s="100" t="s">
        <v>7</v>
      </c>
      <c r="B13" s="85" t="s">
        <v>159</v>
      </c>
      <c r="C13" s="101" t="s">
        <v>192</v>
      </c>
      <c r="D13" s="101">
        <v>2021</v>
      </c>
      <c r="E13" s="101" t="s">
        <v>158</v>
      </c>
      <c r="F13" s="102">
        <f t="shared" si="0"/>
        <v>2397486.0299999998</v>
      </c>
      <c r="G13" s="102">
        <f>1987239.15+410246.88</f>
        <v>2397486.0299999998</v>
      </c>
      <c r="H13" s="102"/>
      <c r="I13" s="102"/>
      <c r="J13" s="102"/>
      <c r="K13" s="106"/>
      <c r="L13" s="101" t="s">
        <v>163</v>
      </c>
      <c r="M13" s="103"/>
    </row>
    <row r="14" spans="1:21" s="105" customFormat="1" ht="180" customHeight="1" x14ac:dyDescent="0.3">
      <c r="A14" s="100" t="s">
        <v>8</v>
      </c>
      <c r="B14" s="85" t="s">
        <v>147</v>
      </c>
      <c r="C14" s="101" t="s">
        <v>193</v>
      </c>
      <c r="D14" s="101" t="s">
        <v>160</v>
      </c>
      <c r="E14" s="101" t="s">
        <v>158</v>
      </c>
      <c r="F14" s="102">
        <f t="shared" si="0"/>
        <v>1369750.32</v>
      </c>
      <c r="G14" s="102">
        <f>104000+216000</f>
        <v>320000</v>
      </c>
      <c r="H14" s="102">
        <f>280300-139900</f>
        <v>140400</v>
      </c>
      <c r="I14" s="102">
        <v>226000</v>
      </c>
      <c r="J14" s="102">
        <v>318250.32</v>
      </c>
      <c r="K14" s="107">
        <v>365100</v>
      </c>
      <c r="L14" s="101" t="s">
        <v>148</v>
      </c>
      <c r="M14" s="103"/>
    </row>
    <row r="15" spans="1:21" s="105" customFormat="1" ht="173.25" customHeight="1" x14ac:dyDescent="0.3">
      <c r="A15" s="100" t="s">
        <v>135</v>
      </c>
      <c r="B15" s="85" t="s">
        <v>161</v>
      </c>
      <c r="C15" s="101" t="s">
        <v>186</v>
      </c>
      <c r="D15" s="101" t="s">
        <v>160</v>
      </c>
      <c r="E15" s="101" t="s">
        <v>246</v>
      </c>
      <c r="F15" s="102">
        <f t="shared" si="0"/>
        <v>72092145.299999997</v>
      </c>
      <c r="G15" s="102">
        <f>356640+388175.4+1295277.12+51349.35+31648+2574682+510188.88+3170036.13+61238.66+80500</f>
        <v>8519735.5399999991</v>
      </c>
      <c r="H15" s="102">
        <f>10963592.04</f>
        <v>10963592.039999999</v>
      </c>
      <c r="I15" s="102">
        <v>14122383.890000001</v>
      </c>
      <c r="J15" s="102">
        <v>17019333.829999998</v>
      </c>
      <c r="K15" s="107">
        <v>21467100</v>
      </c>
      <c r="L15" s="101" t="s">
        <v>252</v>
      </c>
      <c r="M15" s="103"/>
    </row>
    <row r="16" spans="1:21" s="105" customFormat="1" ht="165.75" customHeight="1" x14ac:dyDescent="0.3">
      <c r="A16" s="100" t="s">
        <v>136</v>
      </c>
      <c r="B16" s="85" t="s">
        <v>180</v>
      </c>
      <c r="C16" s="101" t="s">
        <v>182</v>
      </c>
      <c r="D16" s="101" t="s">
        <v>160</v>
      </c>
      <c r="E16" s="101" t="s">
        <v>158</v>
      </c>
      <c r="F16" s="102">
        <f t="shared" si="0"/>
        <v>11088909.82</v>
      </c>
      <c r="G16" s="102">
        <f>1001934.24+2373058.75</f>
        <v>3374992.99</v>
      </c>
      <c r="H16" s="102">
        <v>4229517.16</v>
      </c>
      <c r="I16" s="102">
        <v>3484399.67</v>
      </c>
      <c r="J16" s="102"/>
      <c r="K16" s="106"/>
      <c r="L16" s="101" t="s">
        <v>150</v>
      </c>
      <c r="M16" s="103"/>
    </row>
    <row r="17" spans="1:13" s="105" customFormat="1" ht="163.5" customHeight="1" x14ac:dyDescent="0.3">
      <c r="A17" s="100" t="s">
        <v>140</v>
      </c>
      <c r="B17" s="108" t="s">
        <v>138</v>
      </c>
      <c r="C17" s="101" t="s">
        <v>183</v>
      </c>
      <c r="D17" s="101" t="s">
        <v>160</v>
      </c>
      <c r="E17" s="101" t="s">
        <v>158</v>
      </c>
      <c r="F17" s="102">
        <f t="shared" si="0"/>
        <v>2203185.79</v>
      </c>
      <c r="G17" s="102">
        <f>279045.25+67358.15+483666.13+115520.03</f>
        <v>945589.56</v>
      </c>
      <c r="H17" s="102">
        <v>613277.16</v>
      </c>
      <c r="I17" s="102">
        <v>212331.6</v>
      </c>
      <c r="J17" s="102">
        <v>213687.47</v>
      </c>
      <c r="K17" s="107">
        <v>218300</v>
      </c>
      <c r="L17" s="101" t="s">
        <v>162</v>
      </c>
      <c r="M17" s="103"/>
    </row>
    <row r="18" spans="1:13" s="105" customFormat="1" ht="177" customHeight="1" x14ac:dyDescent="0.3">
      <c r="A18" s="100" t="s">
        <v>141</v>
      </c>
      <c r="B18" s="108" t="s">
        <v>165</v>
      </c>
      <c r="C18" s="101" t="s">
        <v>194</v>
      </c>
      <c r="D18" s="101" t="s">
        <v>160</v>
      </c>
      <c r="E18" s="101" t="s">
        <v>158</v>
      </c>
      <c r="F18" s="102">
        <f t="shared" si="0"/>
        <v>22700</v>
      </c>
      <c r="G18" s="102">
        <v>22700</v>
      </c>
      <c r="H18" s="102"/>
      <c r="I18" s="102"/>
      <c r="J18" s="102"/>
      <c r="K18" s="106"/>
      <c r="L18" s="101" t="s">
        <v>214</v>
      </c>
      <c r="M18" s="103"/>
    </row>
    <row r="19" spans="1:13" s="105" customFormat="1" ht="174" customHeight="1" x14ac:dyDescent="0.3">
      <c r="A19" s="100" t="s">
        <v>181</v>
      </c>
      <c r="B19" s="85" t="s">
        <v>307</v>
      </c>
      <c r="C19" s="101" t="s">
        <v>195</v>
      </c>
      <c r="D19" s="101" t="s">
        <v>160</v>
      </c>
      <c r="E19" s="101" t="s">
        <v>158</v>
      </c>
      <c r="F19" s="102">
        <f t="shared" si="0"/>
        <v>1711801.55</v>
      </c>
      <c r="G19" s="102">
        <v>267088.8</v>
      </c>
      <c r="H19" s="102"/>
      <c r="I19" s="102"/>
      <c r="J19" s="102">
        <f>582720-9652.8-28354.45</f>
        <v>544712.75</v>
      </c>
      <c r="K19" s="107">
        <v>900000</v>
      </c>
      <c r="L19" s="101" t="s">
        <v>216</v>
      </c>
      <c r="M19" s="103"/>
    </row>
    <row r="20" spans="1:13" s="105" customFormat="1" ht="141" customHeight="1" x14ac:dyDescent="0.3">
      <c r="A20" s="100" t="s">
        <v>185</v>
      </c>
      <c r="B20" s="85" t="s">
        <v>333</v>
      </c>
      <c r="C20" s="101" t="s">
        <v>196</v>
      </c>
      <c r="D20" s="101" t="s">
        <v>160</v>
      </c>
      <c r="E20" s="101" t="s">
        <v>158</v>
      </c>
      <c r="F20" s="102">
        <f t="shared" si="0"/>
        <v>526051.19999999995</v>
      </c>
      <c r="G20" s="102">
        <f>49000+149501.2</f>
        <v>198501.2</v>
      </c>
      <c r="H20" s="102">
        <v>179100</v>
      </c>
      <c r="I20" s="102">
        <v>98550</v>
      </c>
      <c r="J20" s="102">
        <f>99000+2800-49100-2800</f>
        <v>49900</v>
      </c>
      <c r="K20" s="106"/>
      <c r="L20" s="101" t="s">
        <v>212</v>
      </c>
      <c r="M20" s="103"/>
    </row>
    <row r="21" spans="1:13" s="105" customFormat="1" ht="180" customHeight="1" x14ac:dyDescent="0.3">
      <c r="A21" s="278" t="s">
        <v>211</v>
      </c>
      <c r="B21" s="85" t="s">
        <v>254</v>
      </c>
      <c r="C21" s="264" t="s">
        <v>196</v>
      </c>
      <c r="D21" s="101" t="s">
        <v>346</v>
      </c>
      <c r="E21" s="264" t="s">
        <v>158</v>
      </c>
      <c r="F21" s="102">
        <f t="shared" si="0"/>
        <v>26652676</v>
      </c>
      <c r="G21" s="102">
        <v>0</v>
      </c>
      <c r="H21" s="102">
        <v>7322467.1799999997</v>
      </c>
      <c r="I21" s="102">
        <v>8402378.8200000003</v>
      </c>
      <c r="J21" s="102"/>
      <c r="K21" s="107">
        <f>5900000+5000000+27830</f>
        <v>10927830</v>
      </c>
      <c r="L21" s="101" t="s">
        <v>401</v>
      </c>
      <c r="M21" s="103"/>
    </row>
    <row r="22" spans="1:13" s="105" customFormat="1" ht="94.2" customHeight="1" x14ac:dyDescent="0.3">
      <c r="A22" s="279"/>
      <c r="B22" s="85" t="s">
        <v>402</v>
      </c>
      <c r="C22" s="266"/>
      <c r="D22" s="101">
        <v>2025</v>
      </c>
      <c r="E22" s="266"/>
      <c r="F22" s="102">
        <f t="shared" si="0"/>
        <v>1695270</v>
      </c>
      <c r="G22" s="102"/>
      <c r="H22" s="102"/>
      <c r="I22" s="102"/>
      <c r="J22" s="102"/>
      <c r="K22" s="107">
        <v>1695270</v>
      </c>
      <c r="L22" s="101" t="s">
        <v>403</v>
      </c>
      <c r="M22" s="103"/>
    </row>
    <row r="23" spans="1:13" s="105" customFormat="1" ht="142.5" customHeight="1" x14ac:dyDescent="0.3">
      <c r="A23" s="109" t="s">
        <v>348</v>
      </c>
      <c r="B23" s="85" t="s">
        <v>226</v>
      </c>
      <c r="C23" s="101" t="s">
        <v>196</v>
      </c>
      <c r="D23" s="101" t="s">
        <v>294</v>
      </c>
      <c r="E23" s="101" t="s">
        <v>158</v>
      </c>
      <c r="F23" s="102">
        <f t="shared" si="0"/>
        <v>1307936.1599999999</v>
      </c>
      <c r="G23" s="102"/>
      <c r="H23" s="102">
        <v>787240</v>
      </c>
      <c r="I23" s="102"/>
      <c r="J23" s="102">
        <v>520696.16</v>
      </c>
      <c r="K23" s="106"/>
      <c r="L23" s="101" t="s">
        <v>225</v>
      </c>
      <c r="M23" s="103"/>
    </row>
    <row r="24" spans="1:13" s="105" customFormat="1" ht="161.25" customHeight="1" x14ac:dyDescent="0.3">
      <c r="A24" s="109" t="s">
        <v>349</v>
      </c>
      <c r="B24" s="85" t="s">
        <v>289</v>
      </c>
      <c r="C24" s="101" t="s">
        <v>199</v>
      </c>
      <c r="D24" s="101" t="s">
        <v>160</v>
      </c>
      <c r="E24" s="101" t="s">
        <v>158</v>
      </c>
      <c r="F24" s="102">
        <f t="shared" si="0"/>
        <v>10005438.42</v>
      </c>
      <c r="G24" s="102">
        <f>53865.84+196134.16</f>
        <v>250000</v>
      </c>
      <c r="H24" s="102">
        <v>490046</v>
      </c>
      <c r="I24" s="102">
        <v>2699833.29</v>
      </c>
      <c r="J24" s="102">
        <v>2499929.13</v>
      </c>
      <c r="K24" s="107">
        <f>4000000+65630</f>
        <v>4065630</v>
      </c>
      <c r="L24" s="101" t="s">
        <v>234</v>
      </c>
      <c r="M24" s="103"/>
    </row>
    <row r="25" spans="1:13" s="105" customFormat="1" ht="121.5" customHeight="1" x14ac:dyDescent="0.3">
      <c r="A25" s="109" t="s">
        <v>347</v>
      </c>
      <c r="B25" s="85" t="s">
        <v>231</v>
      </c>
      <c r="C25" s="101" t="s">
        <v>204</v>
      </c>
      <c r="D25" s="101">
        <v>2022</v>
      </c>
      <c r="E25" s="101" t="s">
        <v>158</v>
      </c>
      <c r="F25" s="102">
        <f t="shared" si="0"/>
        <v>104999.29</v>
      </c>
      <c r="G25" s="102"/>
      <c r="H25" s="102">
        <v>104999.29</v>
      </c>
      <c r="I25" s="102"/>
      <c r="J25" s="102"/>
      <c r="K25" s="106"/>
      <c r="L25" s="101" t="s">
        <v>232</v>
      </c>
      <c r="M25" s="103"/>
    </row>
    <row r="26" spans="1:13" s="105" customFormat="1" ht="146.4" customHeight="1" x14ac:dyDescent="0.3">
      <c r="A26" s="109" t="s">
        <v>350</v>
      </c>
      <c r="B26" s="85" t="s">
        <v>177</v>
      </c>
      <c r="C26" s="101" t="s">
        <v>192</v>
      </c>
      <c r="D26" s="101">
        <v>2021</v>
      </c>
      <c r="E26" s="101" t="s">
        <v>158</v>
      </c>
      <c r="F26" s="102">
        <f t="shared" si="0"/>
        <v>548894.74</v>
      </c>
      <c r="G26" s="102">
        <f>23205+308920.11+216769.63</f>
        <v>548894.74</v>
      </c>
      <c r="H26" s="102"/>
      <c r="I26" s="102"/>
      <c r="J26" s="102"/>
      <c r="K26" s="107"/>
      <c r="L26" s="101" t="s">
        <v>151</v>
      </c>
      <c r="M26" s="103"/>
    </row>
    <row r="27" spans="1:13" s="105" customFormat="1" ht="148.5" customHeight="1" x14ac:dyDescent="0.3">
      <c r="A27" s="109" t="s">
        <v>351</v>
      </c>
      <c r="B27" s="85" t="s">
        <v>253</v>
      </c>
      <c r="C27" s="264" t="s">
        <v>197</v>
      </c>
      <c r="D27" s="264" t="s">
        <v>160</v>
      </c>
      <c r="E27" s="264" t="s">
        <v>158</v>
      </c>
      <c r="F27" s="102">
        <f>G27+H27+I27+J27+K27</f>
        <v>2968726.0300000003</v>
      </c>
      <c r="G27" s="102">
        <f>197667.6+503746+498270.77+9187.14+48980.04+49899.75+49855+10038.86+49900</f>
        <v>1417545.1600000001</v>
      </c>
      <c r="H27" s="102">
        <v>149893.76000000001</v>
      </c>
      <c r="I27" s="102">
        <f>344254.99+303546.12</f>
        <v>647801.11</v>
      </c>
      <c r="J27" s="102">
        <f>119582+163924</f>
        <v>283506</v>
      </c>
      <c r="K27" s="107">
        <f>K31+K32</f>
        <v>469980</v>
      </c>
      <c r="L27" s="264" t="s">
        <v>360</v>
      </c>
      <c r="M27" s="103"/>
    </row>
    <row r="28" spans="1:13" s="84" customFormat="1" ht="102" customHeight="1" x14ac:dyDescent="0.3">
      <c r="A28" s="110" t="s">
        <v>363</v>
      </c>
      <c r="B28" s="80" t="s">
        <v>278</v>
      </c>
      <c r="C28" s="265"/>
      <c r="D28" s="265"/>
      <c r="E28" s="265"/>
      <c r="F28" s="81">
        <f t="shared" si="0"/>
        <v>344254.99</v>
      </c>
      <c r="G28" s="81">
        <v>0</v>
      </c>
      <c r="H28" s="81">
        <v>0</v>
      </c>
      <c r="I28" s="81">
        <v>344254.99</v>
      </c>
      <c r="J28" s="81"/>
      <c r="K28" s="111"/>
      <c r="L28" s="265"/>
      <c r="M28" s="83"/>
    </row>
    <row r="29" spans="1:13" s="84" customFormat="1" ht="90.75" customHeight="1" x14ac:dyDescent="0.3">
      <c r="A29" s="110" t="s">
        <v>364</v>
      </c>
      <c r="B29" s="80" t="s">
        <v>255</v>
      </c>
      <c r="C29" s="265"/>
      <c r="D29" s="265"/>
      <c r="E29" s="265"/>
      <c r="F29" s="81">
        <f t="shared" si="0"/>
        <v>303546.12</v>
      </c>
      <c r="G29" s="81">
        <v>0</v>
      </c>
      <c r="H29" s="81">
        <v>0</v>
      </c>
      <c r="I29" s="81">
        <v>303546.12</v>
      </c>
      <c r="J29" s="81"/>
      <c r="K29" s="111"/>
      <c r="L29" s="265"/>
      <c r="M29" s="83"/>
    </row>
    <row r="30" spans="1:13" s="84" customFormat="1" ht="30" customHeight="1" x14ac:dyDescent="0.3">
      <c r="A30" s="110" t="s">
        <v>365</v>
      </c>
      <c r="B30" s="80" t="s">
        <v>327</v>
      </c>
      <c r="C30" s="265"/>
      <c r="D30" s="265"/>
      <c r="E30" s="265"/>
      <c r="F30" s="81">
        <f t="shared" si="0"/>
        <v>119582</v>
      </c>
      <c r="G30" s="81"/>
      <c r="H30" s="81"/>
      <c r="I30" s="81"/>
      <c r="J30" s="81">
        <f>119582</f>
        <v>119582</v>
      </c>
      <c r="K30" s="111"/>
      <c r="L30" s="265"/>
      <c r="M30" s="83"/>
    </row>
    <row r="31" spans="1:13" s="84" customFormat="1" ht="98.25" customHeight="1" x14ac:dyDescent="0.3">
      <c r="A31" s="110" t="s">
        <v>380</v>
      </c>
      <c r="B31" s="80" t="s">
        <v>396</v>
      </c>
      <c r="C31" s="265"/>
      <c r="D31" s="265"/>
      <c r="E31" s="265"/>
      <c r="F31" s="81">
        <f t="shared" si="0"/>
        <v>172380</v>
      </c>
      <c r="G31" s="81"/>
      <c r="H31" s="81"/>
      <c r="I31" s="81"/>
      <c r="J31" s="81"/>
      <c r="K31" s="82">
        <v>172380</v>
      </c>
      <c r="L31" s="265"/>
      <c r="M31" s="83"/>
    </row>
    <row r="32" spans="1:13" s="84" customFormat="1" ht="98.25" customHeight="1" x14ac:dyDescent="0.3">
      <c r="A32" s="79" t="s">
        <v>399</v>
      </c>
      <c r="B32" s="80" t="s">
        <v>400</v>
      </c>
      <c r="C32" s="266"/>
      <c r="D32" s="266"/>
      <c r="E32" s="266"/>
      <c r="F32" s="81">
        <f t="shared" si="0"/>
        <v>297600</v>
      </c>
      <c r="G32" s="81"/>
      <c r="H32" s="81"/>
      <c r="I32" s="81"/>
      <c r="J32" s="81"/>
      <c r="K32" s="82">
        <v>297600</v>
      </c>
      <c r="L32" s="266"/>
      <c r="M32" s="83"/>
    </row>
    <row r="33" spans="1:13" s="105" customFormat="1" ht="91.95" customHeight="1" x14ac:dyDescent="0.3">
      <c r="A33" s="267" t="s">
        <v>352</v>
      </c>
      <c r="B33" s="85" t="s">
        <v>288</v>
      </c>
      <c r="C33" s="264" t="s">
        <v>204</v>
      </c>
      <c r="D33" s="264" t="s">
        <v>293</v>
      </c>
      <c r="E33" s="264" t="s">
        <v>158</v>
      </c>
      <c r="F33" s="102">
        <f t="shared" si="0"/>
        <v>2077080.9</v>
      </c>
      <c r="G33" s="102"/>
      <c r="H33" s="102"/>
      <c r="I33" s="102">
        <f>1237540+180750</f>
        <v>1418290</v>
      </c>
      <c r="J33" s="102">
        <f>771200-112400-9.1</f>
        <v>658790.9</v>
      </c>
      <c r="K33" s="101"/>
      <c r="L33" s="264" t="s">
        <v>267</v>
      </c>
      <c r="M33" s="103"/>
    </row>
    <row r="34" spans="1:13" s="105" customFormat="1" ht="28.2" customHeight="1" x14ac:dyDescent="0.3">
      <c r="A34" s="268"/>
      <c r="B34" s="85" t="s">
        <v>287</v>
      </c>
      <c r="C34" s="265"/>
      <c r="D34" s="265"/>
      <c r="E34" s="265"/>
      <c r="F34" s="81">
        <f t="shared" si="0"/>
        <v>1237540</v>
      </c>
      <c r="G34" s="81"/>
      <c r="H34" s="81"/>
      <c r="I34" s="81">
        <v>1237540</v>
      </c>
      <c r="J34" s="81"/>
      <c r="K34" s="111"/>
      <c r="L34" s="265"/>
      <c r="M34" s="103"/>
    </row>
    <row r="35" spans="1:13" s="105" customFormat="1" ht="78" x14ac:dyDescent="0.3">
      <c r="A35" s="269"/>
      <c r="B35" s="85" t="s">
        <v>298</v>
      </c>
      <c r="C35" s="266"/>
      <c r="D35" s="266"/>
      <c r="E35" s="266"/>
      <c r="F35" s="81">
        <f t="shared" si="0"/>
        <v>839540.9</v>
      </c>
      <c r="G35" s="81"/>
      <c r="H35" s="81"/>
      <c r="I35" s="81">
        <v>180750</v>
      </c>
      <c r="J35" s="81">
        <f>771200-112400-9.1</f>
        <v>658790.9</v>
      </c>
      <c r="K35" s="111"/>
      <c r="L35" s="266"/>
      <c r="M35" s="103"/>
    </row>
    <row r="36" spans="1:13" s="105" customFormat="1" ht="99.75" customHeight="1" x14ac:dyDescent="0.3">
      <c r="A36" s="109" t="s">
        <v>353</v>
      </c>
      <c r="B36" s="85" t="s">
        <v>269</v>
      </c>
      <c r="C36" s="101" t="s">
        <v>204</v>
      </c>
      <c r="D36" s="101" t="s">
        <v>293</v>
      </c>
      <c r="E36" s="101" t="s">
        <v>158</v>
      </c>
      <c r="F36" s="102">
        <f t="shared" si="0"/>
        <v>93799.15</v>
      </c>
      <c r="G36" s="102"/>
      <c r="H36" s="102"/>
      <c r="I36" s="102">
        <v>0</v>
      </c>
      <c r="J36" s="102">
        <f>97484-3680-4.85</f>
        <v>93799.15</v>
      </c>
      <c r="K36" s="101"/>
      <c r="L36" s="101" t="s">
        <v>233</v>
      </c>
      <c r="M36" s="103"/>
    </row>
    <row r="37" spans="1:13" s="105" customFormat="1" ht="111" customHeight="1" x14ac:dyDescent="0.3">
      <c r="A37" s="109" t="s">
        <v>354</v>
      </c>
      <c r="B37" s="85" t="s">
        <v>285</v>
      </c>
      <c r="C37" s="101" t="s">
        <v>282</v>
      </c>
      <c r="D37" s="101">
        <v>2023</v>
      </c>
      <c r="E37" s="101" t="s">
        <v>158</v>
      </c>
      <c r="F37" s="102">
        <f t="shared" si="0"/>
        <v>107378.26</v>
      </c>
      <c r="G37" s="102"/>
      <c r="H37" s="102"/>
      <c r="I37" s="102">
        <v>107378.26</v>
      </c>
      <c r="J37" s="102"/>
      <c r="K37" s="101"/>
      <c r="L37" s="101" t="s">
        <v>281</v>
      </c>
      <c r="M37" s="103"/>
    </row>
    <row r="38" spans="1:13" s="105" customFormat="1" ht="111" customHeight="1" x14ac:dyDescent="0.3">
      <c r="A38" s="109" t="s">
        <v>355</v>
      </c>
      <c r="B38" s="85" t="s">
        <v>362</v>
      </c>
      <c r="C38" s="101" t="s">
        <v>282</v>
      </c>
      <c r="D38" s="101" t="s">
        <v>345</v>
      </c>
      <c r="E38" s="101" t="s">
        <v>158</v>
      </c>
      <c r="F38" s="102">
        <f t="shared" si="0"/>
        <v>1832175.95</v>
      </c>
      <c r="G38" s="102"/>
      <c r="H38" s="102"/>
      <c r="I38" s="102"/>
      <c r="J38" s="102">
        <f>617900-146009.32-60639+23544+26680.27</f>
        <v>461475.95</v>
      </c>
      <c r="K38" s="107">
        <v>1370700</v>
      </c>
      <c r="L38" s="101" t="s">
        <v>179</v>
      </c>
      <c r="M38" s="103"/>
    </row>
    <row r="39" spans="1:13" s="105" customFormat="1" ht="111" customHeight="1" x14ac:dyDescent="0.3">
      <c r="A39" s="109" t="s">
        <v>356</v>
      </c>
      <c r="B39" s="85" t="s">
        <v>361</v>
      </c>
      <c r="C39" s="101" t="s">
        <v>282</v>
      </c>
      <c r="D39" s="101" t="s">
        <v>345</v>
      </c>
      <c r="E39" s="101" t="s">
        <v>158</v>
      </c>
      <c r="F39" s="102">
        <f t="shared" si="0"/>
        <v>1577780.34</v>
      </c>
      <c r="G39" s="102"/>
      <c r="H39" s="102"/>
      <c r="I39" s="102"/>
      <c r="J39" s="102">
        <v>1066180.3400000001</v>
      </c>
      <c r="K39" s="102">
        <f>511600</f>
        <v>511600</v>
      </c>
      <c r="L39" s="101" t="s">
        <v>233</v>
      </c>
      <c r="M39" s="103"/>
    </row>
    <row r="40" spans="1:13" s="105" customFormat="1" ht="101.25" customHeight="1" x14ac:dyDescent="0.3">
      <c r="A40" s="109" t="s">
        <v>357</v>
      </c>
      <c r="B40" s="112" t="s">
        <v>318</v>
      </c>
      <c r="C40" s="101" t="s">
        <v>282</v>
      </c>
      <c r="D40" s="101">
        <v>2024</v>
      </c>
      <c r="E40" s="101" t="s">
        <v>158</v>
      </c>
      <c r="F40" s="102">
        <f t="shared" si="0"/>
        <v>144843.41</v>
      </c>
      <c r="G40" s="102"/>
      <c r="H40" s="102"/>
      <c r="I40" s="102"/>
      <c r="J40" s="102">
        <v>144843.41</v>
      </c>
      <c r="K40" s="101"/>
      <c r="L40" s="101" t="s">
        <v>233</v>
      </c>
      <c r="M40" s="103"/>
    </row>
    <row r="41" spans="1:13" s="105" customFormat="1" ht="96.75" customHeight="1" x14ac:dyDescent="0.3">
      <c r="A41" s="109" t="s">
        <v>358</v>
      </c>
      <c r="B41" s="112" t="s">
        <v>317</v>
      </c>
      <c r="C41" s="101" t="s">
        <v>282</v>
      </c>
      <c r="D41" s="101">
        <v>2024</v>
      </c>
      <c r="E41" s="101" t="s">
        <v>158</v>
      </c>
      <c r="F41" s="102">
        <f t="shared" si="0"/>
        <v>186220.22</v>
      </c>
      <c r="G41" s="102"/>
      <c r="H41" s="102"/>
      <c r="I41" s="102"/>
      <c r="J41" s="102">
        <f>199645-13424.78</f>
        <v>186220.22</v>
      </c>
      <c r="K41" s="101"/>
      <c r="L41" s="101" t="s">
        <v>233</v>
      </c>
      <c r="M41" s="103"/>
    </row>
    <row r="42" spans="1:13" s="105" customFormat="1" ht="93.75" customHeight="1" x14ac:dyDescent="0.3">
      <c r="A42" s="109" t="s">
        <v>359</v>
      </c>
      <c r="B42" s="112" t="s">
        <v>316</v>
      </c>
      <c r="C42" s="101" t="s">
        <v>282</v>
      </c>
      <c r="D42" s="101">
        <v>2024</v>
      </c>
      <c r="E42" s="101" t="s">
        <v>158</v>
      </c>
      <c r="F42" s="102">
        <f t="shared" si="0"/>
        <v>217365.6</v>
      </c>
      <c r="G42" s="102"/>
      <c r="H42" s="102"/>
      <c r="I42" s="102"/>
      <c r="J42" s="102">
        <f>301070-83704.4</f>
        <v>217365.6</v>
      </c>
      <c r="K42" s="101"/>
      <c r="L42" s="101" t="s">
        <v>233</v>
      </c>
      <c r="M42" s="103"/>
    </row>
    <row r="43" spans="1:13" s="105" customFormat="1" ht="190.5" customHeight="1" x14ac:dyDescent="0.3">
      <c r="A43" s="109" t="s">
        <v>328</v>
      </c>
      <c r="B43" s="112" t="s">
        <v>329</v>
      </c>
      <c r="C43" s="101" t="s">
        <v>282</v>
      </c>
      <c r="D43" s="101">
        <v>2024</v>
      </c>
      <c r="E43" s="101" t="s">
        <v>158</v>
      </c>
      <c r="F43" s="102">
        <f t="shared" si="0"/>
        <v>501757.21</v>
      </c>
      <c r="G43" s="102"/>
      <c r="H43" s="102"/>
      <c r="I43" s="102"/>
      <c r="J43" s="102">
        <v>501757.21</v>
      </c>
      <c r="K43" s="101"/>
      <c r="L43" s="101" t="s">
        <v>233</v>
      </c>
      <c r="M43" s="103"/>
    </row>
    <row r="44" spans="1:13" s="105" customFormat="1" ht="145.94999999999999" customHeight="1" x14ac:dyDescent="0.3">
      <c r="A44" s="109" t="s">
        <v>152</v>
      </c>
      <c r="B44" s="85" t="s">
        <v>166</v>
      </c>
      <c r="C44" s="101" t="s">
        <v>200</v>
      </c>
      <c r="D44" s="101" t="s">
        <v>160</v>
      </c>
      <c r="E44" s="101" t="s">
        <v>158</v>
      </c>
      <c r="F44" s="102">
        <f t="shared" si="0"/>
        <v>41749585.850000001</v>
      </c>
      <c r="G44" s="102">
        <f>SUM(G45:G50)</f>
        <v>5875027.1199999992</v>
      </c>
      <c r="H44" s="102">
        <f>SUM(H45:H50)</f>
        <v>6557139.1799999997</v>
      </c>
      <c r="I44" s="102">
        <f t="shared" ref="I44:K44" si="1">SUM(I45:I50)</f>
        <v>7767812.330000001</v>
      </c>
      <c r="J44" s="102">
        <f t="shared" si="1"/>
        <v>10537207.220000001</v>
      </c>
      <c r="K44" s="102">
        <f t="shared" si="1"/>
        <v>11012400</v>
      </c>
      <c r="L44" s="101" t="s">
        <v>164</v>
      </c>
      <c r="M44" s="103"/>
    </row>
    <row r="45" spans="1:13" s="105" customFormat="1" ht="196.5" customHeight="1" x14ac:dyDescent="0.3">
      <c r="A45" s="109" t="s">
        <v>10</v>
      </c>
      <c r="B45" s="85" t="s">
        <v>286</v>
      </c>
      <c r="C45" s="101" t="s">
        <v>200</v>
      </c>
      <c r="D45" s="101" t="s">
        <v>160</v>
      </c>
      <c r="E45" s="101" t="s">
        <v>158</v>
      </c>
      <c r="F45" s="102">
        <f t="shared" si="0"/>
        <v>5557110.3600000003</v>
      </c>
      <c r="G45" s="102">
        <v>606430.43000000005</v>
      </c>
      <c r="H45" s="102">
        <f>594947.64</f>
        <v>594947.64</v>
      </c>
      <c r="I45" s="102">
        <v>795169.5</v>
      </c>
      <c r="J45" s="102">
        <v>1249962.79</v>
      </c>
      <c r="K45" s="106">
        <f>1260600+550000+500000</f>
        <v>2310600</v>
      </c>
      <c r="L45" s="101" t="s">
        <v>215</v>
      </c>
      <c r="M45" s="103"/>
    </row>
    <row r="46" spans="1:13" s="105" customFormat="1" ht="207" customHeight="1" x14ac:dyDescent="0.3">
      <c r="A46" s="109" t="s">
        <v>11</v>
      </c>
      <c r="B46" s="85" t="s">
        <v>305</v>
      </c>
      <c r="C46" s="101" t="s">
        <v>200</v>
      </c>
      <c r="D46" s="101" t="s">
        <v>160</v>
      </c>
      <c r="E46" s="101" t="s">
        <v>158</v>
      </c>
      <c r="F46" s="102">
        <f t="shared" si="0"/>
        <v>31871801.219999999</v>
      </c>
      <c r="G46" s="102">
        <f>3343391.45+812509.18+17820.81+460457.73+156234.01+5000</f>
        <v>4795413.18</v>
      </c>
      <c r="H46" s="102">
        <f>5040652.68</f>
        <v>5040652.68</v>
      </c>
      <c r="I46" s="102">
        <v>6130529.6500000004</v>
      </c>
      <c r="J46" s="102">
        <v>8164705.71</v>
      </c>
      <c r="K46" s="106">
        <f>6836300+743600+15000+35700+11200+10300+9200+7100+45000+5000+22100</f>
        <v>7740500</v>
      </c>
      <c r="L46" s="101" t="s">
        <v>218</v>
      </c>
      <c r="M46" s="103"/>
    </row>
    <row r="47" spans="1:13" s="105" customFormat="1" ht="161.4" customHeight="1" x14ac:dyDescent="0.3">
      <c r="A47" s="109" t="s">
        <v>12</v>
      </c>
      <c r="B47" s="85" t="s">
        <v>168</v>
      </c>
      <c r="C47" s="101" t="s">
        <v>200</v>
      </c>
      <c r="D47" s="101" t="s">
        <v>160</v>
      </c>
      <c r="E47" s="101" t="s">
        <v>158</v>
      </c>
      <c r="F47" s="102">
        <f t="shared" si="0"/>
        <v>159577.83000000002</v>
      </c>
      <c r="G47" s="102">
        <v>42590.34</v>
      </c>
      <c r="H47" s="102">
        <f>36817.07</f>
        <v>36817.07</v>
      </c>
      <c r="I47" s="102">
        <v>23303.94</v>
      </c>
      <c r="J47" s="102">
        <v>28066.48</v>
      </c>
      <c r="K47" s="106">
        <v>28800</v>
      </c>
      <c r="L47" s="101" t="s">
        <v>148</v>
      </c>
      <c r="M47" s="103"/>
    </row>
    <row r="48" spans="1:13" s="105" customFormat="1" ht="162" customHeight="1" x14ac:dyDescent="0.3">
      <c r="A48" s="109" t="s">
        <v>235</v>
      </c>
      <c r="B48" s="85" t="s">
        <v>161</v>
      </c>
      <c r="C48" s="101" t="s">
        <v>200</v>
      </c>
      <c r="D48" s="101" t="s">
        <v>160</v>
      </c>
      <c r="E48" s="101" t="s">
        <v>158</v>
      </c>
      <c r="F48" s="102">
        <f t="shared" si="0"/>
        <v>3444281.94</v>
      </c>
      <c r="G48" s="102">
        <f>100000+38010.11+268247.5+4547.68+19787.88</f>
        <v>430593.17</v>
      </c>
      <c r="H48" s="102">
        <f>685155.79</f>
        <v>685155.79</v>
      </c>
      <c r="I48" s="102">
        <v>624278.74</v>
      </c>
      <c r="J48" s="102">
        <v>771754.24</v>
      </c>
      <c r="K48" s="106">
        <f>954600-22100</f>
        <v>932500</v>
      </c>
      <c r="L48" s="101" t="s">
        <v>149</v>
      </c>
      <c r="M48" s="103"/>
    </row>
    <row r="49" spans="1:14" s="105" customFormat="1" ht="162.75" customHeight="1" x14ac:dyDescent="0.3">
      <c r="A49" s="109" t="s">
        <v>236</v>
      </c>
      <c r="B49" s="85" t="s">
        <v>219</v>
      </c>
      <c r="C49" s="101" t="s">
        <v>206</v>
      </c>
      <c r="D49" s="101" t="s">
        <v>160</v>
      </c>
      <c r="E49" s="101" t="s">
        <v>158</v>
      </c>
      <c r="F49" s="102">
        <f t="shared" si="0"/>
        <v>323010</v>
      </c>
      <c r="G49" s="102"/>
      <c r="H49" s="102">
        <f>179100</f>
        <v>179100</v>
      </c>
      <c r="I49" s="102">
        <v>99000</v>
      </c>
      <c r="J49" s="102">
        <f>99000-54090</f>
        <v>44910</v>
      </c>
      <c r="K49" s="106"/>
      <c r="L49" s="101" t="s">
        <v>212</v>
      </c>
      <c r="M49" s="103"/>
    </row>
    <row r="50" spans="1:14" s="105" customFormat="1" ht="55.2" customHeight="1" x14ac:dyDescent="0.3">
      <c r="A50" s="109" t="s">
        <v>243</v>
      </c>
      <c r="B50" s="85" t="s">
        <v>325</v>
      </c>
      <c r="C50" s="264" t="s">
        <v>206</v>
      </c>
      <c r="D50" s="264" t="s">
        <v>334</v>
      </c>
      <c r="E50" s="264" t="s">
        <v>158</v>
      </c>
      <c r="F50" s="102">
        <f t="shared" si="0"/>
        <v>393804.5</v>
      </c>
      <c r="G50" s="102">
        <f t="shared" ref="G50:I50" si="2">G51+G52</f>
        <v>0</v>
      </c>
      <c r="H50" s="102">
        <f t="shared" si="2"/>
        <v>20466</v>
      </c>
      <c r="I50" s="102">
        <f t="shared" si="2"/>
        <v>95530.5</v>
      </c>
      <c r="J50" s="102">
        <f>J51+J52</f>
        <v>277808</v>
      </c>
      <c r="K50" s="106"/>
      <c r="L50" s="264" t="s">
        <v>225</v>
      </c>
      <c r="M50" s="103"/>
    </row>
    <row r="51" spans="1:14" s="84" customFormat="1" ht="35.4" customHeight="1" x14ac:dyDescent="0.3">
      <c r="A51" s="110" t="s">
        <v>341</v>
      </c>
      <c r="B51" s="80" t="s">
        <v>324</v>
      </c>
      <c r="C51" s="265"/>
      <c r="D51" s="265"/>
      <c r="E51" s="265"/>
      <c r="F51" s="81">
        <f t="shared" si="0"/>
        <v>195169.5</v>
      </c>
      <c r="G51" s="81"/>
      <c r="H51" s="81">
        <f>20466</f>
        <v>20466</v>
      </c>
      <c r="I51" s="81">
        <v>95530.5</v>
      </c>
      <c r="J51" s="81">
        <f>79173</f>
        <v>79173</v>
      </c>
      <c r="K51" s="113"/>
      <c r="L51" s="265"/>
      <c r="M51" s="83"/>
    </row>
    <row r="52" spans="1:14" s="84" customFormat="1" ht="43.95" customHeight="1" x14ac:dyDescent="0.3">
      <c r="A52" s="110" t="s">
        <v>342</v>
      </c>
      <c r="B52" s="80" t="s">
        <v>326</v>
      </c>
      <c r="C52" s="266"/>
      <c r="D52" s="266"/>
      <c r="E52" s="266"/>
      <c r="F52" s="81">
        <f t="shared" si="0"/>
        <v>198635</v>
      </c>
      <c r="G52" s="81"/>
      <c r="H52" s="81"/>
      <c r="I52" s="81"/>
      <c r="J52" s="81">
        <v>198635</v>
      </c>
      <c r="K52" s="113"/>
      <c r="L52" s="266"/>
      <c r="M52" s="83"/>
    </row>
    <row r="53" spans="1:14" s="105" customFormat="1" ht="130.94999999999999" customHeight="1" x14ac:dyDescent="0.3">
      <c r="A53" s="272" t="s">
        <v>154</v>
      </c>
      <c r="B53" s="273" t="s">
        <v>142</v>
      </c>
      <c r="C53" s="101" t="s">
        <v>197</v>
      </c>
      <c r="D53" s="274" t="s">
        <v>160</v>
      </c>
      <c r="E53" s="274" t="s">
        <v>158</v>
      </c>
      <c r="F53" s="102">
        <f t="shared" si="0"/>
        <v>1287037.55</v>
      </c>
      <c r="G53" s="102">
        <f>138900+30600</f>
        <v>169500</v>
      </c>
      <c r="H53" s="102">
        <f>461300+410400-29700-35500</f>
        <v>806500</v>
      </c>
      <c r="I53" s="102">
        <v>311037.55</v>
      </c>
      <c r="J53" s="102"/>
      <c r="K53" s="101"/>
      <c r="L53" s="274" t="s">
        <v>153</v>
      </c>
      <c r="M53" s="103"/>
    </row>
    <row r="54" spans="1:14" s="105" customFormat="1" ht="148.19999999999999" customHeight="1" x14ac:dyDescent="0.3">
      <c r="A54" s="272"/>
      <c r="B54" s="273"/>
      <c r="C54" s="101" t="s">
        <v>198</v>
      </c>
      <c r="D54" s="274"/>
      <c r="E54" s="274"/>
      <c r="F54" s="102">
        <f t="shared" si="0"/>
        <v>143285.29</v>
      </c>
      <c r="G54" s="102">
        <f>23659+5019.46+17500</f>
        <v>46178.46</v>
      </c>
      <c r="H54" s="102">
        <f>13165.6</f>
        <v>13165.6</v>
      </c>
      <c r="I54" s="102">
        <f>37000+15000+244000-212058.77</f>
        <v>83941.23000000001</v>
      </c>
      <c r="J54" s="102"/>
      <c r="K54" s="101"/>
      <c r="L54" s="274"/>
      <c r="M54" s="103"/>
    </row>
    <row r="55" spans="1:14" s="105" customFormat="1" ht="184.5" customHeight="1" x14ac:dyDescent="0.3">
      <c r="A55" s="109" t="s">
        <v>237</v>
      </c>
      <c r="B55" s="108" t="s">
        <v>139</v>
      </c>
      <c r="C55" s="101" t="s">
        <v>207</v>
      </c>
      <c r="D55" s="101" t="s">
        <v>208</v>
      </c>
      <c r="E55" s="101" t="s">
        <v>158</v>
      </c>
      <c r="F55" s="102">
        <f t="shared" si="0"/>
        <v>108200</v>
      </c>
      <c r="G55" s="102">
        <v>108200</v>
      </c>
      <c r="H55" s="102">
        <v>0</v>
      </c>
      <c r="I55" s="102">
        <v>0</v>
      </c>
      <c r="J55" s="102"/>
      <c r="K55" s="101"/>
      <c r="L55" s="101" t="s">
        <v>217</v>
      </c>
      <c r="M55" s="103"/>
    </row>
    <row r="56" spans="1:14" s="105" customFormat="1" ht="219" customHeight="1" x14ac:dyDescent="0.3">
      <c r="A56" s="109" t="s">
        <v>238</v>
      </c>
      <c r="B56" s="85" t="s">
        <v>143</v>
      </c>
      <c r="C56" s="101" t="s">
        <v>224</v>
      </c>
      <c r="D56" s="101" t="s">
        <v>208</v>
      </c>
      <c r="E56" s="101" t="s">
        <v>158</v>
      </c>
      <c r="F56" s="102">
        <f t="shared" si="0"/>
        <v>232560</v>
      </c>
      <c r="G56" s="102">
        <v>232560</v>
      </c>
      <c r="H56" s="102">
        <v>0</v>
      </c>
      <c r="I56" s="102"/>
      <c r="J56" s="102"/>
      <c r="K56" s="101"/>
      <c r="L56" s="101" t="s">
        <v>222</v>
      </c>
      <c r="M56" s="103"/>
      <c r="N56" s="114"/>
    </row>
    <row r="57" spans="1:14" s="105" customFormat="1" ht="171.75" customHeight="1" x14ac:dyDescent="0.3">
      <c r="A57" s="100" t="s">
        <v>239</v>
      </c>
      <c r="B57" s="85" t="s">
        <v>264</v>
      </c>
      <c r="C57" s="101" t="s">
        <v>209</v>
      </c>
      <c r="D57" s="101" t="s">
        <v>346</v>
      </c>
      <c r="E57" s="101" t="s">
        <v>158</v>
      </c>
      <c r="F57" s="102">
        <f>H57+I57+J57+K57</f>
        <v>29120118.670000002</v>
      </c>
      <c r="G57" s="102"/>
      <c r="H57" s="102">
        <f>H58+H59+H60+H61+H62+H63+H64+H65</f>
        <v>520795.56</v>
      </c>
      <c r="I57" s="102">
        <f t="shared" ref="I57" si="3">I58+I59+I60+I61+I62+I63+I64+I65</f>
        <v>2885430.28</v>
      </c>
      <c r="J57" s="102">
        <f>J58+J59+J60+J61+J62+J63+J64+J65+J66+J67</f>
        <v>11485292.830000002</v>
      </c>
      <c r="K57" s="102">
        <f>K58+K59+K60+K61+K62+K63+K64+K65+K66+K67+K68</f>
        <v>14228600</v>
      </c>
      <c r="L57" s="101" t="s">
        <v>210</v>
      </c>
      <c r="M57" s="103"/>
      <c r="N57" s="114"/>
    </row>
    <row r="58" spans="1:14" s="105" customFormat="1" ht="124.5" customHeight="1" x14ac:dyDescent="0.3">
      <c r="A58" s="109" t="s">
        <v>90</v>
      </c>
      <c r="B58" s="85" t="s">
        <v>369</v>
      </c>
      <c r="C58" s="101" t="s">
        <v>209</v>
      </c>
      <c r="D58" s="101" t="s">
        <v>344</v>
      </c>
      <c r="E58" s="101" t="s">
        <v>158</v>
      </c>
      <c r="F58" s="102">
        <f>H58+I58+J58+K58</f>
        <v>1880626.44</v>
      </c>
      <c r="G58" s="102"/>
      <c r="H58" s="102">
        <f>520795.56</f>
        <v>520795.56</v>
      </c>
      <c r="I58" s="102">
        <v>547500.88</v>
      </c>
      <c r="J58" s="102">
        <v>49890</v>
      </c>
      <c r="K58" s="107">
        <f>25000+30000+46100+10000+80000+443500+57700+16800+189600+74000+42000-111070-105000-56500+60000-39690</f>
        <v>762440</v>
      </c>
      <c r="L58" s="101" t="s">
        <v>368</v>
      </c>
      <c r="M58" s="103"/>
      <c r="N58" s="114"/>
    </row>
    <row r="59" spans="1:14" s="105" customFormat="1" ht="124.5" customHeight="1" x14ac:dyDescent="0.3">
      <c r="A59" s="109" t="s">
        <v>265</v>
      </c>
      <c r="B59" s="85" t="s">
        <v>311</v>
      </c>
      <c r="C59" s="101" t="s">
        <v>209</v>
      </c>
      <c r="D59" s="101">
        <v>2024</v>
      </c>
      <c r="E59" s="101" t="s">
        <v>158</v>
      </c>
      <c r="F59" s="102">
        <f>H59+I59+J59</f>
        <v>308198.64</v>
      </c>
      <c r="G59" s="102"/>
      <c r="H59" s="102"/>
      <c r="I59" s="102"/>
      <c r="J59" s="102">
        <v>308198.64</v>
      </c>
      <c r="K59" s="106"/>
      <c r="L59" s="101" t="s">
        <v>263</v>
      </c>
      <c r="M59" s="103"/>
      <c r="N59" s="114"/>
    </row>
    <row r="60" spans="1:14" s="105" customFormat="1" ht="128.25" customHeight="1" x14ac:dyDescent="0.3">
      <c r="A60" s="109" t="s">
        <v>91</v>
      </c>
      <c r="B60" s="85" t="s">
        <v>180</v>
      </c>
      <c r="C60" s="101" t="s">
        <v>209</v>
      </c>
      <c r="D60" s="101" t="s">
        <v>344</v>
      </c>
      <c r="E60" s="101" t="s">
        <v>158</v>
      </c>
      <c r="F60" s="102">
        <f>H60+I60+J60+K60</f>
        <v>20344359.600000001</v>
      </c>
      <c r="G60" s="102"/>
      <c r="H60" s="102"/>
      <c r="I60" s="102">
        <v>2256139.6</v>
      </c>
      <c r="J60" s="102">
        <f>5000000+2000000+1000000+325600</f>
        <v>8325600</v>
      </c>
      <c r="K60" s="107">
        <f>8857000+905620</f>
        <v>9762620</v>
      </c>
      <c r="L60" s="101" t="s">
        <v>150</v>
      </c>
      <c r="M60" s="103"/>
      <c r="N60" s="114"/>
    </row>
    <row r="61" spans="1:14" s="105" customFormat="1" ht="128.25" customHeight="1" x14ac:dyDescent="0.3">
      <c r="A61" s="109" t="s">
        <v>126</v>
      </c>
      <c r="B61" s="85" t="s">
        <v>323</v>
      </c>
      <c r="C61" s="101" t="s">
        <v>209</v>
      </c>
      <c r="D61" s="101" t="s">
        <v>344</v>
      </c>
      <c r="E61" s="101" t="s">
        <v>158</v>
      </c>
      <c r="F61" s="102">
        <f>H61+I61+J61+K61</f>
        <v>985183.95000000007</v>
      </c>
      <c r="G61" s="102"/>
      <c r="H61" s="102"/>
      <c r="I61" s="102">
        <f>28895.4</f>
        <v>28895.4</v>
      </c>
      <c r="J61" s="102">
        <v>587338.55000000005</v>
      </c>
      <c r="K61" s="107">
        <f>675500-159090-147460</f>
        <v>368950</v>
      </c>
      <c r="L61" s="101" t="s">
        <v>280</v>
      </c>
      <c r="M61" s="103"/>
      <c r="N61" s="114"/>
    </row>
    <row r="62" spans="1:14" s="105" customFormat="1" ht="128.25" customHeight="1" x14ac:dyDescent="0.3">
      <c r="A62" s="109" t="s">
        <v>92</v>
      </c>
      <c r="B62" s="85" t="s">
        <v>161</v>
      </c>
      <c r="C62" s="101" t="s">
        <v>209</v>
      </c>
      <c r="D62" s="101" t="s">
        <v>344</v>
      </c>
      <c r="E62" s="101" t="s">
        <v>158</v>
      </c>
      <c r="F62" s="102">
        <f>H62+I62+J62+K62</f>
        <v>838164.12</v>
      </c>
      <c r="G62" s="102"/>
      <c r="H62" s="102"/>
      <c r="I62" s="102">
        <v>52894.400000000001</v>
      </c>
      <c r="J62" s="102">
        <v>307669.71999999997</v>
      </c>
      <c r="K62" s="107">
        <v>477600</v>
      </c>
      <c r="L62" s="101" t="s">
        <v>149</v>
      </c>
      <c r="M62" s="107"/>
      <c r="N62" s="114"/>
    </row>
    <row r="63" spans="1:14" s="105" customFormat="1" ht="128.25" customHeight="1" x14ac:dyDescent="0.3">
      <c r="A63" s="109" t="s">
        <v>93</v>
      </c>
      <c r="B63" s="85" t="s">
        <v>321</v>
      </c>
      <c r="C63" s="101" t="s">
        <v>209</v>
      </c>
      <c r="D63" s="101">
        <v>2024</v>
      </c>
      <c r="E63" s="101" t="s">
        <v>158</v>
      </c>
      <c r="F63" s="102">
        <f>H63+I63+J63</f>
        <v>44910</v>
      </c>
      <c r="G63" s="102"/>
      <c r="H63" s="102"/>
      <c r="I63" s="102"/>
      <c r="J63" s="102">
        <f>99000-54090</f>
        <v>44910</v>
      </c>
      <c r="K63" s="106"/>
      <c r="L63" s="101" t="s">
        <v>212</v>
      </c>
      <c r="M63" s="103"/>
      <c r="N63" s="114"/>
    </row>
    <row r="64" spans="1:14" s="105" customFormat="1" ht="147" customHeight="1" x14ac:dyDescent="0.3">
      <c r="A64" s="109" t="s">
        <v>94</v>
      </c>
      <c r="B64" s="85" t="s">
        <v>393</v>
      </c>
      <c r="C64" s="101" t="s">
        <v>322</v>
      </c>
      <c r="D64" s="101" t="s">
        <v>345</v>
      </c>
      <c r="E64" s="101" t="s">
        <v>158</v>
      </c>
      <c r="F64" s="102">
        <f>H64+I64+J64+K64</f>
        <v>3227600</v>
      </c>
      <c r="G64" s="102"/>
      <c r="H64" s="102"/>
      <c r="I64" s="102"/>
      <c r="J64" s="102">
        <f>247000+40000+36000+717900-302200+344700+74700+2700-4200</f>
        <v>1156600</v>
      </c>
      <c r="K64" s="107">
        <f>2000000+26000+10000+35000</f>
        <v>2071000</v>
      </c>
      <c r="L64" s="101" t="s">
        <v>310</v>
      </c>
      <c r="M64" s="103"/>
      <c r="N64" s="114"/>
    </row>
    <row r="65" spans="1:14" s="105" customFormat="1" ht="142.5" customHeight="1" x14ac:dyDescent="0.3">
      <c r="A65" s="109" t="s">
        <v>319</v>
      </c>
      <c r="B65" s="85" t="s">
        <v>405</v>
      </c>
      <c r="C65" s="101" t="s">
        <v>322</v>
      </c>
      <c r="D65" s="101" t="s">
        <v>345</v>
      </c>
      <c r="E65" s="101" t="s">
        <v>158</v>
      </c>
      <c r="F65" s="102">
        <f>H65+I65+J65+K65</f>
        <v>1210591.44</v>
      </c>
      <c r="G65" s="102"/>
      <c r="H65" s="102"/>
      <c r="I65" s="102"/>
      <c r="J65" s="102">
        <v>424601.44</v>
      </c>
      <c r="K65" s="107">
        <f>291400+128200+100000+111070+159090-3770</f>
        <v>785990</v>
      </c>
      <c r="L65" s="101" t="s">
        <v>320</v>
      </c>
      <c r="M65" s="103"/>
      <c r="N65" s="114"/>
    </row>
    <row r="66" spans="1:14" s="105" customFormat="1" ht="116.25" customHeight="1" x14ac:dyDescent="0.3">
      <c r="A66" s="109" t="s">
        <v>335</v>
      </c>
      <c r="B66" s="85" t="s">
        <v>336</v>
      </c>
      <c r="C66" s="101" t="s">
        <v>322</v>
      </c>
      <c r="D66" s="101">
        <v>2024</v>
      </c>
      <c r="E66" s="101" t="s">
        <v>158</v>
      </c>
      <c r="F66" s="102">
        <f>G66+H66+I66+J66+K66</f>
        <v>0</v>
      </c>
      <c r="G66" s="102"/>
      <c r="H66" s="102"/>
      <c r="I66" s="102"/>
      <c r="J66" s="102">
        <f>325600-325600</f>
        <v>0</v>
      </c>
      <c r="K66" s="106"/>
      <c r="L66" s="101" t="s">
        <v>225</v>
      </c>
      <c r="M66" s="103"/>
      <c r="N66" s="114"/>
    </row>
    <row r="67" spans="1:14" s="105" customFormat="1" ht="116.25" customHeight="1" x14ac:dyDescent="0.3">
      <c r="A67" s="109" t="s">
        <v>337</v>
      </c>
      <c r="B67" s="85" t="s">
        <v>343</v>
      </c>
      <c r="C67" s="101" t="s">
        <v>322</v>
      </c>
      <c r="D67" s="101">
        <v>2024</v>
      </c>
      <c r="E67" s="101" t="s">
        <v>158</v>
      </c>
      <c r="F67" s="102">
        <f>G67+H67+I67+J67+K67</f>
        <v>280484.47999999998</v>
      </c>
      <c r="G67" s="102"/>
      <c r="H67" s="102"/>
      <c r="I67" s="102"/>
      <c r="J67" s="102">
        <v>280484.47999999998</v>
      </c>
      <c r="K67" s="106"/>
      <c r="L67" s="101" t="s">
        <v>221</v>
      </c>
      <c r="M67" s="103"/>
      <c r="N67" s="114"/>
    </row>
    <row r="68" spans="1:14" s="105" customFormat="1" ht="116.25" customHeight="1" x14ac:dyDescent="0.3">
      <c r="A68" s="109" t="s">
        <v>373</v>
      </c>
      <c r="B68" s="85" t="s">
        <v>374</v>
      </c>
      <c r="C68" s="101" t="s">
        <v>322</v>
      </c>
      <c r="D68" s="101">
        <v>2025</v>
      </c>
      <c r="E68" s="101" t="s">
        <v>158</v>
      </c>
      <c r="F68" s="102">
        <f>G68+H68+I68+J68+K68</f>
        <v>0</v>
      </c>
      <c r="G68" s="102"/>
      <c r="H68" s="102"/>
      <c r="I68" s="102"/>
      <c r="J68" s="102"/>
      <c r="K68" s="102">
        <f>159090-159090</f>
        <v>0</v>
      </c>
      <c r="L68" s="101" t="s">
        <v>320</v>
      </c>
      <c r="M68" s="103"/>
      <c r="N68" s="114"/>
    </row>
    <row r="69" spans="1:14" ht="23.25" customHeight="1" x14ac:dyDescent="0.3">
      <c r="A69" s="270" t="s">
        <v>220</v>
      </c>
      <c r="B69" s="270"/>
      <c r="C69" s="270"/>
      <c r="D69" s="270"/>
      <c r="E69" s="270"/>
      <c r="F69" s="270"/>
      <c r="G69" s="270"/>
      <c r="H69" s="270"/>
      <c r="I69" s="270"/>
      <c r="J69" s="270"/>
      <c r="K69" s="270"/>
      <c r="L69" s="270"/>
    </row>
    <row r="70" spans="1:14" s="105" customFormat="1" ht="198.75" customHeight="1" x14ac:dyDescent="0.3">
      <c r="A70" s="100" t="s">
        <v>146</v>
      </c>
      <c r="B70" s="85" t="s">
        <v>382</v>
      </c>
      <c r="C70" s="101" t="s">
        <v>191</v>
      </c>
      <c r="D70" s="101" t="s">
        <v>160</v>
      </c>
      <c r="E70" s="101" t="s">
        <v>262</v>
      </c>
      <c r="F70" s="102">
        <f t="shared" ref="F70:F75" si="4">G70+H70+I70+J70+K70</f>
        <v>16484555</v>
      </c>
      <c r="G70" s="102">
        <f>5176185+9486200</f>
        <v>14662385</v>
      </c>
      <c r="H70" s="102"/>
      <c r="I70" s="102"/>
      <c r="J70" s="115"/>
      <c r="K70" s="102">
        <f>1822170</f>
        <v>1822170</v>
      </c>
      <c r="L70" s="101" t="s">
        <v>381</v>
      </c>
      <c r="M70" s="103"/>
    </row>
    <row r="71" spans="1:14" s="105" customFormat="1" ht="170.25" customHeight="1" x14ac:dyDescent="0.3">
      <c r="A71" s="100" t="s">
        <v>152</v>
      </c>
      <c r="B71" s="108" t="s">
        <v>170</v>
      </c>
      <c r="C71" s="101" t="s">
        <v>201</v>
      </c>
      <c r="D71" s="101">
        <v>2021</v>
      </c>
      <c r="E71" s="101" t="s">
        <v>158</v>
      </c>
      <c r="F71" s="102">
        <f t="shared" si="4"/>
        <v>2577081.2400000002</v>
      </c>
      <c r="G71" s="102">
        <v>2577081.2400000002</v>
      </c>
      <c r="H71" s="102"/>
      <c r="I71" s="102"/>
      <c r="J71" s="115"/>
      <c r="K71" s="115"/>
      <c r="L71" s="101" t="s">
        <v>178</v>
      </c>
      <c r="M71" s="103"/>
    </row>
    <row r="72" spans="1:14" s="105" customFormat="1" ht="147.6" customHeight="1" x14ac:dyDescent="0.3">
      <c r="A72" s="100" t="s">
        <v>154</v>
      </c>
      <c r="B72" s="108" t="s">
        <v>300</v>
      </c>
      <c r="C72" s="101" t="s">
        <v>184</v>
      </c>
      <c r="D72" s="101" t="s">
        <v>295</v>
      </c>
      <c r="E72" s="101" t="s">
        <v>158</v>
      </c>
      <c r="F72" s="102">
        <f t="shared" si="4"/>
        <v>11522694.970000001</v>
      </c>
      <c r="G72" s="102">
        <v>49350.84</v>
      </c>
      <c r="H72" s="102"/>
      <c r="I72" s="102">
        <v>10362613.210000001</v>
      </c>
      <c r="J72" s="116">
        <f>1110730.92</f>
        <v>1110730.92</v>
      </c>
      <c r="K72" s="115"/>
      <c r="L72" s="101" t="s">
        <v>179</v>
      </c>
      <c r="M72" s="103"/>
      <c r="N72" s="104"/>
    </row>
    <row r="73" spans="1:14" s="105" customFormat="1" ht="108" customHeight="1" x14ac:dyDescent="0.3">
      <c r="A73" s="100" t="s">
        <v>237</v>
      </c>
      <c r="B73" s="117" t="s">
        <v>171</v>
      </c>
      <c r="C73" s="101" t="s">
        <v>202</v>
      </c>
      <c r="D73" s="101">
        <v>2021</v>
      </c>
      <c r="E73" s="101" t="s">
        <v>158</v>
      </c>
      <c r="F73" s="102">
        <f t="shared" si="4"/>
        <v>7250244.8700000001</v>
      </c>
      <c r="G73" s="102">
        <v>7250244.8700000001</v>
      </c>
      <c r="H73" s="102"/>
      <c r="I73" s="102"/>
      <c r="J73" s="115"/>
      <c r="K73" s="115"/>
      <c r="L73" s="101" t="s">
        <v>175</v>
      </c>
      <c r="M73" s="103"/>
    </row>
    <row r="74" spans="1:14" s="105" customFormat="1" ht="174.75" customHeight="1" x14ac:dyDescent="0.3">
      <c r="A74" s="100" t="s">
        <v>238</v>
      </c>
      <c r="B74" s="108" t="s">
        <v>189</v>
      </c>
      <c r="C74" s="101" t="s">
        <v>203</v>
      </c>
      <c r="D74" s="101" t="s">
        <v>208</v>
      </c>
      <c r="E74" s="101" t="s">
        <v>158</v>
      </c>
      <c r="F74" s="102">
        <f t="shared" si="4"/>
        <v>3205846.12</v>
      </c>
      <c r="G74" s="102"/>
      <c r="H74" s="102">
        <v>3205846.12</v>
      </c>
      <c r="I74" s="102"/>
      <c r="J74" s="115"/>
      <c r="K74" s="115"/>
      <c r="L74" s="101" t="s">
        <v>172</v>
      </c>
      <c r="M74" s="103"/>
    </row>
    <row r="75" spans="1:14" s="105" customFormat="1" ht="121.5" customHeight="1" x14ac:dyDescent="0.3">
      <c r="A75" s="100" t="s">
        <v>239</v>
      </c>
      <c r="B75" s="108" t="s">
        <v>277</v>
      </c>
      <c r="C75" s="101" t="s">
        <v>204</v>
      </c>
      <c r="D75" s="101">
        <v>2021</v>
      </c>
      <c r="E75" s="101" t="s">
        <v>158</v>
      </c>
      <c r="F75" s="102">
        <f t="shared" si="4"/>
        <v>254580</v>
      </c>
      <c r="G75" s="102">
        <v>254580</v>
      </c>
      <c r="H75" s="102"/>
      <c r="I75" s="102"/>
      <c r="J75" s="115"/>
      <c r="K75" s="115"/>
      <c r="L75" s="101" t="s">
        <v>172</v>
      </c>
      <c r="M75" s="103"/>
    </row>
    <row r="76" spans="1:14" s="105" customFormat="1" ht="129" customHeight="1" x14ac:dyDescent="0.3">
      <c r="A76" s="100" t="s">
        <v>240</v>
      </c>
      <c r="B76" s="108" t="s">
        <v>187</v>
      </c>
      <c r="C76" s="101" t="s">
        <v>204</v>
      </c>
      <c r="D76" s="101" t="s">
        <v>160</v>
      </c>
      <c r="E76" s="101" t="s">
        <v>158</v>
      </c>
      <c r="F76" s="102">
        <f t="shared" ref="F76" si="5">G76+H76+I76+J76+K76</f>
        <v>869262.05</v>
      </c>
      <c r="G76" s="102">
        <f>237826.14+161527.83+469908.08</f>
        <v>869262.05</v>
      </c>
      <c r="H76" s="102"/>
      <c r="I76" s="102"/>
      <c r="J76" s="115"/>
      <c r="K76" s="115"/>
      <c r="L76" s="101" t="s">
        <v>188</v>
      </c>
      <c r="M76" s="103"/>
    </row>
    <row r="77" spans="1:14" s="105" customFormat="1" ht="170.25" customHeight="1" x14ac:dyDescent="0.3">
      <c r="A77" s="100" t="s">
        <v>241</v>
      </c>
      <c r="B77" s="85" t="s">
        <v>173</v>
      </c>
      <c r="C77" s="101" t="s">
        <v>205</v>
      </c>
      <c r="D77" s="101" t="s">
        <v>160</v>
      </c>
      <c r="E77" s="101" t="s">
        <v>158</v>
      </c>
      <c r="F77" s="102">
        <f>G77+H77+I77+J77+K77</f>
        <v>829419.5</v>
      </c>
      <c r="G77" s="102">
        <v>802119.5</v>
      </c>
      <c r="H77" s="102"/>
      <c r="I77" s="102">
        <v>27300</v>
      </c>
      <c r="J77" s="115"/>
      <c r="K77" s="115"/>
      <c r="L77" s="101" t="s">
        <v>174</v>
      </c>
      <c r="M77" s="103"/>
    </row>
    <row r="78" spans="1:14" s="105" customFormat="1" ht="100.2" customHeight="1" x14ac:dyDescent="0.3">
      <c r="A78" s="100" t="s">
        <v>242</v>
      </c>
      <c r="B78" s="85" t="s">
        <v>229</v>
      </c>
      <c r="C78" s="101" t="s">
        <v>227</v>
      </c>
      <c r="D78" s="101">
        <v>2022</v>
      </c>
      <c r="E78" s="101" t="s">
        <v>158</v>
      </c>
      <c r="F78" s="102">
        <f>G78+H78+I78+J78+K78</f>
        <v>219800</v>
      </c>
      <c r="G78" s="102"/>
      <c r="H78" s="102">
        <v>219800</v>
      </c>
      <c r="I78" s="102"/>
      <c r="J78" s="115"/>
      <c r="K78" s="115"/>
      <c r="L78" s="101" t="s">
        <v>228</v>
      </c>
      <c r="M78" s="103"/>
    </row>
    <row r="79" spans="1:14" s="105" customFormat="1" ht="34.5" customHeight="1" x14ac:dyDescent="0.3">
      <c r="A79" s="100" t="s">
        <v>245</v>
      </c>
      <c r="B79" s="85" t="s">
        <v>249</v>
      </c>
      <c r="C79" s="101"/>
      <c r="D79" s="101"/>
      <c r="E79" s="101"/>
      <c r="F79" s="102">
        <f>F80+F81+F82</f>
        <v>8797521.7300000004</v>
      </c>
      <c r="G79" s="102"/>
      <c r="H79" s="102"/>
      <c r="I79" s="102">
        <f>I80+I81+I82</f>
        <v>1283931.47</v>
      </c>
      <c r="J79" s="118">
        <f>J80+J81+J82</f>
        <v>6013590.2599999998</v>
      </c>
      <c r="K79" s="118">
        <f>K80+K81+K82</f>
        <v>1500000</v>
      </c>
      <c r="L79" s="264" t="s">
        <v>250</v>
      </c>
      <c r="M79" s="103"/>
    </row>
    <row r="80" spans="1:14" s="105" customFormat="1" ht="93.6" x14ac:dyDescent="0.3">
      <c r="A80" s="109" t="s">
        <v>273</v>
      </c>
      <c r="B80" s="85" t="s">
        <v>296</v>
      </c>
      <c r="C80" s="101" t="s">
        <v>248</v>
      </c>
      <c r="D80" s="101" t="s">
        <v>293</v>
      </c>
      <c r="E80" s="101" t="s">
        <v>158</v>
      </c>
      <c r="F80" s="102">
        <f>G80+H80+I80+J80+K80</f>
        <v>4545592.34</v>
      </c>
      <c r="G80" s="102"/>
      <c r="H80" s="102"/>
      <c r="I80" s="102">
        <v>724059.51</v>
      </c>
      <c r="J80" s="116">
        <v>3821532.83</v>
      </c>
      <c r="K80" s="115"/>
      <c r="L80" s="265"/>
      <c r="M80" s="103"/>
    </row>
    <row r="81" spans="1:13" s="105" customFormat="1" ht="93.6" x14ac:dyDescent="0.3">
      <c r="A81" s="109" t="s">
        <v>274</v>
      </c>
      <c r="B81" s="85" t="s">
        <v>297</v>
      </c>
      <c r="C81" s="101" t="s">
        <v>248</v>
      </c>
      <c r="D81" s="101" t="s">
        <v>293</v>
      </c>
      <c r="E81" s="101" t="s">
        <v>158</v>
      </c>
      <c r="F81" s="102">
        <f>G81+H81+I81+J81+K81</f>
        <v>2501929.39</v>
      </c>
      <c r="G81" s="102"/>
      <c r="H81" s="102"/>
      <c r="I81" s="102">
        <v>489871.96</v>
      </c>
      <c r="J81" s="116">
        <v>2012057.43</v>
      </c>
      <c r="K81" s="115"/>
      <c r="L81" s="265"/>
      <c r="M81" s="103"/>
    </row>
    <row r="82" spans="1:13" s="105" customFormat="1" ht="111" customHeight="1" x14ac:dyDescent="0.3">
      <c r="A82" s="109" t="s">
        <v>275</v>
      </c>
      <c r="B82" s="85" t="s">
        <v>291</v>
      </c>
      <c r="C82" s="101" t="s">
        <v>204</v>
      </c>
      <c r="D82" s="101" t="s">
        <v>344</v>
      </c>
      <c r="E82" s="101" t="s">
        <v>158</v>
      </c>
      <c r="F82" s="102">
        <f>G82+H82+I82+J82+K82</f>
        <v>1750000</v>
      </c>
      <c r="G82" s="102"/>
      <c r="H82" s="102"/>
      <c r="I82" s="102">
        <v>70000</v>
      </c>
      <c r="J82" s="116">
        <v>180000</v>
      </c>
      <c r="K82" s="119">
        <f>1000000+500000</f>
        <v>1500000</v>
      </c>
      <c r="L82" s="265"/>
      <c r="M82" s="103"/>
    </row>
    <row r="83" spans="1:13" s="105" customFormat="1" ht="93" customHeight="1" x14ac:dyDescent="0.3">
      <c r="A83" s="109" t="s">
        <v>247</v>
      </c>
      <c r="B83" s="85" t="s">
        <v>257</v>
      </c>
      <c r="C83" s="101" t="s">
        <v>204</v>
      </c>
      <c r="D83" s="101">
        <v>2023</v>
      </c>
      <c r="E83" s="101" t="s">
        <v>158</v>
      </c>
      <c r="F83" s="102">
        <f t="shared" ref="F83:F88" si="6">G83+H83+I83+J83+K83</f>
        <v>0</v>
      </c>
      <c r="G83" s="102"/>
      <c r="H83" s="102"/>
      <c r="I83" s="102">
        <v>0</v>
      </c>
      <c r="J83" s="115"/>
      <c r="K83" s="115"/>
      <c r="L83" s="101" t="s">
        <v>261</v>
      </c>
      <c r="M83" s="103"/>
    </row>
    <row r="84" spans="1:13" s="105" customFormat="1" ht="100.5" customHeight="1" x14ac:dyDescent="0.3">
      <c r="A84" s="109" t="s">
        <v>259</v>
      </c>
      <c r="B84" s="85" t="s">
        <v>258</v>
      </c>
      <c r="C84" s="101" t="s">
        <v>204</v>
      </c>
      <c r="D84" s="101">
        <v>2023</v>
      </c>
      <c r="E84" s="101" t="s">
        <v>158</v>
      </c>
      <c r="F84" s="102">
        <f t="shared" si="6"/>
        <v>0</v>
      </c>
      <c r="G84" s="102"/>
      <c r="H84" s="102"/>
      <c r="I84" s="102">
        <v>0</v>
      </c>
      <c r="J84" s="115"/>
      <c r="K84" s="115"/>
      <c r="L84" s="101" t="s">
        <v>261</v>
      </c>
      <c r="M84" s="103"/>
    </row>
    <row r="85" spans="1:13" s="105" customFormat="1" ht="118.5" customHeight="1" x14ac:dyDescent="0.3">
      <c r="A85" s="109" t="s">
        <v>260</v>
      </c>
      <c r="B85" s="85" t="s">
        <v>266</v>
      </c>
      <c r="C85" s="101" t="s">
        <v>248</v>
      </c>
      <c r="D85" s="101">
        <v>2023</v>
      </c>
      <c r="E85" s="101" t="s">
        <v>158</v>
      </c>
      <c r="F85" s="102">
        <f>G85+H85+I85+J85+K85</f>
        <v>507964.15</v>
      </c>
      <c r="G85" s="102"/>
      <c r="H85" s="102"/>
      <c r="I85" s="102">
        <v>507964.15</v>
      </c>
      <c r="J85" s="115"/>
      <c r="K85" s="115"/>
      <c r="L85" s="101" t="s">
        <v>250</v>
      </c>
      <c r="M85" s="103"/>
    </row>
    <row r="86" spans="1:13" s="105" customFormat="1" ht="137.25" customHeight="1" x14ac:dyDescent="0.3">
      <c r="A86" s="109" t="s">
        <v>268</v>
      </c>
      <c r="B86" s="85" t="s">
        <v>301</v>
      </c>
      <c r="C86" s="101" t="s">
        <v>204</v>
      </c>
      <c r="D86" s="101" t="s">
        <v>293</v>
      </c>
      <c r="E86" s="101" t="s">
        <v>158</v>
      </c>
      <c r="F86" s="102">
        <f>G86+H86+I86+J86+K86</f>
        <v>334804.25</v>
      </c>
      <c r="G86" s="102"/>
      <c r="H86" s="102"/>
      <c r="I86" s="102">
        <v>0</v>
      </c>
      <c r="J86" s="116">
        <f>334804.25</f>
        <v>334804.25</v>
      </c>
      <c r="K86" s="115"/>
      <c r="L86" s="101" t="s">
        <v>188</v>
      </c>
      <c r="M86" s="103"/>
    </row>
    <row r="87" spans="1:13" s="105" customFormat="1" ht="110.25" customHeight="1" x14ac:dyDescent="0.3">
      <c r="A87" s="109" t="s">
        <v>270</v>
      </c>
      <c r="B87" s="85" t="s">
        <v>299</v>
      </c>
      <c r="C87" s="101" t="s">
        <v>204</v>
      </c>
      <c r="D87" s="101" t="s">
        <v>293</v>
      </c>
      <c r="E87" s="101" t="s">
        <v>158</v>
      </c>
      <c r="F87" s="102">
        <f t="shared" si="6"/>
        <v>0</v>
      </c>
      <c r="G87" s="102"/>
      <c r="H87" s="102"/>
      <c r="I87" s="102">
        <v>0</v>
      </c>
      <c r="J87" s="116">
        <f>399600-399600</f>
        <v>0</v>
      </c>
      <c r="K87" s="115"/>
      <c r="L87" s="101" t="s">
        <v>188</v>
      </c>
      <c r="M87" s="103"/>
    </row>
    <row r="88" spans="1:13" s="105" customFormat="1" ht="129.75" customHeight="1" x14ac:dyDescent="0.3">
      <c r="A88" s="109" t="s">
        <v>271</v>
      </c>
      <c r="B88" s="85" t="s">
        <v>276</v>
      </c>
      <c r="C88" s="101" t="s">
        <v>272</v>
      </c>
      <c r="D88" s="101">
        <v>2023</v>
      </c>
      <c r="E88" s="101" t="s">
        <v>158</v>
      </c>
      <c r="F88" s="102">
        <f t="shared" si="6"/>
        <v>443042.63</v>
      </c>
      <c r="G88" s="102"/>
      <c r="H88" s="102"/>
      <c r="I88" s="102">
        <v>443042.63</v>
      </c>
      <c r="J88" s="115"/>
      <c r="K88" s="115"/>
      <c r="L88" s="101" t="s">
        <v>188</v>
      </c>
      <c r="M88" s="103"/>
    </row>
    <row r="89" spans="1:13" s="105" customFormat="1" ht="136.5" customHeight="1" x14ac:dyDescent="0.3">
      <c r="A89" s="109" t="s">
        <v>283</v>
      </c>
      <c r="B89" s="85" t="s">
        <v>312</v>
      </c>
      <c r="C89" s="101" t="s">
        <v>204</v>
      </c>
      <c r="D89" s="101" t="s">
        <v>293</v>
      </c>
      <c r="E89" s="101" t="s">
        <v>158</v>
      </c>
      <c r="F89" s="102">
        <f t="shared" ref="F89:F98" si="7">G89+H89+I89+J89+K89</f>
        <v>2199824.5</v>
      </c>
      <c r="G89" s="102"/>
      <c r="H89" s="102"/>
      <c r="I89" s="102">
        <v>99991.5</v>
      </c>
      <c r="J89" s="116">
        <v>2099833</v>
      </c>
      <c r="K89" s="115"/>
      <c r="L89" s="101" t="s">
        <v>284</v>
      </c>
      <c r="M89" s="103"/>
    </row>
    <row r="90" spans="1:13" s="105" customFormat="1" ht="132" customHeight="1" x14ac:dyDescent="0.3">
      <c r="A90" s="109" t="s">
        <v>290</v>
      </c>
      <c r="B90" s="85" t="s">
        <v>383</v>
      </c>
      <c r="C90" s="101" t="s">
        <v>209</v>
      </c>
      <c r="D90" s="101" t="s">
        <v>344</v>
      </c>
      <c r="E90" s="101" t="s">
        <v>158</v>
      </c>
      <c r="F90" s="102">
        <f t="shared" si="7"/>
        <v>106400</v>
      </c>
      <c r="G90" s="102"/>
      <c r="H90" s="102"/>
      <c r="I90" s="102">
        <v>68900</v>
      </c>
      <c r="J90" s="115"/>
      <c r="K90" s="116">
        <f>45000-7500</f>
        <v>37500</v>
      </c>
      <c r="L90" s="101" t="s">
        <v>384</v>
      </c>
      <c r="M90" s="103"/>
    </row>
    <row r="91" spans="1:13" s="105" customFormat="1" ht="118.5" customHeight="1" x14ac:dyDescent="0.3">
      <c r="A91" s="109" t="s">
        <v>302</v>
      </c>
      <c r="B91" s="85" t="s">
        <v>304</v>
      </c>
      <c r="C91" s="101" t="s">
        <v>204</v>
      </c>
      <c r="D91" s="101">
        <v>2024</v>
      </c>
      <c r="E91" s="101" t="s">
        <v>158</v>
      </c>
      <c r="F91" s="102">
        <f t="shared" si="7"/>
        <v>56559.07</v>
      </c>
      <c r="G91" s="102"/>
      <c r="H91" s="102"/>
      <c r="I91" s="102"/>
      <c r="J91" s="116">
        <f>66000-9440.93</f>
        <v>56559.07</v>
      </c>
      <c r="K91" s="115"/>
      <c r="L91" s="101" t="s">
        <v>303</v>
      </c>
      <c r="M91" s="103"/>
    </row>
    <row r="92" spans="1:13" s="105" customFormat="1" ht="129.75" customHeight="1" x14ac:dyDescent="0.3">
      <c r="A92" s="109" t="s">
        <v>306</v>
      </c>
      <c r="B92" s="85" t="s">
        <v>308</v>
      </c>
      <c r="C92" s="101" t="s">
        <v>209</v>
      </c>
      <c r="D92" s="101" t="s">
        <v>345</v>
      </c>
      <c r="E92" s="101" t="s">
        <v>158</v>
      </c>
      <c r="F92" s="102">
        <f t="shared" si="7"/>
        <v>1035177.2</v>
      </c>
      <c r="G92" s="102"/>
      <c r="H92" s="102"/>
      <c r="I92" s="102"/>
      <c r="J92" s="116">
        <v>783177.2</v>
      </c>
      <c r="K92" s="116">
        <f>192000+60000</f>
        <v>252000</v>
      </c>
      <c r="L92" s="101" t="s">
        <v>309</v>
      </c>
      <c r="M92" s="103"/>
    </row>
    <row r="93" spans="1:13" s="105" customFormat="1" ht="185.25" customHeight="1" x14ac:dyDescent="0.3">
      <c r="A93" s="109" t="s">
        <v>313</v>
      </c>
      <c r="B93" s="112" t="s">
        <v>376</v>
      </c>
      <c r="C93" s="101" t="s">
        <v>204</v>
      </c>
      <c r="D93" s="101" t="s">
        <v>345</v>
      </c>
      <c r="E93" s="101" t="s">
        <v>158</v>
      </c>
      <c r="F93" s="102">
        <f t="shared" si="7"/>
        <v>2018676</v>
      </c>
      <c r="G93" s="102"/>
      <c r="H93" s="102"/>
      <c r="I93" s="102"/>
      <c r="J93" s="116">
        <v>47706</v>
      </c>
      <c r="K93" s="116">
        <f>2036600-65630</f>
        <v>1970970</v>
      </c>
      <c r="L93" s="101" t="s">
        <v>172</v>
      </c>
      <c r="M93" s="103"/>
    </row>
    <row r="94" spans="1:13" s="105" customFormat="1" ht="163.5" customHeight="1" x14ac:dyDescent="0.3">
      <c r="A94" s="109" t="s">
        <v>314</v>
      </c>
      <c r="B94" s="112" t="s">
        <v>375</v>
      </c>
      <c r="C94" s="101" t="s">
        <v>204</v>
      </c>
      <c r="D94" s="101">
        <v>2024</v>
      </c>
      <c r="E94" s="101" t="s">
        <v>158</v>
      </c>
      <c r="F94" s="102">
        <f t="shared" si="7"/>
        <v>47706</v>
      </c>
      <c r="G94" s="102"/>
      <c r="H94" s="102"/>
      <c r="I94" s="102"/>
      <c r="J94" s="116">
        <v>47706</v>
      </c>
      <c r="K94" s="115"/>
      <c r="L94" s="101" t="s">
        <v>172</v>
      </c>
      <c r="M94" s="103"/>
    </row>
    <row r="95" spans="1:13" s="105" customFormat="1" ht="129.75" customHeight="1" x14ac:dyDescent="0.3">
      <c r="A95" s="109" t="s">
        <v>315</v>
      </c>
      <c r="B95" s="112" t="s">
        <v>377</v>
      </c>
      <c r="C95" s="101" t="s">
        <v>204</v>
      </c>
      <c r="D95" s="101">
        <v>2024</v>
      </c>
      <c r="E95" s="101" t="s">
        <v>158</v>
      </c>
      <c r="F95" s="102">
        <f t="shared" si="7"/>
        <v>83913.93</v>
      </c>
      <c r="G95" s="102"/>
      <c r="H95" s="102"/>
      <c r="I95" s="102"/>
      <c r="J95" s="116">
        <f>74473+9440.93</f>
        <v>83913.93</v>
      </c>
      <c r="K95" s="115"/>
      <c r="L95" s="101" t="s">
        <v>188</v>
      </c>
      <c r="M95" s="103"/>
    </row>
    <row r="96" spans="1:13" s="105" customFormat="1" ht="129.75" customHeight="1" x14ac:dyDescent="0.3">
      <c r="A96" s="109" t="s">
        <v>330</v>
      </c>
      <c r="B96" s="112" t="s">
        <v>331</v>
      </c>
      <c r="C96" s="101" t="s">
        <v>204</v>
      </c>
      <c r="D96" s="101">
        <v>2024</v>
      </c>
      <c r="E96" s="101" t="s">
        <v>158</v>
      </c>
      <c r="F96" s="102">
        <f t="shared" si="7"/>
        <v>0</v>
      </c>
      <c r="G96" s="102"/>
      <c r="H96" s="102"/>
      <c r="I96" s="102"/>
      <c r="J96" s="116">
        <v>0</v>
      </c>
      <c r="K96" s="115"/>
      <c r="L96" s="101" t="s">
        <v>172</v>
      </c>
      <c r="M96" s="103"/>
    </row>
    <row r="97" spans="1:17" s="105" customFormat="1" ht="156.75" customHeight="1" x14ac:dyDescent="0.3">
      <c r="A97" s="109" t="s">
        <v>332</v>
      </c>
      <c r="B97" s="120" t="s">
        <v>378</v>
      </c>
      <c r="C97" s="101" t="s">
        <v>322</v>
      </c>
      <c r="D97" s="101" t="s">
        <v>345</v>
      </c>
      <c r="E97" s="101" t="s">
        <v>158</v>
      </c>
      <c r="F97" s="102">
        <f t="shared" si="7"/>
        <v>817407.32000000007</v>
      </c>
      <c r="G97" s="102"/>
      <c r="H97" s="102"/>
      <c r="I97" s="102"/>
      <c r="J97" s="116">
        <v>98507.32</v>
      </c>
      <c r="K97" s="116">
        <f>1426100-707200</f>
        <v>718900</v>
      </c>
      <c r="L97" s="101" t="s">
        <v>188</v>
      </c>
      <c r="M97" s="103"/>
    </row>
    <row r="98" spans="1:17" s="105" customFormat="1" ht="129.75" customHeight="1" x14ac:dyDescent="0.3">
      <c r="A98" s="109" t="s">
        <v>338</v>
      </c>
      <c r="B98" s="112" t="s">
        <v>385</v>
      </c>
      <c r="C98" s="101" t="s">
        <v>339</v>
      </c>
      <c r="D98" s="101" t="s">
        <v>345</v>
      </c>
      <c r="E98" s="101" t="s">
        <v>158</v>
      </c>
      <c r="F98" s="102">
        <f t="shared" si="7"/>
        <v>1830280</v>
      </c>
      <c r="G98" s="102"/>
      <c r="H98" s="102"/>
      <c r="I98" s="102"/>
      <c r="J98" s="116">
        <v>868180</v>
      </c>
      <c r="K98" s="116">
        <v>962100</v>
      </c>
      <c r="L98" s="101" t="s">
        <v>340</v>
      </c>
      <c r="M98" s="103"/>
    </row>
    <row r="99" spans="1:17" s="105" customFormat="1" ht="129.75" customHeight="1" x14ac:dyDescent="0.3">
      <c r="A99" s="109" t="s">
        <v>370</v>
      </c>
      <c r="B99" s="112" t="s">
        <v>379</v>
      </c>
      <c r="C99" s="101" t="s">
        <v>322</v>
      </c>
      <c r="D99" s="101">
        <v>2025</v>
      </c>
      <c r="E99" s="101" t="s">
        <v>158</v>
      </c>
      <c r="F99" s="102">
        <f>G99+H99+I99+J99+K99</f>
        <v>100000</v>
      </c>
      <c r="G99" s="102"/>
      <c r="H99" s="102"/>
      <c r="I99" s="102"/>
      <c r="J99" s="116"/>
      <c r="K99" s="116">
        <v>100000</v>
      </c>
      <c r="L99" s="101" t="s">
        <v>371</v>
      </c>
      <c r="M99" s="103"/>
    </row>
    <row r="100" spans="1:17" s="105" customFormat="1" ht="31.2" customHeight="1" x14ac:dyDescent="0.3">
      <c r="A100" s="267" t="s">
        <v>389</v>
      </c>
      <c r="B100" s="275" t="s">
        <v>394</v>
      </c>
      <c r="C100" s="264" t="s">
        <v>387</v>
      </c>
      <c r="D100" s="264">
        <v>2025</v>
      </c>
      <c r="E100" s="101" t="s">
        <v>392</v>
      </c>
      <c r="F100" s="102">
        <f>F101+F102</f>
        <v>7874155.2199999997</v>
      </c>
      <c r="G100" s="102"/>
      <c r="H100" s="102"/>
      <c r="I100" s="102"/>
      <c r="J100" s="116"/>
      <c r="K100" s="116">
        <f>K101+K102</f>
        <v>7874155.2199999997</v>
      </c>
      <c r="L100" s="264" t="s">
        <v>388</v>
      </c>
      <c r="M100" s="103"/>
    </row>
    <row r="101" spans="1:17" s="105" customFormat="1" ht="84" customHeight="1" x14ac:dyDescent="0.3">
      <c r="A101" s="268"/>
      <c r="B101" s="276"/>
      <c r="C101" s="265"/>
      <c r="D101" s="265"/>
      <c r="E101" s="111" t="s">
        <v>158</v>
      </c>
      <c r="F101" s="81">
        <f>G101+H101+I101+J101+K101</f>
        <v>5800000</v>
      </c>
      <c r="G101" s="81"/>
      <c r="H101" s="81"/>
      <c r="I101" s="81"/>
      <c r="J101" s="121"/>
      <c r="K101" s="121">
        <v>5800000</v>
      </c>
      <c r="L101" s="265"/>
      <c r="M101" s="103"/>
    </row>
    <row r="102" spans="1:17" s="105" customFormat="1" ht="278.25" customHeight="1" x14ac:dyDescent="0.3">
      <c r="A102" s="269"/>
      <c r="B102" s="277"/>
      <c r="C102" s="266"/>
      <c r="D102" s="266"/>
      <c r="E102" s="111" t="s">
        <v>395</v>
      </c>
      <c r="F102" s="81">
        <f>G102+H102+I102+J102+K102</f>
        <v>2074155.22</v>
      </c>
      <c r="G102" s="81"/>
      <c r="H102" s="81"/>
      <c r="I102" s="81"/>
      <c r="J102" s="121"/>
      <c r="K102" s="121">
        <f>2082045-7889.78</f>
        <v>2074155.22</v>
      </c>
      <c r="L102" s="266"/>
      <c r="M102" s="103"/>
    </row>
    <row r="103" spans="1:17" s="105" customFormat="1" ht="134.25" customHeight="1" x14ac:dyDescent="0.3">
      <c r="A103" s="109" t="s">
        <v>390</v>
      </c>
      <c r="B103" s="112" t="s">
        <v>397</v>
      </c>
      <c r="C103" s="101" t="s">
        <v>204</v>
      </c>
      <c r="D103" s="101">
        <v>2025</v>
      </c>
      <c r="E103" s="101" t="s">
        <v>158</v>
      </c>
      <c r="F103" s="102">
        <f t="shared" ref="F103:F104" si="8">G103+H103+I103+J103+K103</f>
        <v>197300</v>
      </c>
      <c r="G103" s="102"/>
      <c r="H103" s="102"/>
      <c r="I103" s="102"/>
      <c r="J103" s="116"/>
      <c r="K103" s="116">
        <v>197300</v>
      </c>
      <c r="L103" s="101" t="s">
        <v>188</v>
      </c>
      <c r="M103" s="103"/>
    </row>
    <row r="104" spans="1:17" s="105" customFormat="1" ht="129.75" customHeight="1" x14ac:dyDescent="0.3">
      <c r="A104" s="109" t="s">
        <v>391</v>
      </c>
      <c r="B104" s="112" t="s">
        <v>398</v>
      </c>
      <c r="C104" s="101" t="s">
        <v>204</v>
      </c>
      <c r="D104" s="101">
        <v>2025</v>
      </c>
      <c r="E104" s="101" t="s">
        <v>158</v>
      </c>
      <c r="F104" s="102">
        <f t="shared" si="8"/>
        <v>90000</v>
      </c>
      <c r="G104" s="102"/>
      <c r="H104" s="102"/>
      <c r="I104" s="102"/>
      <c r="J104" s="116"/>
      <c r="K104" s="116">
        <v>90000</v>
      </c>
      <c r="L104" s="101" t="s">
        <v>172</v>
      </c>
      <c r="M104" s="103"/>
    </row>
    <row r="105" spans="1:17" ht="22.5" customHeight="1" x14ac:dyDescent="0.3">
      <c r="A105" s="270" t="s">
        <v>176</v>
      </c>
      <c r="B105" s="270"/>
      <c r="C105" s="270"/>
      <c r="D105" s="270"/>
      <c r="E105" s="270"/>
      <c r="F105" s="270"/>
      <c r="G105" s="270"/>
      <c r="H105" s="270"/>
      <c r="I105" s="270"/>
      <c r="J105" s="270"/>
      <c r="K105" s="270"/>
      <c r="L105" s="270"/>
    </row>
    <row r="106" spans="1:17" s="105" customFormat="1" ht="250.5" customHeight="1" x14ac:dyDescent="0.3">
      <c r="A106" s="100" t="s">
        <v>146</v>
      </c>
      <c r="B106" s="85" t="s">
        <v>372</v>
      </c>
      <c r="C106" s="101" t="s">
        <v>256</v>
      </c>
      <c r="D106" s="101" t="s">
        <v>160</v>
      </c>
      <c r="E106" s="101" t="s">
        <v>158</v>
      </c>
      <c r="F106" s="102">
        <f>G106+H106+I106+J106+K106</f>
        <v>754995.56</v>
      </c>
      <c r="G106" s="102">
        <v>299995.56</v>
      </c>
      <c r="H106" s="122"/>
      <c r="I106" s="102">
        <v>255000</v>
      </c>
      <c r="J106" s="101"/>
      <c r="K106" s="102">
        <f>200000</f>
        <v>200000</v>
      </c>
      <c r="L106" s="101" t="s">
        <v>251</v>
      </c>
      <c r="M106" s="103"/>
      <c r="N106" s="123"/>
      <c r="Q106" s="104"/>
    </row>
    <row r="107" spans="1:17" s="123" customFormat="1" ht="16.8" x14ac:dyDescent="0.3">
      <c r="A107" s="124"/>
      <c r="B107" s="270" t="s">
        <v>137</v>
      </c>
      <c r="C107" s="270"/>
      <c r="D107" s="270"/>
      <c r="E107" s="270"/>
      <c r="F107" s="125">
        <f>G107+H107+I107+J107+K107</f>
        <v>284584370.36000001</v>
      </c>
      <c r="G107" s="125">
        <f>G12+G44+G53+G54+G55+G56+G57+G70+G71+G72+G73+G74+G75+G76+G77+G78+G79++G83+G84+G106+G85+G86+G87+G88+G89+G90+G91</f>
        <v>51459018.660000004</v>
      </c>
      <c r="H107" s="125">
        <f>H12+H44+H53+H54+H55+H56+H57+H70+H71+H72+H73+H74+H75+H76+H77+H78+H79++H83+H84+H106+H85+H86+H87+H88+H89+H90+H91</f>
        <v>36303779.049999997</v>
      </c>
      <c r="I107" s="125">
        <f>I12+I44+I53+I54+I55+I56+I57+I70+I71+I72+I73+I74+I75+I76+I77+I78+I79++I83+I84+I106+I85+I86+I87+I88+I89+I90+I91</f>
        <v>55516310.990000002</v>
      </c>
      <c r="J107" s="125">
        <f>J12+J44+J53+J54+J55+J56+J57+J70+J71+J72+J73+J74+J75+J76+J77+J78+J79++J83+J84+J106+J85+J86+J87+J88+J89+J90+J92+J91+J93+J94+J95+J96+J98+J97</f>
        <v>58347656.439999998</v>
      </c>
      <c r="K107" s="125">
        <f>K12+K44+K53+K54+K55+K56+K57+K70+K71+K72+K73+K74+K75+K76+K77+K78+K79++K83+K84+K106+K85+K86+K87+K88+K89+K90+K92+K91+K93+K94+K95+K96+K98+K97+K99+K100+K103+K104</f>
        <v>82957605.219999999</v>
      </c>
      <c r="L107" s="126"/>
      <c r="M107" s="127"/>
    </row>
    <row r="108" spans="1:17" s="133" customFormat="1" ht="18" x14ac:dyDescent="0.35">
      <c r="A108" s="128" t="s">
        <v>367</v>
      </c>
      <c r="B108" s="129"/>
      <c r="C108" s="129"/>
      <c r="D108" s="129"/>
      <c r="E108" s="129"/>
      <c r="F108" s="130"/>
      <c r="G108" s="130"/>
      <c r="H108" s="131"/>
      <c r="I108" s="132"/>
      <c r="J108" s="132"/>
      <c r="K108" s="132"/>
      <c r="M108" s="134"/>
    </row>
    <row r="109" spans="1:17" s="133" customFormat="1" ht="6.75" customHeight="1" x14ac:dyDescent="0.35">
      <c r="A109" s="128"/>
      <c r="B109" s="129"/>
      <c r="C109" s="129"/>
      <c r="D109" s="129"/>
      <c r="E109" s="129"/>
      <c r="F109" s="130"/>
      <c r="G109" s="130"/>
      <c r="H109" s="131"/>
      <c r="I109" s="132"/>
      <c r="J109" s="132"/>
      <c r="K109" s="132"/>
      <c r="M109" s="134"/>
    </row>
    <row r="110" spans="1:17" s="135" customFormat="1" ht="21" x14ac:dyDescent="0.4">
      <c r="B110" s="136" t="s">
        <v>279</v>
      </c>
      <c r="C110" s="136"/>
      <c r="D110" s="136"/>
      <c r="E110" s="136"/>
      <c r="F110" s="136"/>
      <c r="G110" s="136"/>
      <c r="H110" s="136"/>
      <c r="M110" s="137"/>
    </row>
    <row r="111" spans="1:17" s="88" customFormat="1" ht="15.6" x14ac:dyDescent="0.3">
      <c r="A111" s="138"/>
      <c r="M111" s="139"/>
    </row>
    <row r="113" spans="1:13" x14ac:dyDescent="0.3">
      <c r="G113" s="140"/>
      <c r="H113" s="140"/>
      <c r="I113" s="92"/>
    </row>
    <row r="114" spans="1:13" x14ac:dyDescent="0.3">
      <c r="F114" s="140"/>
      <c r="G114" s="140"/>
      <c r="H114" s="140"/>
      <c r="I114" s="140"/>
      <c r="J114" s="140"/>
      <c r="K114" s="140"/>
    </row>
    <row r="115" spans="1:13" s="133" customFormat="1" ht="18" x14ac:dyDescent="0.35">
      <c r="A115" s="141"/>
      <c r="F115" s="134"/>
      <c r="G115" s="134"/>
      <c r="H115" s="134"/>
      <c r="I115" s="134"/>
      <c r="J115" s="134"/>
      <c r="K115" s="134"/>
      <c r="M115" s="134"/>
    </row>
    <row r="116" spans="1:13" x14ac:dyDescent="0.3">
      <c r="F116" s="92"/>
      <c r="G116" s="92"/>
      <c r="H116" s="92"/>
      <c r="I116" s="92"/>
    </row>
    <row r="117" spans="1:13" ht="18" x14ac:dyDescent="0.35">
      <c r="F117" s="92"/>
      <c r="G117" s="142"/>
      <c r="H117" s="140"/>
      <c r="J117" s="140"/>
    </row>
    <row r="118" spans="1:13" x14ac:dyDescent="0.3">
      <c r="F118" s="92"/>
      <c r="K118" s="140"/>
    </row>
    <row r="119" spans="1:13" x14ac:dyDescent="0.3">
      <c r="K119" s="140"/>
    </row>
    <row r="122" spans="1:13" ht="18" x14ac:dyDescent="0.35">
      <c r="C122" s="133"/>
      <c r="D122" s="133"/>
      <c r="E122" s="133"/>
      <c r="F122" s="143"/>
      <c r="G122" s="133"/>
      <c r="H122" s="133"/>
    </row>
    <row r="123" spans="1:13" ht="18" x14ac:dyDescent="0.35">
      <c r="C123" s="133"/>
      <c r="D123" s="133"/>
      <c r="E123" s="133"/>
      <c r="F123" s="133"/>
      <c r="G123" s="133"/>
      <c r="H123" s="133"/>
    </row>
    <row r="124" spans="1:13" ht="18" x14ac:dyDescent="0.35">
      <c r="C124" s="142"/>
      <c r="D124" s="133"/>
      <c r="E124" s="144"/>
      <c r="F124" s="133"/>
      <c r="G124" s="133"/>
      <c r="H124" s="133"/>
    </row>
    <row r="125" spans="1:13" ht="18" x14ac:dyDescent="0.35">
      <c r="C125" s="133"/>
      <c r="D125" s="133"/>
      <c r="E125" s="144"/>
      <c r="F125" s="133"/>
      <c r="G125" s="133"/>
      <c r="H125" s="133"/>
    </row>
    <row r="126" spans="1:13" ht="18" x14ac:dyDescent="0.35">
      <c r="C126" s="133"/>
      <c r="D126" s="133"/>
      <c r="E126" s="144"/>
      <c r="F126" s="133"/>
      <c r="G126" s="133"/>
      <c r="H126" s="133"/>
      <c r="I126" s="92"/>
      <c r="L126" s="140"/>
    </row>
    <row r="127" spans="1:13" ht="18" x14ac:dyDescent="0.35">
      <c r="C127" s="133"/>
      <c r="D127" s="133"/>
      <c r="E127" s="144"/>
      <c r="F127" s="133"/>
      <c r="G127" s="133"/>
      <c r="H127" s="133"/>
      <c r="I127" s="92"/>
    </row>
    <row r="128" spans="1:13" ht="18" x14ac:dyDescent="0.35">
      <c r="C128" s="133"/>
      <c r="D128" s="133"/>
      <c r="E128" s="144"/>
      <c r="F128" s="133"/>
      <c r="G128" s="133"/>
      <c r="H128" s="133"/>
      <c r="I128" s="92"/>
    </row>
    <row r="129" spans="3:9" ht="18" x14ac:dyDescent="0.35">
      <c r="C129" s="133"/>
      <c r="D129" s="133"/>
      <c r="E129" s="144"/>
      <c r="F129" s="133"/>
      <c r="G129" s="133"/>
      <c r="H129" s="133"/>
    </row>
    <row r="130" spans="3:9" ht="18" x14ac:dyDescent="0.35">
      <c r="C130" s="133"/>
      <c r="D130" s="133"/>
      <c r="E130" s="133"/>
      <c r="F130" s="142"/>
      <c r="G130" s="133"/>
      <c r="H130" s="133"/>
    </row>
    <row r="131" spans="3:9" ht="18" x14ac:dyDescent="0.35">
      <c r="C131" s="133"/>
      <c r="D131" s="133"/>
      <c r="E131" s="133"/>
      <c r="F131" s="133"/>
      <c r="G131" s="133"/>
      <c r="H131" s="133"/>
      <c r="I131" s="140"/>
    </row>
    <row r="132" spans="3:9" ht="18" x14ac:dyDescent="0.35">
      <c r="C132" s="133"/>
      <c r="D132" s="133"/>
      <c r="E132" s="133"/>
      <c r="F132" s="142"/>
      <c r="H132" s="133"/>
    </row>
    <row r="133" spans="3:9" ht="18" x14ac:dyDescent="0.35">
      <c r="C133" s="133"/>
      <c r="D133" s="133"/>
      <c r="E133" s="133"/>
      <c r="F133" s="133"/>
      <c r="G133" s="133"/>
      <c r="H133" s="133"/>
    </row>
    <row r="151" spans="6:9" ht="23.4" x14ac:dyDescent="0.45">
      <c r="F151" s="145"/>
      <c r="G151" s="145"/>
      <c r="H151" s="145"/>
    </row>
    <row r="152" spans="6:9" ht="23.4" x14ac:dyDescent="0.45">
      <c r="F152" s="145"/>
      <c r="G152" s="145"/>
      <c r="H152" s="146"/>
    </row>
    <row r="153" spans="6:9" ht="23.4" x14ac:dyDescent="0.45">
      <c r="F153" s="145"/>
      <c r="G153" s="145"/>
      <c r="H153" s="145"/>
      <c r="I153" s="140"/>
    </row>
    <row r="154" spans="6:9" ht="23.4" x14ac:dyDescent="0.45">
      <c r="F154" s="145"/>
      <c r="G154" s="145"/>
      <c r="H154" s="145"/>
      <c r="I154" s="140"/>
    </row>
    <row r="155" spans="6:9" ht="23.4" x14ac:dyDescent="0.45">
      <c r="F155" s="145"/>
      <c r="G155" s="145"/>
      <c r="H155" s="145"/>
    </row>
    <row r="156" spans="6:9" ht="23.4" x14ac:dyDescent="0.45">
      <c r="F156" s="145"/>
      <c r="G156" s="145"/>
      <c r="H156" s="145"/>
      <c r="I156" s="140"/>
    </row>
    <row r="157" spans="6:9" ht="23.4" x14ac:dyDescent="0.45">
      <c r="F157" s="145"/>
      <c r="G157" s="145"/>
      <c r="H157" s="145"/>
    </row>
    <row r="158" spans="6:9" ht="23.4" x14ac:dyDescent="0.45">
      <c r="F158" s="145"/>
      <c r="G158" s="145"/>
      <c r="H158" s="145"/>
    </row>
    <row r="159" spans="6:9" ht="23.4" x14ac:dyDescent="0.45">
      <c r="F159" s="145"/>
      <c r="G159" s="271"/>
      <c r="H159" s="271"/>
    </row>
    <row r="160" spans="6:9" ht="23.4" x14ac:dyDescent="0.45">
      <c r="F160" s="145"/>
      <c r="G160" s="145"/>
      <c r="H160" s="145"/>
    </row>
  </sheetData>
  <mergeCells count="42">
    <mergeCell ref="A21:A22"/>
    <mergeCell ref="C21:C22"/>
    <mergeCell ref="E21:E22"/>
    <mergeCell ref="A11:L11"/>
    <mergeCell ref="A5:L5"/>
    <mergeCell ref="A7:A9"/>
    <mergeCell ref="B7:B9"/>
    <mergeCell ref="C7:C9"/>
    <mergeCell ref="D7:D9"/>
    <mergeCell ref="E7:E9"/>
    <mergeCell ref="F7:K7"/>
    <mergeCell ref="L7:L9"/>
    <mergeCell ref="F8:F9"/>
    <mergeCell ref="G8:K8"/>
    <mergeCell ref="A105:L105"/>
    <mergeCell ref="B107:E107"/>
    <mergeCell ref="G159:H159"/>
    <mergeCell ref="A53:A54"/>
    <mergeCell ref="B53:B54"/>
    <mergeCell ref="D53:D54"/>
    <mergeCell ref="E53:E54"/>
    <mergeCell ref="L53:L54"/>
    <mergeCell ref="L79:L82"/>
    <mergeCell ref="A69:L69"/>
    <mergeCell ref="A100:A102"/>
    <mergeCell ref="B100:B102"/>
    <mergeCell ref="C100:C102"/>
    <mergeCell ref="D100:D102"/>
    <mergeCell ref="L100:L102"/>
    <mergeCell ref="A33:A35"/>
    <mergeCell ref="C33:C35"/>
    <mergeCell ref="D33:D35"/>
    <mergeCell ref="E33:E35"/>
    <mergeCell ref="L33:L35"/>
    <mergeCell ref="C50:C52"/>
    <mergeCell ref="D50:D52"/>
    <mergeCell ref="E50:E52"/>
    <mergeCell ref="L50:L52"/>
    <mergeCell ref="C27:C32"/>
    <mergeCell ref="D27:D32"/>
    <mergeCell ref="E27:E32"/>
    <mergeCell ref="L27:L32"/>
  </mergeCells>
  <pageMargins left="0.9055118110236221" right="0.51181102362204722" top="0.6692913385826772" bottom="0.39370078740157483" header="0.31496062992125984" footer="0.31496062992125984"/>
  <pageSetup paperSize="9" scale="38" fitToWidth="10" fitToHeight="10" orientation="landscape" r:id="rId1"/>
  <headerFooter differentFirst="1">
    <oddHeader>&amp;C&amp;P</oddHeader>
  </headerFooter>
  <rowBreaks count="1" manualBreakCount="1">
    <brk id="6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2025-09-12T12:08:26Z</cp:lastPrinted>
  <dcterms:created xsi:type="dcterms:W3CDTF">2013-02-08T07:02:54Z</dcterms:created>
  <dcterms:modified xsi:type="dcterms:W3CDTF">2025-09-22T06:22:50Z</dcterms:modified>
</cp:coreProperties>
</file>