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На сайт доопр\"/>
    </mc:Choice>
  </mc:AlternateContent>
  <bookViews>
    <workbookView xWindow="-108" yWindow="-108" windowWidth="23256" windowHeight="12576" firstSheet="1" activeTab="1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19" l="1"/>
  <c r="F152" i="19"/>
  <c r="H39" i="19" l="1"/>
  <c r="I39" i="19"/>
  <c r="G132" i="19"/>
  <c r="F132" i="19"/>
  <c r="G127" i="19"/>
  <c r="F127" i="19"/>
  <c r="G123" i="19"/>
  <c r="F123" i="19"/>
  <c r="G112" i="19"/>
  <c r="F112" i="19"/>
  <c r="G102" i="19"/>
  <c r="F102" i="19"/>
  <c r="G101" i="19"/>
  <c r="F101" i="19"/>
  <c r="G99" i="19"/>
  <c r="F99" i="19"/>
  <c r="G98" i="19"/>
  <c r="F98" i="19"/>
  <c r="G97" i="19"/>
  <c r="F97" i="19"/>
  <c r="G96" i="19"/>
  <c r="F96" i="19"/>
  <c r="G95" i="19"/>
  <c r="F95" i="19"/>
  <c r="G87" i="19"/>
  <c r="F87" i="19"/>
  <c r="G61" i="19"/>
  <c r="G60" i="19" s="1"/>
  <c r="F61" i="19"/>
  <c r="F60" i="19" s="1"/>
  <c r="F58" i="19"/>
  <c r="G58" i="19"/>
  <c r="G56" i="19"/>
  <c r="F56" i="19"/>
  <c r="G55" i="19"/>
  <c r="G51" i="19"/>
  <c r="G50" i="19"/>
  <c r="G49" i="19"/>
  <c r="G48" i="19"/>
  <c r="G47" i="19"/>
  <c r="G28" i="19"/>
  <c r="G25" i="19"/>
  <c r="F55" i="19"/>
  <c r="F50" i="19"/>
  <c r="F47" i="19"/>
  <c r="F48" i="19"/>
  <c r="F49" i="19"/>
  <c r="F51" i="19"/>
  <c r="F28" i="19"/>
  <c r="F25" i="19"/>
  <c r="G31" i="19" l="1"/>
  <c r="F31" i="19"/>
  <c r="G136" i="19" l="1"/>
  <c r="F136" i="19"/>
  <c r="G65" i="19"/>
  <c r="F65" i="19"/>
  <c r="G57" i="19"/>
  <c r="F57" i="19"/>
  <c r="G42" i="19"/>
  <c r="F42" i="19"/>
  <c r="G36" i="19"/>
  <c r="F36" i="19"/>
  <c r="G66" i="19" l="1"/>
  <c r="F66" i="19" l="1"/>
  <c r="G143" i="19" l="1"/>
  <c r="H143" i="19"/>
  <c r="I143" i="19"/>
  <c r="F143" i="19"/>
  <c r="F140" i="19" l="1"/>
  <c r="H140" i="19"/>
  <c r="I140" i="19"/>
  <c r="G140" i="19"/>
  <c r="G139" i="19"/>
  <c r="F139" i="19"/>
  <c r="G64" i="19"/>
  <c r="F64" i="19"/>
  <c r="G26" i="19"/>
  <c r="F26" i="19"/>
  <c r="H114" i="19" l="1"/>
  <c r="I114" i="19"/>
  <c r="F114" i="19"/>
  <c r="G106" i="19"/>
  <c r="F106" i="19"/>
  <c r="H86" i="19"/>
  <c r="I86" i="19"/>
  <c r="H75" i="19" l="1"/>
  <c r="I75" i="19"/>
  <c r="G71" i="19"/>
  <c r="H71" i="19"/>
  <c r="I71" i="19"/>
  <c r="F71" i="19"/>
  <c r="H18" i="19" l="1"/>
  <c r="H16" i="19" s="1"/>
  <c r="I18" i="19"/>
  <c r="I16" i="19" s="1"/>
  <c r="G130" i="19" l="1"/>
  <c r="G105" i="19" l="1"/>
  <c r="F105" i="19"/>
  <c r="G109" i="19"/>
  <c r="F109" i="19"/>
  <c r="G104" i="19"/>
  <c r="F104" i="19"/>
  <c r="G108" i="19"/>
  <c r="F108" i="19"/>
  <c r="G107" i="19"/>
  <c r="F107" i="19"/>
  <c r="G110" i="19"/>
  <c r="F110" i="19"/>
  <c r="G115" i="19" l="1"/>
  <c r="G114" i="19" s="1"/>
  <c r="I130" i="19"/>
  <c r="G34" i="19" l="1"/>
  <c r="G32" i="19" s="1"/>
  <c r="G153" i="19" l="1"/>
  <c r="G151" i="19" s="1"/>
  <c r="F153" i="19"/>
  <c r="F151" i="19" s="1"/>
  <c r="H128" i="19"/>
  <c r="H85" i="19" s="1"/>
  <c r="I128" i="19"/>
  <c r="I85" i="19" s="1"/>
  <c r="G126" i="19"/>
  <c r="G125" i="19" s="1"/>
  <c r="F126" i="19"/>
  <c r="F125" i="19" s="1"/>
  <c r="G122" i="19"/>
  <c r="G118" i="19" s="1"/>
  <c r="F122" i="19"/>
  <c r="F118" i="19" s="1"/>
  <c r="G94" i="19"/>
  <c r="G86" i="19" s="1"/>
  <c r="F94" i="19"/>
  <c r="F86" i="19" s="1"/>
  <c r="G76" i="19"/>
  <c r="G75" i="19" s="1"/>
  <c r="F76" i="19"/>
  <c r="F75" i="19" s="1"/>
  <c r="G67" i="19" l="1"/>
  <c r="F67" i="19"/>
  <c r="G40" i="19"/>
  <c r="F40" i="19"/>
  <c r="F34" i="19"/>
  <c r="F32" i="19" s="1"/>
  <c r="G30" i="19"/>
  <c r="F30" i="19"/>
  <c r="G24" i="19"/>
  <c r="F24" i="19"/>
  <c r="G19" i="19" l="1"/>
  <c r="G18" i="19" s="1"/>
  <c r="F19" i="19"/>
  <c r="F18" i="19" s="1"/>
  <c r="G129" i="19" l="1"/>
  <c r="G128" i="19" s="1"/>
  <c r="F129" i="19"/>
  <c r="F128" i="19" s="1"/>
  <c r="G69" i="19"/>
  <c r="F69" i="19"/>
  <c r="G46" i="19"/>
  <c r="G45" i="19" s="1"/>
  <c r="F46" i="19"/>
  <c r="F45" i="19" s="1"/>
  <c r="F39" i="19" l="1"/>
  <c r="H135" i="19"/>
  <c r="I135" i="19"/>
  <c r="G133" i="19"/>
  <c r="F133" i="19"/>
  <c r="I82" i="19"/>
  <c r="I81" i="19" s="1"/>
  <c r="H82" i="19"/>
  <c r="H81" i="19" s="1"/>
  <c r="G82" i="19"/>
  <c r="G81" i="19" s="1"/>
  <c r="F82" i="19"/>
  <c r="F81" i="19" s="1"/>
  <c r="I74" i="19"/>
  <c r="H74" i="19"/>
  <c r="G74" i="19"/>
  <c r="F74" i="19"/>
  <c r="H70" i="19"/>
  <c r="I70" i="19"/>
  <c r="G70" i="19"/>
  <c r="F70" i="19"/>
  <c r="F63" i="19"/>
  <c r="G37" i="19"/>
  <c r="G16" i="19" s="1"/>
  <c r="F37" i="19"/>
  <c r="F16" i="19" s="1"/>
  <c r="G147" i="19" l="1"/>
  <c r="H149" i="19" l="1"/>
  <c r="H148" i="19" s="1"/>
  <c r="I149" i="19"/>
  <c r="I148" i="19" s="1"/>
  <c r="G149" i="19"/>
  <c r="H134" i="19"/>
  <c r="I134" i="19"/>
  <c r="F149" i="19" l="1"/>
  <c r="F148" i="19" s="1"/>
  <c r="G148" i="19"/>
  <c r="G135" i="19"/>
  <c r="G134" i="19" s="1"/>
  <c r="F135" i="19"/>
  <c r="F134" i="19" s="1"/>
  <c r="G111" i="19"/>
  <c r="G103" i="19" s="1"/>
  <c r="F111" i="19"/>
  <c r="F103" i="19" s="1"/>
  <c r="I84" i="19"/>
  <c r="H84" i="19"/>
  <c r="G63" i="19"/>
  <c r="G39" i="19" s="1"/>
  <c r="G85" i="19" l="1"/>
  <c r="G84" i="19" s="1"/>
  <c r="G38" i="19"/>
  <c r="F85" i="19" l="1"/>
  <c r="F84" i="19" s="1"/>
  <c r="F38" i="19"/>
  <c r="H38" i="19"/>
  <c r="I38" i="19"/>
  <c r="G15" i="19"/>
  <c r="G156" i="19" s="1"/>
  <c r="I15" i="19" l="1"/>
  <c r="I156" i="19" s="1"/>
  <c r="H15" i="19"/>
  <c r="H156" i="19" s="1"/>
  <c r="F15" i="19" l="1"/>
  <c r="F156" i="19" l="1"/>
</calcChain>
</file>

<file path=xl/sharedStrings.xml><?xml version="1.0" encoding="utf-8"?>
<sst xmlns="http://schemas.openxmlformats.org/spreadsheetml/2006/main" count="340" uniqueCount="273">
  <si>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</si>
  <si>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</si>
  <si>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</si>
  <si>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</si>
  <si>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</si>
  <si>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</si>
  <si>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</si>
  <si>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</si>
  <si>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</si>
  <si>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</si>
  <si>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</si>
  <si>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</si>
  <si>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</si>
  <si>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</si>
  <si>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</si>
  <si>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</si>
  <si>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</si>
  <si>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</si>
  <si>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</si>
  <si>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</si>
  <si>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</si>
  <si>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</si>
  <si>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</si>
  <si>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</si>
  <si>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</si>
  <si>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</si>
  <si>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</si>
  <si>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</si>
  <si>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</si>
  <si>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</si>
  <si>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</si>
  <si>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</si>
  <si>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</si>
  <si>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</si>
  <si>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</si>
  <si>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</si>
  <si>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</si>
  <si>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</si>
  <si>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>Розроблення комплексного плану просторового розвитку території Чорноморської міської територіальної громади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</si>
  <si>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</si>
  <si>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</si>
  <si>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</si>
  <si>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</si>
  <si>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</si>
  <si>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</si>
  <si>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</si>
  <si>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</si>
  <si>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</si>
  <si>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</si>
  <si>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</si>
  <si>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</si>
  <si>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</si>
  <si>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</si>
  <si>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</si>
  <si>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</si>
  <si>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</si>
  <si>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</si>
  <si>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</si>
  <si>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</si>
  <si>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</si>
  <si>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</si>
  <si>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</si>
  <si>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</si>
  <si>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</si>
  <si>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</si>
  <si>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</si>
  <si>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</si>
  <si>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</si>
  <si>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</si>
  <si>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</si>
  <si>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</si>
  <si>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</si>
  <si>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</si>
  <si>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</si>
  <si>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</si>
  <si>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</si>
  <si>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</si>
  <si>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</si>
  <si>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</si>
  <si>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</si>
  <si>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</si>
  <si>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</si>
  <si>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</si>
  <si>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</si>
  <si>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</si>
  <si>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</si>
  <si>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</si>
  <si>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</si>
  <si>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</si>
  <si>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</si>
  <si>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</si>
  <si>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</si>
  <si>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</si>
  <si>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</si>
  <si>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</si>
  <si>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</si>
  <si>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</si>
  <si>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</si>
  <si>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</si>
  <si>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</si>
  <si>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</si>
  <si>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</si>
  <si>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</si>
  <si>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</si>
  <si>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</si>
  <si>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</si>
  <si>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</si>
  <si>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</si>
  <si>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</si>
  <si>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</si>
  <si>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</si>
  <si>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</si>
  <si>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</si>
  <si>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</si>
  <si>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</si>
  <si>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</si>
  <si>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</si>
  <si>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</si>
  <si>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</si>
  <si>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</si>
  <si>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</si>
  <si>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</si>
  <si>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</si>
  <si>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</si>
  <si>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</si>
  <si>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</si>
  <si>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</si>
  <si>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</si>
  <si>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</si>
  <si>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</si>
  <si>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</si>
  <si>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</si>
  <si>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</si>
  <si>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</si>
  <si>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</si>
  <si>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</si>
  <si>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</si>
  <si>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</si>
  <si>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</si>
  <si>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</si>
  <si>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</si>
  <si>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</si>
  <si>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</si>
  <si>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</si>
  <si>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</si>
  <si>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</si>
  <si>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</si>
  <si>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</si>
  <si>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</si>
  <si>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</si>
  <si>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</si>
  <si>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</si>
  <si>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</si>
  <si>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</si>
  <si>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</si>
  <si>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</si>
  <si>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</si>
  <si>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</si>
  <si>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</si>
  <si>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</si>
  <si>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</si>
  <si>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</si>
  <si>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</si>
  <si>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</si>
  <si>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</si>
  <si>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</si>
  <si>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</si>
  <si>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</si>
  <si>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</si>
  <si>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</si>
  <si>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</si>
  <si>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</si>
  <si>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</si>
  <si>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</si>
  <si>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</si>
  <si>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</si>
  <si>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</si>
  <si>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</si>
  <si>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</si>
  <si>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</si>
  <si>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</si>
  <si>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</si>
  <si>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</si>
  <si>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</si>
  <si>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</si>
  <si>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</si>
  <si>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</si>
  <si>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</si>
  <si>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</si>
  <si>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</si>
  <si>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</si>
  <si>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</si>
  <si>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</si>
  <si>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</si>
  <si>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</si>
  <si>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</si>
  <si>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 xml:space="preserve">                                                                                        від                   2025  №         - VIII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</si>
  <si>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</si>
  <si>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</si>
  <si>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</si>
  <si>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</si>
  <si>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</si>
  <si>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</si>
  <si>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</si>
  <si>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</si>
  <si>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</si>
  <si>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</si>
  <si>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</si>
  <si>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</si>
  <si>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</si>
  <si>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</si>
  <si>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</si>
  <si>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</si>
  <si>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</si>
  <si>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</si>
  <si>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</si>
  <si>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</si>
  <si>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</si>
  <si>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</si>
  <si>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</si>
  <si>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</si>
  <si>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</si>
  <si>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</si>
  <si>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</si>
  <si>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</si>
  <si>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</si>
  <si>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</si>
  <si>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</si>
  <si>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</si>
  <si>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</si>
  <si>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</si>
  <si>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</si>
  <si>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</si>
  <si>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</si>
  <si>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</si>
  <si>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</si>
  <si>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</si>
  <si>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</si>
  <si>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</si>
  <si>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</si>
  <si>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</si>
  <si>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</si>
  <si>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</si>
  <si>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</si>
  <si>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</si>
  <si>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</si>
  <si>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</si>
  <si>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</si>
  <si>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</si>
  <si>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</si>
  <si>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</si>
  <si>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</si>
  <si>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</si>
  <si>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</si>
  <si>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</si>
  <si>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</si>
  <si>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</si>
  <si>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</si>
  <si>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</si>
  <si>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</si>
  <si>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</si>
  <si>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</si>
  <si>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</si>
  <si>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</si>
  <si>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</si>
  <si>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</si>
  <si>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</si>
  <si>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</si>
  <si>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</si>
  <si>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покрівлі спортивної споруди КДЮСШ (виготовлення проектно-кошторисної документації)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</si>
  <si>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</si>
  <si>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 xml:space="preserve">                                                                                        Додаток 6</t>
  </si>
  <si>
    <t>Придбання та встановлення пандусів в Чорноморському ліцеї 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</si>
</sst>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6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/>
    <cellStyle name="Звичайний" xfId="0" builtinId="0"/>
    <cellStyle name="Обычный 10" xfId="7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11"/>
    <cellStyle name="Обычный 6 3" xfId="13"/>
    <cellStyle name="Обычный 7" xfId="8"/>
    <cellStyle name="Обычный 9" xfId="10"/>
    <cellStyle name="Обычный 9 2" xfId="12"/>
    <cellStyle name="Обычный_дод 3" xfId="6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tabSelected="1" view="pageBreakPreview" topLeftCell="A151" zoomScale="70" zoomScaleNormal="100" zoomScaleSheetLayoutView="70" workbookViewId="0">
      <selection activeCell="P155" sqref="P155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70" style="6" customWidth="1"/>
    <col min="6" max="6" width="25.21875" style="5" customWidth="1"/>
    <col min="7" max="9" width="25.21875" style="41" hidden="1" customWidth="1"/>
    <col min="10" max="16384" width="9.109375" style="5"/>
  </cols>
  <sheetData>
    <row r="1" spans="1:9">
      <c r="E1" s="16" t="s">
        <v>271</v>
      </c>
    </row>
    <row r="2" spans="1:9">
      <c r="E2" s="16" t="s">
        <v>14</v>
      </c>
    </row>
    <row r="3" spans="1:9">
      <c r="E3" s="16" t="s">
        <v>196</v>
      </c>
    </row>
    <row r="5" spans="1:9">
      <c r="E5" s="16" t="s">
        <v>39</v>
      </c>
      <c r="F5" s="16"/>
    </row>
    <row r="6" spans="1:9">
      <c r="E6" s="16" t="s">
        <v>14</v>
      </c>
      <c r="F6" s="16"/>
    </row>
    <row r="7" spans="1:9">
      <c r="E7" s="16" t="s">
        <v>40</v>
      </c>
      <c r="F7" s="16"/>
    </row>
    <row r="8" spans="1:9">
      <c r="A8" s="79">
        <v>1558900000</v>
      </c>
      <c r="B8" s="79"/>
    </row>
    <row r="9" spans="1:9">
      <c r="A9" s="80" t="s">
        <v>6</v>
      </c>
      <c r="B9" s="80"/>
      <c r="D9" s="12"/>
    </row>
    <row r="10" spans="1:9" s="3" customFormat="1" ht="45" customHeight="1">
      <c r="A10" s="81" t="s">
        <v>20</v>
      </c>
      <c r="B10" s="81"/>
      <c r="C10" s="81"/>
      <c r="D10" s="81"/>
      <c r="E10" s="81"/>
      <c r="F10" s="81"/>
      <c r="G10" s="81"/>
      <c r="H10" s="81"/>
      <c r="I10" s="81"/>
    </row>
    <row r="11" spans="1:9" s="3" customFormat="1" ht="21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82" t="s">
        <v>3</v>
      </c>
      <c r="B12" s="82" t="s">
        <v>4</v>
      </c>
      <c r="C12" s="82" t="s">
        <v>1</v>
      </c>
      <c r="D12" s="82" t="s">
        <v>5</v>
      </c>
      <c r="E12" s="82" t="s">
        <v>13</v>
      </c>
      <c r="F12" s="82" t="s">
        <v>15</v>
      </c>
      <c r="G12" s="85" t="s">
        <v>10</v>
      </c>
      <c r="H12" s="85"/>
      <c r="I12" s="85"/>
    </row>
    <row r="13" spans="1:9" s="16" customFormat="1" ht="99.6" customHeight="1">
      <c r="A13" s="83"/>
      <c r="B13" s="83"/>
      <c r="C13" s="83"/>
      <c r="D13" s="84"/>
      <c r="E13" s="84"/>
      <c r="F13" s="84"/>
      <c r="G13" s="43" t="s">
        <v>11</v>
      </c>
      <c r="H13" s="43" t="s">
        <v>12</v>
      </c>
      <c r="I13" s="43" t="s">
        <v>109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3" t="s">
        <v>9</v>
      </c>
      <c r="E15" s="74"/>
      <c r="F15" s="20">
        <f t="shared" ref="F15:I15" si="0">F16</f>
        <v>19845050</v>
      </c>
      <c r="G15" s="45">
        <f>G16</f>
        <v>19845050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3" t="s">
        <v>9</v>
      </c>
      <c r="E16" s="74"/>
      <c r="F16" s="20">
        <f>F17+F18+F23+F24+F29+F30+F31+F32+F36+F37</f>
        <v>19845050</v>
      </c>
      <c r="G16" s="20">
        <f>G17+G18+G23+G24+G29+G30+G31+G32+G36+G37</f>
        <v>19845050</v>
      </c>
      <c r="H16" s="20">
        <f t="shared" ref="H16:I16" si="1">H18+H23+H24+H29+H30+H31+H32+H36+H37</f>
        <v>0</v>
      </c>
      <c r="I16" s="20">
        <f t="shared" si="1"/>
        <v>0</v>
      </c>
    </row>
    <row r="17" spans="1:9" s="31" customFormat="1" ht="126">
      <c r="A17" s="18" t="s">
        <v>265</v>
      </c>
      <c r="B17" s="18" t="s">
        <v>167</v>
      </c>
      <c r="C17" s="18" t="s">
        <v>162</v>
      </c>
      <c r="D17" s="32" t="s">
        <v>168</v>
      </c>
      <c r="E17" s="27" t="s">
        <v>266</v>
      </c>
      <c r="F17" s="24">
        <v>52000</v>
      </c>
      <c r="G17" s="24">
        <v>52000</v>
      </c>
      <c r="H17" s="24"/>
      <c r="I17" s="24"/>
    </row>
    <row r="18" spans="1:9" s="31" customFormat="1" ht="36">
      <c r="A18" s="18" t="s">
        <v>41</v>
      </c>
      <c r="B18" s="18" t="s">
        <v>42</v>
      </c>
      <c r="C18" s="18" t="s">
        <v>43</v>
      </c>
      <c r="D18" s="32" t="s">
        <v>44</v>
      </c>
      <c r="E18" s="27" t="s">
        <v>25</v>
      </c>
      <c r="F18" s="24">
        <f>F19+F20+F21+F22</f>
        <v>11288410</v>
      </c>
      <c r="G18" s="24">
        <f>G19+G20+G21+G22</f>
        <v>11288410</v>
      </c>
      <c r="H18" s="24">
        <f t="shared" ref="H18:I18" si="2">H19+H20+H21</f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181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2">
      <c r="A20" s="18"/>
      <c r="B20" s="18"/>
      <c r="C20" s="18"/>
      <c r="D20" s="32"/>
      <c r="E20" s="32" t="s">
        <v>197</v>
      </c>
      <c r="F20" s="24">
        <v>1822170</v>
      </c>
      <c r="G20" s="46">
        <v>1822170</v>
      </c>
      <c r="H20" s="46"/>
      <c r="I20" s="46"/>
    </row>
    <row r="21" spans="1:9" s="31" customFormat="1" ht="72">
      <c r="A21" s="18"/>
      <c r="B21" s="18"/>
      <c r="C21" s="18"/>
      <c r="D21" s="32"/>
      <c r="E21" s="32" t="s">
        <v>253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267</v>
      </c>
      <c r="F22" s="24">
        <v>1695270</v>
      </c>
      <c r="G22" s="46">
        <v>1695270</v>
      </c>
      <c r="H22" s="46"/>
      <c r="I22" s="46"/>
    </row>
    <row r="23" spans="1:9" s="31" customFormat="1" ht="36">
      <c r="A23" s="18" t="s">
        <v>198</v>
      </c>
      <c r="B23" s="18" t="s">
        <v>199</v>
      </c>
      <c r="C23" s="51" t="s">
        <v>200</v>
      </c>
      <c r="D23" s="23" t="s">
        <v>201</v>
      </c>
      <c r="E23" s="32" t="s">
        <v>250</v>
      </c>
      <c r="F23" s="24">
        <v>962100</v>
      </c>
      <c r="G23" s="46">
        <v>962100</v>
      </c>
      <c r="H23" s="46"/>
      <c r="I23" s="46"/>
    </row>
    <row r="24" spans="1:9" s="31" customFormat="1" ht="72">
      <c r="A24" s="18" t="s">
        <v>45</v>
      </c>
      <c r="B24" s="18" t="s">
        <v>46</v>
      </c>
      <c r="C24" s="18" t="s">
        <v>47</v>
      </c>
      <c r="D24" s="32" t="s">
        <v>48</v>
      </c>
      <c r="E24" s="27" t="s">
        <v>25</v>
      </c>
      <c r="F24" s="24">
        <f>F25+F26+F27+F28</f>
        <v>1108400</v>
      </c>
      <c r="G24" s="24">
        <f>G25+G26+G27+G28</f>
        <v>1108400</v>
      </c>
      <c r="H24" s="46"/>
      <c r="I24" s="46"/>
    </row>
    <row r="25" spans="1:9" s="31" customFormat="1" ht="144">
      <c r="A25" s="18"/>
      <c r="B25" s="18"/>
      <c r="C25" s="18"/>
      <c r="D25" s="32"/>
      <c r="E25" s="32" t="s">
        <v>192</v>
      </c>
      <c r="F25" s="24">
        <f>1426100-707200</f>
        <v>718900</v>
      </c>
      <c r="G25" s="46">
        <f>1426100-707200</f>
        <v>718900</v>
      </c>
      <c r="H25" s="46"/>
      <c r="I25" s="46"/>
    </row>
    <row r="26" spans="1:9" s="31" customFormat="1">
      <c r="A26" s="18"/>
      <c r="B26" s="18"/>
      <c r="C26" s="18"/>
      <c r="D26" s="32"/>
      <c r="E26" s="32" t="s">
        <v>178</v>
      </c>
      <c r="F26" s="24">
        <f>192000+60000</f>
        <v>252000</v>
      </c>
      <c r="G26" s="46">
        <f>192000+60000</f>
        <v>252000</v>
      </c>
      <c r="H26" s="46"/>
      <c r="I26" s="46"/>
    </row>
    <row r="27" spans="1:9" s="31" customFormat="1" ht="72">
      <c r="A27" s="18"/>
      <c r="B27" s="18"/>
      <c r="C27" s="18"/>
      <c r="D27" s="32"/>
      <c r="E27" s="32" t="s">
        <v>193</v>
      </c>
      <c r="F27" s="24">
        <v>100000</v>
      </c>
      <c r="G27" s="46">
        <v>100000</v>
      </c>
      <c r="H27" s="46"/>
      <c r="I27" s="46"/>
    </row>
    <row r="28" spans="1:9" s="31" customFormat="1">
      <c r="A28" s="18"/>
      <c r="B28" s="18"/>
      <c r="C28" s="18"/>
      <c r="D28" s="32"/>
      <c r="E28" s="32" t="s">
        <v>236</v>
      </c>
      <c r="F28" s="24">
        <f>45000-7500</f>
        <v>37500</v>
      </c>
      <c r="G28" s="46">
        <f>45000-7500</f>
        <v>37500</v>
      </c>
      <c r="H28" s="46"/>
      <c r="I28" s="46"/>
    </row>
    <row r="29" spans="1:9" s="31" customFormat="1" ht="126">
      <c r="A29" s="18" t="s">
        <v>237</v>
      </c>
      <c r="B29" s="18" t="s">
        <v>238</v>
      </c>
      <c r="C29" s="26" t="s">
        <v>115</v>
      </c>
      <c r="D29" s="23" t="s">
        <v>239</v>
      </c>
      <c r="E29" s="68" t="s">
        <v>264</v>
      </c>
      <c r="F29" s="24">
        <v>197300</v>
      </c>
      <c r="G29" s="46">
        <v>197300</v>
      </c>
      <c r="H29" s="46"/>
      <c r="I29" s="46"/>
    </row>
    <row r="30" spans="1:9" ht="72">
      <c r="A30" s="18" t="s">
        <v>21</v>
      </c>
      <c r="B30" s="18" t="s">
        <v>22</v>
      </c>
      <c r="C30" s="26" t="s">
        <v>24</v>
      </c>
      <c r="D30" s="23" t="s">
        <v>23</v>
      </c>
      <c r="E30" s="27" t="s">
        <v>49</v>
      </c>
      <c r="F30" s="24">
        <f>340000-56600</f>
        <v>283400</v>
      </c>
      <c r="G30" s="46">
        <f>340000-56600</f>
        <v>283400</v>
      </c>
      <c r="H30" s="46"/>
      <c r="I30" s="46"/>
    </row>
    <row r="31" spans="1:9" ht="54">
      <c r="A31" s="26" t="s">
        <v>184</v>
      </c>
      <c r="B31" s="26" t="s">
        <v>185</v>
      </c>
      <c r="C31" s="26" t="s">
        <v>24</v>
      </c>
      <c r="D31" s="23" t="s">
        <v>186</v>
      </c>
      <c r="E31" s="27" t="s">
        <v>38</v>
      </c>
      <c r="F31" s="24">
        <f>7000000-80000-3000000</f>
        <v>3920000</v>
      </c>
      <c r="G31" s="24">
        <f>7000000-80000-3000000</f>
        <v>3920000</v>
      </c>
      <c r="H31" s="24"/>
      <c r="I31" s="24"/>
    </row>
    <row r="32" spans="1:9" ht="36">
      <c r="A32" s="18" t="s">
        <v>50</v>
      </c>
      <c r="B32" s="18" t="s">
        <v>51</v>
      </c>
      <c r="C32" s="26" t="s">
        <v>53</v>
      </c>
      <c r="D32" s="23" t="s">
        <v>52</v>
      </c>
      <c r="E32" s="27" t="s">
        <v>25</v>
      </c>
      <c r="F32" s="24">
        <f>F33+F34+F35</f>
        <v>954600</v>
      </c>
      <c r="G32" s="24">
        <f>G33+G34+G35</f>
        <v>954600</v>
      </c>
      <c r="H32" s="46"/>
      <c r="I32" s="46"/>
    </row>
    <row r="33" spans="1:9" ht="36">
      <c r="A33" s="18"/>
      <c r="B33" s="18"/>
      <c r="C33" s="26"/>
      <c r="D33" s="23"/>
      <c r="E33" s="27" t="s">
        <v>54</v>
      </c>
      <c r="F33" s="24">
        <v>534000</v>
      </c>
      <c r="G33" s="46">
        <v>534000</v>
      </c>
      <c r="H33" s="46"/>
      <c r="I33" s="46"/>
    </row>
    <row r="34" spans="1:9" ht="36">
      <c r="A34" s="18"/>
      <c r="B34" s="18"/>
      <c r="C34" s="26"/>
      <c r="D34" s="23"/>
      <c r="E34" s="27" t="s">
        <v>141</v>
      </c>
      <c r="F34" s="24">
        <f>191600+40180+159820</f>
        <v>391600</v>
      </c>
      <c r="G34" s="46">
        <f>191600+40180+159820</f>
        <v>391600</v>
      </c>
      <c r="H34" s="46"/>
      <c r="I34" s="46"/>
    </row>
    <row r="35" spans="1:9" ht="36">
      <c r="A35" s="18"/>
      <c r="B35" s="18"/>
      <c r="C35" s="26"/>
      <c r="D35" s="23"/>
      <c r="E35" s="27" t="s">
        <v>240</v>
      </c>
      <c r="F35" s="24">
        <v>29000</v>
      </c>
      <c r="G35" s="46">
        <v>29000</v>
      </c>
      <c r="H35" s="46"/>
      <c r="I35" s="46"/>
    </row>
    <row r="36" spans="1:9" ht="36">
      <c r="A36" s="51" t="s">
        <v>174</v>
      </c>
      <c r="B36" s="51" t="s">
        <v>175</v>
      </c>
      <c r="C36" s="51" t="s">
        <v>62</v>
      </c>
      <c r="D36" s="23" t="s">
        <v>176</v>
      </c>
      <c r="E36" s="27" t="s">
        <v>171</v>
      </c>
      <c r="F36" s="24">
        <f>514000+307000+201140</f>
        <v>1022140</v>
      </c>
      <c r="G36" s="46">
        <f>514000+307000+201140</f>
        <v>1022140</v>
      </c>
      <c r="H36" s="46"/>
      <c r="I36" s="46"/>
    </row>
    <row r="37" spans="1:9" ht="36">
      <c r="A37" s="18" t="s">
        <v>60</v>
      </c>
      <c r="B37" s="18" t="s">
        <v>61</v>
      </c>
      <c r="C37" s="26" t="s">
        <v>62</v>
      </c>
      <c r="D37" s="23" t="s">
        <v>63</v>
      </c>
      <c r="E37" s="27" t="s">
        <v>64</v>
      </c>
      <c r="F37" s="24">
        <f>200500-22800-121000</f>
        <v>56700</v>
      </c>
      <c r="G37" s="46">
        <f>200500-22800-121000</f>
        <v>56700</v>
      </c>
      <c r="H37" s="46"/>
      <c r="I37" s="46"/>
    </row>
    <row r="38" spans="1:9" s="31" customFormat="1" ht="18.75" customHeight="1">
      <c r="A38" s="30" t="s">
        <v>26</v>
      </c>
      <c r="B38" s="30"/>
      <c r="C38" s="30"/>
      <c r="D38" s="73" t="s">
        <v>37</v>
      </c>
      <c r="E38" s="74"/>
      <c r="F38" s="20">
        <f t="shared" ref="F38:I38" si="3">F39</f>
        <v>23722577</v>
      </c>
      <c r="G38" s="45">
        <f>G39</f>
        <v>23722577</v>
      </c>
      <c r="H38" s="45">
        <f t="shared" si="3"/>
        <v>0</v>
      </c>
      <c r="I38" s="45">
        <f t="shared" si="3"/>
        <v>0</v>
      </c>
    </row>
    <row r="39" spans="1:9" s="31" customFormat="1" ht="18.75" customHeight="1">
      <c r="A39" s="30" t="s">
        <v>27</v>
      </c>
      <c r="B39" s="18"/>
      <c r="C39" s="18"/>
      <c r="D39" s="73" t="s">
        <v>37</v>
      </c>
      <c r="E39" s="74"/>
      <c r="F39" s="20">
        <f>F40+F45+F55+F56+F57+F58+F59+F60+F63</f>
        <v>23722577</v>
      </c>
      <c r="G39" s="20">
        <f t="shared" ref="G39:I39" si="4">G40+G45+G55+G56+G57+G58+G59+G60+G63</f>
        <v>23722577</v>
      </c>
      <c r="H39" s="20">
        <f t="shared" si="4"/>
        <v>0</v>
      </c>
      <c r="I39" s="20">
        <f t="shared" si="4"/>
        <v>0</v>
      </c>
    </row>
    <row r="40" spans="1:9">
      <c r="A40" s="18" t="s">
        <v>55</v>
      </c>
      <c r="B40" s="18" t="s">
        <v>56</v>
      </c>
      <c r="C40" s="28" t="s">
        <v>58</v>
      </c>
      <c r="D40" s="23" t="s">
        <v>57</v>
      </c>
      <c r="E40" s="27" t="s">
        <v>25</v>
      </c>
      <c r="F40" s="24">
        <f>F41+F42+F43+F44</f>
        <v>2090037</v>
      </c>
      <c r="G40" s="24">
        <f>G41+G42+G43+G44</f>
        <v>2090037</v>
      </c>
      <c r="H40" s="46"/>
      <c r="I40" s="46"/>
    </row>
    <row r="41" spans="1:9" ht="72">
      <c r="A41" s="18"/>
      <c r="B41" s="18"/>
      <c r="C41" s="28"/>
      <c r="D41" s="23"/>
      <c r="E41" s="29" t="s">
        <v>59</v>
      </c>
      <c r="F41" s="24">
        <v>1073037</v>
      </c>
      <c r="G41" s="46">
        <v>1073037</v>
      </c>
      <c r="H41" s="46"/>
      <c r="I41" s="46"/>
    </row>
    <row r="42" spans="1:9" ht="36">
      <c r="A42" s="18"/>
      <c r="B42" s="18"/>
      <c r="C42" s="28"/>
      <c r="D42" s="23"/>
      <c r="E42" s="27" t="s">
        <v>142</v>
      </c>
      <c r="F42" s="24">
        <f>700000-260000</f>
        <v>440000</v>
      </c>
      <c r="G42" s="46">
        <f>700000-260000</f>
        <v>440000</v>
      </c>
      <c r="H42" s="46"/>
      <c r="I42" s="46"/>
    </row>
    <row r="43" spans="1:9" ht="36">
      <c r="A43" s="18"/>
      <c r="B43" s="18"/>
      <c r="C43" s="28"/>
      <c r="D43" s="23"/>
      <c r="E43" s="27" t="s">
        <v>202</v>
      </c>
      <c r="F43" s="24">
        <v>500000</v>
      </c>
      <c r="G43" s="46">
        <v>500000</v>
      </c>
      <c r="H43" s="46"/>
      <c r="I43" s="46"/>
    </row>
    <row r="44" spans="1:9">
      <c r="A44" s="18"/>
      <c r="B44" s="18"/>
      <c r="C44" s="28"/>
      <c r="D44" s="23"/>
      <c r="E44" s="27" t="s">
        <v>203</v>
      </c>
      <c r="F44" s="24">
        <v>77000</v>
      </c>
      <c r="G44" s="46">
        <v>77000</v>
      </c>
      <c r="H44" s="46"/>
      <c r="I44" s="46"/>
    </row>
    <row r="45" spans="1:9" ht="72">
      <c r="A45" s="18" t="s">
        <v>28</v>
      </c>
      <c r="B45" s="18" t="s">
        <v>29</v>
      </c>
      <c r="C45" s="28" t="s">
        <v>30</v>
      </c>
      <c r="D45" s="23" t="s">
        <v>31</v>
      </c>
      <c r="E45" s="27" t="s">
        <v>25</v>
      </c>
      <c r="F45" s="24">
        <f>SUM(F46:F54)</f>
        <v>5719174</v>
      </c>
      <c r="G45" s="24">
        <f>SUM(G46:G54)</f>
        <v>5719174</v>
      </c>
      <c r="H45" s="46"/>
      <c r="I45" s="46"/>
    </row>
    <row r="46" spans="1:9" ht="90">
      <c r="A46" s="18"/>
      <c r="B46" s="18"/>
      <c r="C46" s="28"/>
      <c r="D46" s="23"/>
      <c r="E46" s="27" t="s">
        <v>260</v>
      </c>
      <c r="F46" s="24">
        <f>526625</f>
        <v>526625</v>
      </c>
      <c r="G46" s="24">
        <f>526625</f>
        <v>526625</v>
      </c>
      <c r="H46" s="24"/>
      <c r="I46" s="24"/>
    </row>
    <row r="47" spans="1:9" ht="90">
      <c r="A47" s="18"/>
      <c r="B47" s="18"/>
      <c r="C47" s="28"/>
      <c r="D47" s="23"/>
      <c r="E47" s="27" t="s">
        <v>251</v>
      </c>
      <c r="F47" s="24">
        <f>2700000-5960</f>
        <v>2694040</v>
      </c>
      <c r="G47" s="46">
        <f>2700000-5960</f>
        <v>2694040</v>
      </c>
      <c r="H47" s="46"/>
      <c r="I47" s="46"/>
    </row>
    <row r="48" spans="1:9" ht="36">
      <c r="A48" s="18"/>
      <c r="B48" s="18"/>
      <c r="C48" s="28"/>
      <c r="D48" s="23"/>
      <c r="E48" s="27" t="s">
        <v>142</v>
      </c>
      <c r="F48" s="24">
        <f>800000-340000+5960</f>
        <v>465960</v>
      </c>
      <c r="G48" s="46">
        <f>800000-340000+5960</f>
        <v>465960</v>
      </c>
      <c r="H48" s="46"/>
      <c r="I48" s="46"/>
    </row>
    <row r="49" spans="1:9" ht="72">
      <c r="A49" s="18"/>
      <c r="B49" s="18"/>
      <c r="C49" s="28"/>
      <c r="D49" s="23"/>
      <c r="E49" s="27" t="s">
        <v>261</v>
      </c>
      <c r="F49" s="24">
        <f>600000-200000</f>
        <v>400000</v>
      </c>
      <c r="G49" s="46">
        <f>600000-200000</f>
        <v>400000</v>
      </c>
      <c r="H49" s="46"/>
      <c r="I49" s="46"/>
    </row>
    <row r="50" spans="1:9" ht="90">
      <c r="A50" s="18"/>
      <c r="B50" s="18"/>
      <c r="C50" s="28"/>
      <c r="D50" s="23"/>
      <c r="E50" s="27" t="s">
        <v>268</v>
      </c>
      <c r="F50" s="24">
        <f>400000+200000</f>
        <v>600000</v>
      </c>
      <c r="G50" s="46">
        <f>400000+200000</f>
        <v>600000</v>
      </c>
      <c r="H50" s="46"/>
      <c r="I50" s="46"/>
    </row>
    <row r="51" spans="1:9">
      <c r="A51" s="18"/>
      <c r="B51" s="18"/>
      <c r="C51" s="28"/>
      <c r="D51" s="23"/>
      <c r="E51" s="27" t="s">
        <v>203</v>
      </c>
      <c r="F51" s="24">
        <f>9000-1451</f>
        <v>7549</v>
      </c>
      <c r="G51" s="46">
        <f>9000-1451</f>
        <v>7549</v>
      </c>
      <c r="H51" s="46"/>
      <c r="I51" s="46"/>
    </row>
    <row r="52" spans="1:9" ht="90">
      <c r="A52" s="18"/>
      <c r="B52" s="18"/>
      <c r="C52" s="28"/>
      <c r="D52" s="23"/>
      <c r="E52" s="54" t="s">
        <v>257</v>
      </c>
      <c r="F52" s="24">
        <v>475000</v>
      </c>
      <c r="G52" s="46">
        <v>475000</v>
      </c>
      <c r="H52" s="46"/>
      <c r="I52" s="46"/>
    </row>
    <row r="53" spans="1:9" ht="90">
      <c r="A53" s="18"/>
      <c r="B53" s="18"/>
      <c r="C53" s="28"/>
      <c r="D53" s="23"/>
      <c r="E53" s="54" t="s">
        <v>258</v>
      </c>
      <c r="F53" s="24">
        <v>475000</v>
      </c>
      <c r="G53" s="46">
        <v>475000</v>
      </c>
      <c r="H53" s="46"/>
      <c r="I53" s="46"/>
    </row>
    <row r="54" spans="1:9" ht="36">
      <c r="A54" s="18"/>
      <c r="B54" s="18"/>
      <c r="C54" s="28"/>
      <c r="D54" s="23"/>
      <c r="E54" s="54" t="s">
        <v>272</v>
      </c>
      <c r="F54" s="24">
        <v>75000</v>
      </c>
      <c r="G54" s="46">
        <v>75000</v>
      </c>
      <c r="H54" s="46"/>
      <c r="I54" s="46"/>
    </row>
    <row r="55" spans="1:9" ht="126">
      <c r="A55" s="18" t="s">
        <v>204</v>
      </c>
      <c r="B55" s="18" t="s">
        <v>207</v>
      </c>
      <c r="C55" s="51" t="s">
        <v>205</v>
      </c>
      <c r="D55" s="23" t="s">
        <v>206</v>
      </c>
      <c r="E55" s="27" t="s">
        <v>203</v>
      </c>
      <c r="F55" s="24">
        <f>9100-31</f>
        <v>9069</v>
      </c>
      <c r="G55" s="46">
        <f>9100-31</f>
        <v>9069</v>
      </c>
      <c r="H55" s="46"/>
      <c r="I55" s="46"/>
    </row>
    <row r="56" spans="1:9" ht="72">
      <c r="A56" s="18" t="s">
        <v>208</v>
      </c>
      <c r="B56" s="18" t="s">
        <v>209</v>
      </c>
      <c r="C56" s="51" t="s">
        <v>210</v>
      </c>
      <c r="D56" s="23" t="s">
        <v>211</v>
      </c>
      <c r="E56" s="27" t="s">
        <v>203</v>
      </c>
      <c r="F56" s="24">
        <f>4000-517</f>
        <v>3483</v>
      </c>
      <c r="G56" s="46">
        <f>4000-517</f>
        <v>3483</v>
      </c>
      <c r="H56" s="46"/>
      <c r="I56" s="46"/>
    </row>
    <row r="57" spans="1:9" ht="108">
      <c r="A57" s="18" t="s">
        <v>212</v>
      </c>
      <c r="B57" s="18" t="s">
        <v>213</v>
      </c>
      <c r="C57" s="26" t="s">
        <v>67</v>
      </c>
      <c r="D57" s="23" t="s">
        <v>214</v>
      </c>
      <c r="E57" s="27" t="s">
        <v>215</v>
      </c>
      <c r="F57" s="24">
        <f>1400000-400000</f>
        <v>1000000</v>
      </c>
      <c r="G57" s="46">
        <f>1400000-400000</f>
        <v>1000000</v>
      </c>
      <c r="H57" s="46"/>
      <c r="I57" s="46"/>
    </row>
    <row r="58" spans="1:9" ht="65.400000000000006" customHeight="1">
      <c r="A58" s="18" t="s">
        <v>69</v>
      </c>
      <c r="B58" s="18" t="s">
        <v>65</v>
      </c>
      <c r="C58" s="69" t="s">
        <v>67</v>
      </c>
      <c r="D58" s="75" t="s">
        <v>66</v>
      </c>
      <c r="E58" s="75"/>
      <c r="F58" s="24">
        <f>1304329-12529</f>
        <v>1291800</v>
      </c>
      <c r="G58" s="24">
        <f>1304329-12529</f>
        <v>1291800</v>
      </c>
      <c r="H58" s="24"/>
      <c r="I58" s="24"/>
    </row>
    <row r="59" spans="1:9" ht="81" customHeight="1">
      <c r="A59" s="18" t="s">
        <v>70</v>
      </c>
      <c r="B59" s="18" t="s">
        <v>71</v>
      </c>
      <c r="C59" s="69" t="s">
        <v>67</v>
      </c>
      <c r="D59" s="76" t="s">
        <v>68</v>
      </c>
      <c r="E59" s="77"/>
      <c r="F59" s="24">
        <v>3043200</v>
      </c>
      <c r="G59" s="24">
        <v>3043200</v>
      </c>
      <c r="H59" s="24"/>
      <c r="I59" s="24"/>
    </row>
    <row r="60" spans="1:9" ht="62.4">
      <c r="A60" s="26" t="s">
        <v>231</v>
      </c>
      <c r="B60" s="26" t="s">
        <v>232</v>
      </c>
      <c r="C60" s="28" t="s">
        <v>233</v>
      </c>
      <c r="D60" s="66" t="s">
        <v>234</v>
      </c>
      <c r="E60" s="65" t="s">
        <v>25</v>
      </c>
      <c r="F60" s="24">
        <f>F61+F62</f>
        <v>754270</v>
      </c>
      <c r="G60" s="24">
        <f>G61+G62</f>
        <v>754270</v>
      </c>
      <c r="H60" s="46"/>
      <c r="I60" s="46"/>
    </row>
    <row r="61" spans="1:9">
      <c r="A61" s="26"/>
      <c r="B61" s="26"/>
      <c r="C61" s="28"/>
      <c r="D61" s="66"/>
      <c r="E61" s="65" t="s">
        <v>235</v>
      </c>
      <c r="F61" s="24">
        <f>310000-5730</f>
        <v>304270</v>
      </c>
      <c r="G61" s="46">
        <f>310000-5730</f>
        <v>304270</v>
      </c>
      <c r="H61" s="46"/>
      <c r="I61" s="46"/>
    </row>
    <row r="62" spans="1:9" ht="36">
      <c r="A62" s="26"/>
      <c r="B62" s="26"/>
      <c r="C62" s="28"/>
      <c r="D62" s="66"/>
      <c r="E62" s="54" t="s">
        <v>269</v>
      </c>
      <c r="F62" s="24">
        <v>450000</v>
      </c>
      <c r="G62" s="46">
        <v>450000</v>
      </c>
      <c r="H62" s="46"/>
      <c r="I62" s="46"/>
    </row>
    <row r="63" spans="1:9" ht="54">
      <c r="A63" s="18" t="s">
        <v>33</v>
      </c>
      <c r="B63" s="18" t="s">
        <v>36</v>
      </c>
      <c r="C63" s="26" t="s">
        <v>34</v>
      </c>
      <c r="D63" s="23" t="s">
        <v>35</v>
      </c>
      <c r="E63" s="29" t="s">
        <v>25</v>
      </c>
      <c r="F63" s="24">
        <f>SUM(F64:F69)</f>
        <v>9811544</v>
      </c>
      <c r="G63" s="46">
        <f>SUM(G64:G69)</f>
        <v>9811544</v>
      </c>
      <c r="H63" s="46"/>
      <c r="I63" s="46"/>
    </row>
    <row r="64" spans="1:9" ht="90">
      <c r="A64" s="18"/>
      <c r="B64" s="18"/>
      <c r="C64" s="26"/>
      <c r="D64" s="23"/>
      <c r="E64" s="56" t="s">
        <v>194</v>
      </c>
      <c r="F64" s="24">
        <f>200000+200000-130000</f>
        <v>270000</v>
      </c>
      <c r="G64" s="46">
        <f>200000+200000-130000</f>
        <v>270000</v>
      </c>
      <c r="H64" s="46"/>
      <c r="I64" s="46"/>
    </row>
    <row r="65" spans="1:9" ht="108">
      <c r="A65" s="18"/>
      <c r="B65" s="18"/>
      <c r="C65" s="26"/>
      <c r="D65" s="23"/>
      <c r="E65" s="33" t="s">
        <v>72</v>
      </c>
      <c r="F65" s="24">
        <f>2800119+100000+1820000</f>
        <v>4720119</v>
      </c>
      <c r="G65" s="46">
        <f>2800119+100000+1820000</f>
        <v>4720119</v>
      </c>
      <c r="H65" s="46"/>
      <c r="I65" s="46"/>
    </row>
    <row r="66" spans="1:9" ht="90">
      <c r="A66" s="18"/>
      <c r="B66" s="18"/>
      <c r="C66" s="26"/>
      <c r="D66" s="23"/>
      <c r="E66" s="33" t="s">
        <v>254</v>
      </c>
      <c r="F66" s="24">
        <f>1194216+295784</f>
        <v>1490000</v>
      </c>
      <c r="G66" s="46">
        <f>1194216+295784</f>
        <v>1490000</v>
      </c>
      <c r="H66" s="46"/>
      <c r="I66" s="46"/>
    </row>
    <row r="67" spans="1:9" ht="90">
      <c r="A67" s="18"/>
      <c r="B67" s="18"/>
      <c r="C67" s="26"/>
      <c r="D67" s="23"/>
      <c r="E67" s="33" t="s">
        <v>183</v>
      </c>
      <c r="F67" s="24">
        <f>1400315-211300+180000</f>
        <v>1369015</v>
      </c>
      <c r="G67" s="46">
        <f>1400315-211300+180000</f>
        <v>1369015</v>
      </c>
      <c r="H67" s="46"/>
      <c r="I67" s="46"/>
    </row>
    <row r="68" spans="1:9" ht="72">
      <c r="A68" s="18"/>
      <c r="B68" s="18"/>
      <c r="C68" s="26"/>
      <c r="D68" s="23"/>
      <c r="E68" s="55" t="s">
        <v>216</v>
      </c>
      <c r="F68" s="24">
        <v>500000</v>
      </c>
      <c r="G68" s="46">
        <v>500000</v>
      </c>
      <c r="H68" s="46"/>
      <c r="I68" s="46"/>
    </row>
    <row r="69" spans="1:9" ht="108">
      <c r="A69" s="18"/>
      <c r="B69" s="18"/>
      <c r="C69" s="26"/>
      <c r="D69" s="23"/>
      <c r="E69" s="33" t="s">
        <v>182</v>
      </c>
      <c r="F69" s="24">
        <f>1500000-37590</f>
        <v>1462410</v>
      </c>
      <c r="G69" s="46">
        <f>1500000-37590</f>
        <v>1462410</v>
      </c>
      <c r="H69" s="46"/>
      <c r="I69" s="46"/>
    </row>
    <row r="70" spans="1:9" s="31" customFormat="1" ht="38.4" customHeight="1">
      <c r="A70" s="30" t="s">
        <v>143</v>
      </c>
      <c r="B70" s="30"/>
      <c r="C70" s="30"/>
      <c r="D70" s="73" t="s">
        <v>145</v>
      </c>
      <c r="E70" s="74"/>
      <c r="F70" s="20">
        <f t="shared" ref="F70:I70" si="5">F71</f>
        <v>7640299</v>
      </c>
      <c r="G70" s="45">
        <f>G71</f>
        <v>7640299</v>
      </c>
      <c r="H70" s="45">
        <f t="shared" si="5"/>
        <v>0</v>
      </c>
      <c r="I70" s="45">
        <f t="shared" si="5"/>
        <v>0</v>
      </c>
    </row>
    <row r="71" spans="1:9" s="31" customFormat="1" ht="40.200000000000003" customHeight="1">
      <c r="A71" s="30" t="s">
        <v>144</v>
      </c>
      <c r="B71" s="18"/>
      <c r="C71" s="18"/>
      <c r="D71" s="73" t="s">
        <v>145</v>
      </c>
      <c r="E71" s="74"/>
      <c r="F71" s="20">
        <f>F72+F73</f>
        <v>7640299</v>
      </c>
      <c r="G71" s="20">
        <f t="shared" ref="G71:I71" si="6">G72+G73</f>
        <v>7640299</v>
      </c>
      <c r="H71" s="20">
        <f t="shared" si="6"/>
        <v>0</v>
      </c>
      <c r="I71" s="20">
        <f t="shared" si="6"/>
        <v>0</v>
      </c>
    </row>
    <row r="72" spans="1:9" ht="144">
      <c r="A72" s="51" t="s">
        <v>146</v>
      </c>
      <c r="B72" s="51" t="s">
        <v>147</v>
      </c>
      <c r="C72" s="51" t="s">
        <v>148</v>
      </c>
      <c r="D72" s="23" t="s">
        <v>149</v>
      </c>
      <c r="E72" s="50" t="s">
        <v>180</v>
      </c>
      <c r="F72" s="35">
        <v>991625</v>
      </c>
      <c r="G72" s="46">
        <v>991625</v>
      </c>
      <c r="H72" s="46"/>
      <c r="I72" s="46"/>
    </row>
    <row r="73" spans="1:9" ht="205.2" customHeight="1">
      <c r="A73" s="26" t="s">
        <v>241</v>
      </c>
      <c r="B73" s="51">
        <v>3225</v>
      </c>
      <c r="C73" s="51">
        <v>1060</v>
      </c>
      <c r="D73" s="76" t="s">
        <v>242</v>
      </c>
      <c r="E73" s="77"/>
      <c r="F73" s="35">
        <v>6648674</v>
      </c>
      <c r="G73" s="24">
        <v>6648674</v>
      </c>
      <c r="H73" s="24"/>
      <c r="I73" s="24"/>
    </row>
    <row r="74" spans="1:9" s="31" customFormat="1" ht="38.4" customHeight="1">
      <c r="A74" s="30" t="s">
        <v>150</v>
      </c>
      <c r="B74" s="30"/>
      <c r="C74" s="30"/>
      <c r="D74" s="73" t="s">
        <v>152</v>
      </c>
      <c r="E74" s="74"/>
      <c r="F74" s="20">
        <f t="shared" ref="F74:I74" si="7">F75</f>
        <v>500100</v>
      </c>
      <c r="G74" s="45">
        <f>G75</f>
        <v>500100</v>
      </c>
      <c r="H74" s="45">
        <f t="shared" si="7"/>
        <v>0</v>
      </c>
      <c r="I74" s="45">
        <f t="shared" si="7"/>
        <v>0</v>
      </c>
    </row>
    <row r="75" spans="1:9" s="31" customFormat="1" ht="40.200000000000003" customHeight="1">
      <c r="A75" s="30" t="s">
        <v>151</v>
      </c>
      <c r="B75" s="18"/>
      <c r="C75" s="18"/>
      <c r="D75" s="73" t="s">
        <v>152</v>
      </c>
      <c r="E75" s="74"/>
      <c r="F75" s="20">
        <f>F76+F80</f>
        <v>500100</v>
      </c>
      <c r="G75" s="20">
        <f t="shared" ref="G75:I75" si="8">G76+G80</f>
        <v>500100</v>
      </c>
      <c r="H75" s="20">
        <f t="shared" si="8"/>
        <v>0</v>
      </c>
      <c r="I75" s="20">
        <f t="shared" si="8"/>
        <v>0</v>
      </c>
    </row>
    <row r="76" spans="1:9" ht="72">
      <c r="A76" s="51" t="s">
        <v>153</v>
      </c>
      <c r="B76" s="51" t="s">
        <v>154</v>
      </c>
      <c r="C76" s="51" t="s">
        <v>155</v>
      </c>
      <c r="D76" s="23" t="s">
        <v>156</v>
      </c>
      <c r="E76" s="50" t="s">
        <v>25</v>
      </c>
      <c r="F76" s="35">
        <f>F77+F78+F79</f>
        <v>420100</v>
      </c>
      <c r="G76" s="35">
        <f>G77+G78+G79</f>
        <v>420100</v>
      </c>
      <c r="H76" s="46"/>
      <c r="I76" s="46"/>
    </row>
    <row r="77" spans="1:9">
      <c r="A77" s="51"/>
      <c r="B77" s="51"/>
      <c r="C77" s="51"/>
      <c r="D77" s="23"/>
      <c r="E77" s="55" t="s">
        <v>172</v>
      </c>
      <c r="F77" s="35">
        <v>200000</v>
      </c>
      <c r="G77" s="46">
        <v>200000</v>
      </c>
      <c r="H77" s="46"/>
      <c r="I77" s="46"/>
    </row>
    <row r="78" spans="1:9">
      <c r="A78" s="51"/>
      <c r="B78" s="51"/>
      <c r="C78" s="51"/>
      <c r="D78" s="23"/>
      <c r="E78" s="55" t="s">
        <v>171</v>
      </c>
      <c r="F78" s="35">
        <v>30000</v>
      </c>
      <c r="G78" s="46">
        <v>30000</v>
      </c>
      <c r="H78" s="46"/>
      <c r="I78" s="46"/>
    </row>
    <row r="79" spans="1:9">
      <c r="A79" s="51"/>
      <c r="B79" s="51"/>
      <c r="C79" s="51"/>
      <c r="D79" s="23"/>
      <c r="E79" s="55" t="s">
        <v>243</v>
      </c>
      <c r="F79" s="35">
        <v>190100</v>
      </c>
      <c r="G79" s="46">
        <v>190100</v>
      </c>
      <c r="H79" s="46"/>
      <c r="I79" s="46"/>
    </row>
    <row r="80" spans="1:9" ht="36">
      <c r="A80" s="18" t="s">
        <v>244</v>
      </c>
      <c r="B80" s="18" t="s">
        <v>51</v>
      </c>
      <c r="C80" s="26" t="s">
        <v>53</v>
      </c>
      <c r="D80" s="23" t="s">
        <v>52</v>
      </c>
      <c r="E80" s="27" t="s">
        <v>245</v>
      </c>
      <c r="F80" s="35">
        <v>80000</v>
      </c>
      <c r="G80" s="46">
        <v>80000</v>
      </c>
      <c r="H80" s="46"/>
      <c r="I80" s="46"/>
    </row>
    <row r="81" spans="1:9" s="31" customFormat="1" ht="38.4" customHeight="1">
      <c r="A81" s="30" t="s">
        <v>157</v>
      </c>
      <c r="B81" s="30"/>
      <c r="C81" s="30"/>
      <c r="D81" s="78" t="s">
        <v>159</v>
      </c>
      <c r="E81" s="78"/>
      <c r="F81" s="20">
        <f t="shared" ref="F81:I81" si="9">F82</f>
        <v>35000</v>
      </c>
      <c r="G81" s="45">
        <f>G82</f>
        <v>35000</v>
      </c>
      <c r="H81" s="45">
        <f t="shared" si="9"/>
        <v>0</v>
      </c>
      <c r="I81" s="45">
        <f t="shared" si="9"/>
        <v>0</v>
      </c>
    </row>
    <row r="82" spans="1:9" s="31" customFormat="1" ht="40.200000000000003" customHeight="1">
      <c r="A82" s="30" t="s">
        <v>158</v>
      </c>
      <c r="B82" s="18"/>
      <c r="C82" s="18"/>
      <c r="D82" s="73" t="s">
        <v>159</v>
      </c>
      <c r="E82" s="74"/>
      <c r="F82" s="20">
        <f>F83</f>
        <v>35000</v>
      </c>
      <c r="G82" s="45">
        <f>G83</f>
        <v>35000</v>
      </c>
      <c r="H82" s="45">
        <f>H83</f>
        <v>0</v>
      </c>
      <c r="I82" s="45">
        <f>I83</f>
        <v>0</v>
      </c>
    </row>
    <row r="83" spans="1:9" ht="72">
      <c r="A83" s="51" t="s">
        <v>160</v>
      </c>
      <c r="B83" s="51" t="s">
        <v>161</v>
      </c>
      <c r="C83" s="51" t="s">
        <v>162</v>
      </c>
      <c r="D83" s="23" t="s">
        <v>163</v>
      </c>
      <c r="E83" s="50" t="s">
        <v>164</v>
      </c>
      <c r="F83" s="35">
        <v>35000</v>
      </c>
      <c r="G83" s="46">
        <v>35000</v>
      </c>
      <c r="H83" s="46"/>
      <c r="I83" s="46"/>
    </row>
    <row r="84" spans="1:9" s="31" customFormat="1" ht="38.4" customHeight="1">
      <c r="A84" s="30" t="s">
        <v>73</v>
      </c>
      <c r="B84" s="30"/>
      <c r="C84" s="30"/>
      <c r="D84" s="73" t="s">
        <v>119</v>
      </c>
      <c r="E84" s="74"/>
      <c r="F84" s="20">
        <f t="shared" ref="F84:I84" si="10">F85</f>
        <v>24882046</v>
      </c>
      <c r="G84" s="45">
        <f>G85</f>
        <v>24712046</v>
      </c>
      <c r="H84" s="45">
        <f t="shared" si="10"/>
        <v>0</v>
      </c>
      <c r="I84" s="45">
        <f t="shared" si="10"/>
        <v>170000</v>
      </c>
    </row>
    <row r="85" spans="1:9" s="31" customFormat="1" ht="40.200000000000003" customHeight="1">
      <c r="A85" s="30" t="s">
        <v>74</v>
      </c>
      <c r="B85" s="18"/>
      <c r="C85" s="18"/>
      <c r="D85" s="73" t="s">
        <v>119</v>
      </c>
      <c r="E85" s="74"/>
      <c r="F85" s="20">
        <f>F86+F103+F113+F114+F118+F124+F125+F128+F132+F133</f>
        <v>24882046</v>
      </c>
      <c r="G85" s="20">
        <f t="shared" ref="G85:I85" si="11">G86+G103+G113+G114+G118+G124+G125+G128+G132+G133</f>
        <v>24712046</v>
      </c>
      <c r="H85" s="20">
        <f t="shared" si="11"/>
        <v>0</v>
      </c>
      <c r="I85" s="20">
        <f t="shared" si="11"/>
        <v>170000</v>
      </c>
    </row>
    <row r="86" spans="1:9" ht="36">
      <c r="A86" s="18" t="s">
        <v>75</v>
      </c>
      <c r="B86" s="18" t="s">
        <v>76</v>
      </c>
      <c r="C86" s="26" t="s">
        <v>78</v>
      </c>
      <c r="D86" s="23" t="s">
        <v>77</v>
      </c>
      <c r="E86" s="29" t="s">
        <v>25</v>
      </c>
      <c r="F86" s="24">
        <f>F87+F88+F89+F90+F91+F92+F93+F94</f>
        <v>5363893.75</v>
      </c>
      <c r="G86" s="24">
        <f t="shared" ref="G86:I86" si="12">G87+G88+G89+G90+G91+G92+G93+G94</f>
        <v>5363893.75</v>
      </c>
      <c r="H86" s="24">
        <f t="shared" si="12"/>
        <v>0</v>
      </c>
      <c r="I86" s="24">
        <f t="shared" si="12"/>
        <v>0</v>
      </c>
    </row>
    <row r="87" spans="1:9" ht="161.4">
      <c r="A87" s="18"/>
      <c r="B87" s="18"/>
      <c r="C87" s="26"/>
      <c r="D87" s="23"/>
      <c r="E87" s="53" t="s">
        <v>166</v>
      </c>
      <c r="F87" s="24">
        <f>43200+27908-6487.25-13046</f>
        <v>51574.75</v>
      </c>
      <c r="G87" s="46">
        <f>43200+27908-6487.25-13046</f>
        <v>51574.75</v>
      </c>
      <c r="H87" s="46"/>
      <c r="I87" s="46"/>
    </row>
    <row r="88" spans="1:9" ht="72">
      <c r="A88" s="18"/>
      <c r="B88" s="18"/>
      <c r="C88" s="26"/>
      <c r="D88" s="23"/>
      <c r="E88" s="53" t="s">
        <v>177</v>
      </c>
      <c r="F88" s="24">
        <v>600000</v>
      </c>
      <c r="G88" s="46">
        <v>600000</v>
      </c>
      <c r="H88" s="46"/>
      <c r="I88" s="46"/>
    </row>
    <row r="89" spans="1:9" ht="54">
      <c r="A89" s="18"/>
      <c r="B89" s="18"/>
      <c r="C89" s="26"/>
      <c r="D89" s="23"/>
      <c r="E89" s="54" t="s">
        <v>165</v>
      </c>
      <c r="F89" s="24">
        <v>94300</v>
      </c>
      <c r="G89" s="46">
        <v>94300</v>
      </c>
      <c r="H89" s="46"/>
      <c r="I89" s="46"/>
    </row>
    <row r="90" spans="1:9" ht="54">
      <c r="A90" s="18"/>
      <c r="B90" s="18"/>
      <c r="C90" s="26"/>
      <c r="D90" s="23"/>
      <c r="E90" s="54" t="s">
        <v>217</v>
      </c>
      <c r="F90" s="57">
        <v>878000</v>
      </c>
      <c r="G90" s="57">
        <v>878000</v>
      </c>
      <c r="H90" s="46"/>
      <c r="I90" s="46"/>
    </row>
    <row r="91" spans="1:9" ht="54">
      <c r="A91" s="18"/>
      <c r="B91" s="18"/>
      <c r="C91" s="26"/>
      <c r="D91" s="23"/>
      <c r="E91" s="54" t="s">
        <v>218</v>
      </c>
      <c r="F91" s="57">
        <v>522000</v>
      </c>
      <c r="G91" s="57">
        <v>522000</v>
      </c>
      <c r="H91" s="46"/>
      <c r="I91" s="46"/>
    </row>
    <row r="92" spans="1:9" ht="54">
      <c r="A92" s="18"/>
      <c r="B92" s="18"/>
      <c r="C92" s="26"/>
      <c r="D92" s="23"/>
      <c r="E92" s="54" t="s">
        <v>246</v>
      </c>
      <c r="F92" s="57">
        <v>35100</v>
      </c>
      <c r="G92" s="57">
        <v>35100</v>
      </c>
      <c r="H92" s="46"/>
      <c r="I92" s="46"/>
    </row>
    <row r="93" spans="1:9" ht="54">
      <c r="A93" s="18"/>
      <c r="B93" s="18"/>
      <c r="C93" s="26"/>
      <c r="D93" s="23"/>
      <c r="E93" s="54" t="s">
        <v>247</v>
      </c>
      <c r="F93" s="57">
        <v>56150</v>
      </c>
      <c r="G93" s="57">
        <v>56150</v>
      </c>
      <c r="H93" s="46"/>
      <c r="I93" s="46"/>
    </row>
    <row r="94" spans="1:9" ht="90">
      <c r="A94" s="18"/>
      <c r="B94" s="18"/>
      <c r="C94" s="26"/>
      <c r="D94" s="23"/>
      <c r="E94" s="54" t="s">
        <v>82</v>
      </c>
      <c r="F94" s="35">
        <f>SUM(F95:F102)</f>
        <v>3126769</v>
      </c>
      <c r="G94" s="35">
        <f>SUM(G95:G102)</f>
        <v>3126769</v>
      </c>
      <c r="H94" s="46"/>
      <c r="I94" s="46"/>
    </row>
    <row r="95" spans="1:9" ht="54">
      <c r="A95" s="18"/>
      <c r="B95" s="18"/>
      <c r="C95" s="26"/>
      <c r="D95" s="23"/>
      <c r="E95" s="59" t="s">
        <v>220</v>
      </c>
      <c r="F95" s="60">
        <f>153000+90000</f>
        <v>243000</v>
      </c>
      <c r="G95" s="60">
        <f>153000+90000</f>
        <v>243000</v>
      </c>
      <c r="H95" s="46"/>
      <c r="I95" s="46"/>
    </row>
    <row r="96" spans="1:9" ht="54">
      <c r="A96" s="18"/>
      <c r="B96" s="18"/>
      <c r="C96" s="26"/>
      <c r="D96" s="23"/>
      <c r="E96" s="59" t="s">
        <v>219</v>
      </c>
      <c r="F96" s="60">
        <f>225000-89</f>
        <v>224911</v>
      </c>
      <c r="G96" s="60">
        <f>225000-89</f>
        <v>224911</v>
      </c>
      <c r="H96" s="46"/>
      <c r="I96" s="46"/>
    </row>
    <row r="97" spans="1:9" ht="54">
      <c r="A97" s="18"/>
      <c r="B97" s="18"/>
      <c r="C97" s="26"/>
      <c r="D97" s="23"/>
      <c r="E97" s="36" t="s">
        <v>81</v>
      </c>
      <c r="F97" s="37">
        <f>45000-64</f>
        <v>44936</v>
      </c>
      <c r="G97" s="47">
        <f>45000-64</f>
        <v>44936</v>
      </c>
      <c r="H97" s="46"/>
      <c r="I97" s="46"/>
    </row>
    <row r="98" spans="1:9" ht="54">
      <c r="A98" s="18"/>
      <c r="B98" s="18"/>
      <c r="C98" s="26"/>
      <c r="D98" s="23"/>
      <c r="E98" s="36" t="s">
        <v>80</v>
      </c>
      <c r="F98" s="37">
        <f>36894-30067</f>
        <v>6827</v>
      </c>
      <c r="G98" s="47">
        <f>36894-30067</f>
        <v>6827</v>
      </c>
      <c r="H98" s="46"/>
      <c r="I98" s="46"/>
    </row>
    <row r="99" spans="1:9" ht="54">
      <c r="A99" s="18"/>
      <c r="B99" s="18"/>
      <c r="C99" s="26"/>
      <c r="D99" s="23"/>
      <c r="E99" s="59" t="s">
        <v>223</v>
      </c>
      <c r="F99" s="60">
        <f>450000-17006</f>
        <v>432994</v>
      </c>
      <c r="G99" s="60">
        <f>450000-17006</f>
        <v>432994</v>
      </c>
      <c r="H99" s="46"/>
      <c r="I99" s="46"/>
    </row>
    <row r="100" spans="1:9" ht="54">
      <c r="A100" s="18"/>
      <c r="B100" s="18"/>
      <c r="C100" s="26"/>
      <c r="D100" s="23"/>
      <c r="E100" s="59" t="s">
        <v>221</v>
      </c>
      <c r="F100" s="60">
        <v>450000</v>
      </c>
      <c r="G100" s="60">
        <v>450000</v>
      </c>
      <c r="H100" s="46"/>
      <c r="I100" s="46"/>
    </row>
    <row r="101" spans="1:9" ht="72">
      <c r="A101" s="18"/>
      <c r="B101" s="18"/>
      <c r="C101" s="26"/>
      <c r="D101" s="23"/>
      <c r="E101" s="59" t="s">
        <v>222</v>
      </c>
      <c r="F101" s="60">
        <f>135000+15300-621</f>
        <v>149679</v>
      </c>
      <c r="G101" s="60">
        <f>135000+15300-621</f>
        <v>149679</v>
      </c>
      <c r="H101" s="46"/>
      <c r="I101" s="46"/>
    </row>
    <row r="102" spans="1:9" ht="72">
      <c r="A102" s="18"/>
      <c r="B102" s="18"/>
      <c r="C102" s="26"/>
      <c r="D102" s="23"/>
      <c r="E102" s="36" t="s">
        <v>79</v>
      </c>
      <c r="F102" s="37">
        <f>1578123-3701</f>
        <v>1574422</v>
      </c>
      <c r="G102" s="47">
        <f>1578123-3701</f>
        <v>1574422</v>
      </c>
      <c r="H102" s="46"/>
      <c r="I102" s="46"/>
    </row>
    <row r="103" spans="1:9" ht="36">
      <c r="A103" s="18" t="s">
        <v>83</v>
      </c>
      <c r="B103" s="18" t="s">
        <v>84</v>
      </c>
      <c r="C103" s="26" t="s">
        <v>86</v>
      </c>
      <c r="D103" s="23" t="s">
        <v>85</v>
      </c>
      <c r="E103" s="29" t="s">
        <v>25</v>
      </c>
      <c r="F103" s="24">
        <f>SUM(F104:F111)</f>
        <v>6806036.25</v>
      </c>
      <c r="G103" s="46">
        <f>SUM(G104:G111)</f>
        <v>6806036.25</v>
      </c>
      <c r="H103" s="46"/>
      <c r="I103" s="46"/>
    </row>
    <row r="104" spans="1:9" ht="36">
      <c r="A104" s="18"/>
      <c r="B104" s="18"/>
      <c r="C104" s="26"/>
      <c r="D104" s="23"/>
      <c r="E104" s="34" t="s">
        <v>90</v>
      </c>
      <c r="F104" s="37">
        <f>1503280-51935.79</f>
        <v>1451344.21</v>
      </c>
      <c r="G104" s="47">
        <f>1503280-51935.79</f>
        <v>1451344.21</v>
      </c>
      <c r="H104" s="46"/>
      <c r="I104" s="46"/>
    </row>
    <row r="105" spans="1:9" ht="54">
      <c r="A105" s="18"/>
      <c r="B105" s="18"/>
      <c r="C105" s="26"/>
      <c r="D105" s="23"/>
      <c r="E105" s="34" t="s">
        <v>92</v>
      </c>
      <c r="F105" s="37">
        <f>1444546-43160.86</f>
        <v>1401385.14</v>
      </c>
      <c r="G105" s="47">
        <f>1444546-43160.86</f>
        <v>1401385.14</v>
      </c>
      <c r="H105" s="46"/>
      <c r="I105" s="46"/>
    </row>
    <row r="106" spans="1:9" ht="54">
      <c r="A106" s="18"/>
      <c r="B106" s="18"/>
      <c r="C106" s="26"/>
      <c r="D106" s="23"/>
      <c r="E106" s="34" t="s">
        <v>224</v>
      </c>
      <c r="F106" s="37">
        <f>1448646+41354+6487.25</f>
        <v>1496487.25</v>
      </c>
      <c r="G106" s="47">
        <f>1448646+41354+6487.25</f>
        <v>1496487.25</v>
      </c>
      <c r="H106" s="46"/>
      <c r="I106" s="46"/>
    </row>
    <row r="107" spans="1:9" ht="54">
      <c r="A107" s="18"/>
      <c r="B107" s="18"/>
      <c r="C107" s="26"/>
      <c r="D107" s="23"/>
      <c r="E107" s="34" t="s">
        <v>88</v>
      </c>
      <c r="F107" s="37">
        <f>286470-40195.96</f>
        <v>246274.04</v>
      </c>
      <c r="G107" s="47">
        <f>286470-40195.96</f>
        <v>246274.04</v>
      </c>
      <c r="H107" s="46"/>
      <c r="I107" s="46"/>
    </row>
    <row r="108" spans="1:9" ht="54">
      <c r="A108" s="18"/>
      <c r="B108" s="18"/>
      <c r="C108" s="26"/>
      <c r="D108" s="23"/>
      <c r="E108" s="34" t="s">
        <v>89</v>
      </c>
      <c r="F108" s="37">
        <f>122370-38372.01</f>
        <v>83997.989999999991</v>
      </c>
      <c r="G108" s="47">
        <f>122370-38372.01</f>
        <v>83997.989999999991</v>
      </c>
      <c r="H108" s="46"/>
      <c r="I108" s="46"/>
    </row>
    <row r="109" spans="1:9" ht="36">
      <c r="A109" s="18"/>
      <c r="B109" s="18"/>
      <c r="C109" s="26"/>
      <c r="D109" s="23"/>
      <c r="E109" s="34" t="s">
        <v>91</v>
      </c>
      <c r="F109" s="37">
        <f>314517-94371.64+0.63</f>
        <v>220145.99</v>
      </c>
      <c r="G109" s="47">
        <f>314517-94371.64+0.63</f>
        <v>220145.99</v>
      </c>
      <c r="H109" s="46"/>
      <c r="I109" s="46"/>
    </row>
    <row r="110" spans="1:9" ht="36">
      <c r="A110" s="18"/>
      <c r="B110" s="18"/>
      <c r="C110" s="26"/>
      <c r="D110" s="23"/>
      <c r="E110" s="34" t="s">
        <v>87</v>
      </c>
      <c r="F110" s="37">
        <f>296125-95302.37</f>
        <v>200822.63</v>
      </c>
      <c r="G110" s="47">
        <f>296125-95302.37</f>
        <v>200822.63</v>
      </c>
      <c r="H110" s="46"/>
      <c r="I110" s="46"/>
    </row>
    <row r="111" spans="1:9" ht="90">
      <c r="A111" s="18"/>
      <c r="B111" s="18"/>
      <c r="C111" s="26"/>
      <c r="D111" s="23"/>
      <c r="E111" s="34" t="s">
        <v>82</v>
      </c>
      <c r="F111" s="24">
        <f>F112</f>
        <v>1705579</v>
      </c>
      <c r="G111" s="46">
        <f>G112</f>
        <v>1705579</v>
      </c>
      <c r="H111" s="46"/>
      <c r="I111" s="46"/>
    </row>
    <row r="112" spans="1:9" ht="72">
      <c r="A112" s="18"/>
      <c r="B112" s="18"/>
      <c r="C112" s="26"/>
      <c r="D112" s="23"/>
      <c r="E112" s="36" t="s">
        <v>263</v>
      </c>
      <c r="F112" s="37">
        <f>1799333-15300-78454</f>
        <v>1705579</v>
      </c>
      <c r="G112" s="47">
        <f>1799333-15300-78454</f>
        <v>1705579</v>
      </c>
      <c r="H112" s="46"/>
      <c r="I112" s="46"/>
    </row>
    <row r="113" spans="1:9" ht="90">
      <c r="A113" s="18" t="s">
        <v>93</v>
      </c>
      <c r="B113" s="18" t="s">
        <v>94</v>
      </c>
      <c r="C113" s="26" t="s">
        <v>86</v>
      </c>
      <c r="D113" s="23" t="s">
        <v>95</v>
      </c>
      <c r="E113" s="29" t="s">
        <v>96</v>
      </c>
      <c r="F113" s="24">
        <v>1095000</v>
      </c>
      <c r="G113" s="46">
        <v>1095000</v>
      </c>
      <c r="H113" s="46"/>
      <c r="I113" s="46"/>
    </row>
    <row r="114" spans="1:9" ht="36">
      <c r="A114" s="18" t="s">
        <v>97</v>
      </c>
      <c r="B114" s="18" t="s">
        <v>98</v>
      </c>
      <c r="C114" s="26" t="s">
        <v>86</v>
      </c>
      <c r="D114" s="23" t="s">
        <v>99</v>
      </c>
      <c r="E114" s="29" t="s">
        <v>25</v>
      </c>
      <c r="F114" s="24">
        <f>F115+F116+F117</f>
        <v>1125500</v>
      </c>
      <c r="G114" s="24">
        <f t="shared" ref="G114:I114" si="13">G115+G116+G117</f>
        <v>955500</v>
      </c>
      <c r="H114" s="24">
        <f t="shared" si="13"/>
        <v>0</v>
      </c>
      <c r="I114" s="24">
        <f t="shared" si="13"/>
        <v>170000</v>
      </c>
    </row>
    <row r="115" spans="1:9" ht="36">
      <c r="A115" s="18"/>
      <c r="B115" s="18"/>
      <c r="C115" s="26"/>
      <c r="D115" s="23"/>
      <c r="E115" s="29" t="s">
        <v>100</v>
      </c>
      <c r="F115" s="24">
        <v>839500</v>
      </c>
      <c r="G115" s="46">
        <f>839500-170000</f>
        <v>669500</v>
      </c>
      <c r="H115" s="46"/>
      <c r="I115" s="46">
        <v>170000</v>
      </c>
    </row>
    <row r="116" spans="1:9" ht="36">
      <c r="A116" s="18"/>
      <c r="B116" s="18"/>
      <c r="C116" s="26"/>
      <c r="D116" s="23"/>
      <c r="E116" s="29" t="s">
        <v>173</v>
      </c>
      <c r="F116" s="24">
        <v>252000</v>
      </c>
      <c r="G116" s="46">
        <v>252000</v>
      </c>
      <c r="H116" s="46"/>
      <c r="I116" s="46"/>
    </row>
    <row r="117" spans="1:9" ht="90">
      <c r="A117" s="18"/>
      <c r="B117" s="18"/>
      <c r="C117" s="26"/>
      <c r="D117" s="23"/>
      <c r="E117" s="29" t="s">
        <v>248</v>
      </c>
      <c r="F117" s="24">
        <v>34000</v>
      </c>
      <c r="G117" s="46">
        <v>34000</v>
      </c>
      <c r="H117" s="46"/>
      <c r="I117" s="46"/>
    </row>
    <row r="118" spans="1:9" ht="36">
      <c r="A118" s="51">
        <v>1216091</v>
      </c>
      <c r="B118" s="51">
        <v>6091</v>
      </c>
      <c r="C118" s="26" t="s">
        <v>32</v>
      </c>
      <c r="D118" s="23" t="s">
        <v>122</v>
      </c>
      <c r="E118" s="27" t="s">
        <v>25</v>
      </c>
      <c r="F118" s="24">
        <f>SUM(F119:F122)</f>
        <v>6859841</v>
      </c>
      <c r="G118" s="24">
        <f>SUM(G119:G122)</f>
        <v>6859841</v>
      </c>
      <c r="H118" s="46"/>
      <c r="I118" s="46"/>
    </row>
    <row r="119" spans="1:9" ht="54">
      <c r="A119" s="18"/>
      <c r="B119" s="18"/>
      <c r="C119" s="26"/>
      <c r="D119" s="23"/>
      <c r="E119" s="27" t="s">
        <v>190</v>
      </c>
      <c r="F119" s="24">
        <v>5800000</v>
      </c>
      <c r="G119" s="46">
        <v>5800000</v>
      </c>
      <c r="H119" s="46"/>
      <c r="I119" s="46"/>
    </row>
    <row r="120" spans="1:9" ht="54">
      <c r="A120" s="18"/>
      <c r="B120" s="18"/>
      <c r="C120" s="26"/>
      <c r="D120" s="23"/>
      <c r="E120" s="27" t="s">
        <v>191</v>
      </c>
      <c r="F120" s="24">
        <v>600000</v>
      </c>
      <c r="G120" s="46">
        <v>600000</v>
      </c>
      <c r="H120" s="46"/>
      <c r="I120" s="46"/>
    </row>
    <row r="121" spans="1:9" ht="72">
      <c r="A121" s="18"/>
      <c r="B121" s="18"/>
      <c r="C121" s="26"/>
      <c r="D121" s="23"/>
      <c r="E121" s="67" t="s">
        <v>256</v>
      </c>
      <c r="F121" s="24">
        <v>300000</v>
      </c>
      <c r="G121" s="46">
        <v>300000</v>
      </c>
      <c r="H121" s="46"/>
      <c r="I121" s="46"/>
    </row>
    <row r="122" spans="1:9" ht="96.75" customHeight="1">
      <c r="A122" s="18"/>
      <c r="B122" s="18"/>
      <c r="C122" s="26"/>
      <c r="D122" s="23"/>
      <c r="E122" s="34" t="s">
        <v>255</v>
      </c>
      <c r="F122" s="24">
        <f>F123</f>
        <v>159841</v>
      </c>
      <c r="G122" s="24">
        <f>G123</f>
        <v>159841</v>
      </c>
      <c r="H122" s="46"/>
      <c r="I122" s="46"/>
    </row>
    <row r="123" spans="1:9" ht="84" customHeight="1">
      <c r="A123" s="18"/>
      <c r="B123" s="18"/>
      <c r="C123" s="26"/>
      <c r="D123" s="23"/>
      <c r="E123" s="59" t="s">
        <v>249</v>
      </c>
      <c r="F123" s="61">
        <f>171000-11159</f>
        <v>159841</v>
      </c>
      <c r="G123" s="47">
        <f>171000-11159</f>
        <v>159841</v>
      </c>
      <c r="H123" s="47"/>
      <c r="I123" s="47"/>
    </row>
    <row r="124" spans="1:9" ht="36">
      <c r="A124" s="18" t="s">
        <v>101</v>
      </c>
      <c r="B124" s="18" t="s">
        <v>51</v>
      </c>
      <c r="C124" s="26" t="s">
        <v>53</v>
      </c>
      <c r="D124" s="23" t="s">
        <v>52</v>
      </c>
      <c r="E124" s="27" t="s">
        <v>102</v>
      </c>
      <c r="F124" s="24">
        <v>36000</v>
      </c>
      <c r="G124" s="46">
        <v>36000</v>
      </c>
      <c r="H124" s="46"/>
      <c r="I124" s="46"/>
    </row>
    <row r="125" spans="1:9">
      <c r="A125" s="18" t="s">
        <v>225</v>
      </c>
      <c r="B125" s="18" t="s">
        <v>226</v>
      </c>
      <c r="C125" s="26" t="s">
        <v>227</v>
      </c>
      <c r="D125" s="23" t="s">
        <v>228</v>
      </c>
      <c r="E125" s="34" t="s">
        <v>25</v>
      </c>
      <c r="F125" s="24">
        <f>F126</f>
        <v>522900</v>
      </c>
      <c r="G125" s="24">
        <f>G126</f>
        <v>522900</v>
      </c>
      <c r="H125" s="46"/>
      <c r="I125" s="46"/>
    </row>
    <row r="126" spans="1:9" ht="90">
      <c r="A126" s="18"/>
      <c r="B126" s="18"/>
      <c r="C126" s="26"/>
      <c r="D126" s="23"/>
      <c r="E126" s="34" t="s">
        <v>82</v>
      </c>
      <c r="F126" s="24">
        <f>F127</f>
        <v>522900</v>
      </c>
      <c r="G126" s="24">
        <f>G127</f>
        <v>522900</v>
      </c>
      <c r="H126" s="46"/>
      <c r="I126" s="46"/>
    </row>
    <row r="127" spans="1:9" ht="46.8">
      <c r="A127" s="18"/>
      <c r="B127" s="18"/>
      <c r="C127" s="26"/>
      <c r="D127" s="23"/>
      <c r="E127" s="58" t="s">
        <v>229</v>
      </c>
      <c r="F127" s="61">
        <f>360000+162900</f>
        <v>522900</v>
      </c>
      <c r="G127" s="47">
        <f>360000+162900</f>
        <v>522900</v>
      </c>
      <c r="H127" s="46"/>
      <c r="I127" s="46"/>
    </row>
    <row r="128" spans="1:9" ht="36">
      <c r="A128" s="18" t="s">
        <v>103</v>
      </c>
      <c r="B128" s="18" t="s">
        <v>104</v>
      </c>
      <c r="C128" s="26" t="s">
        <v>106</v>
      </c>
      <c r="D128" s="23" t="s">
        <v>105</v>
      </c>
      <c r="E128" s="29" t="s">
        <v>25</v>
      </c>
      <c r="F128" s="24">
        <f>SUM(F129:F131)</f>
        <v>2650510</v>
      </c>
      <c r="G128" s="24">
        <f t="shared" ref="G128:I128" si="14">SUM(G129:G131)</f>
        <v>2650510</v>
      </c>
      <c r="H128" s="24">
        <f t="shared" si="14"/>
        <v>0</v>
      </c>
      <c r="I128" s="24">
        <f t="shared" si="14"/>
        <v>0</v>
      </c>
    </row>
    <row r="129" spans="1:9" ht="36">
      <c r="A129" s="18"/>
      <c r="B129" s="18"/>
      <c r="C129" s="26"/>
      <c r="D129" s="23"/>
      <c r="E129" s="39" t="s">
        <v>108</v>
      </c>
      <c r="F129" s="24">
        <f>600000-9490</f>
        <v>590510</v>
      </c>
      <c r="G129" s="46">
        <f>600000-9490</f>
        <v>590510</v>
      </c>
      <c r="H129" s="46"/>
      <c r="I129" s="46"/>
    </row>
    <row r="130" spans="1:9">
      <c r="A130" s="18"/>
      <c r="B130" s="18"/>
      <c r="C130" s="26"/>
      <c r="D130" s="23"/>
      <c r="E130" s="38" t="s">
        <v>107</v>
      </c>
      <c r="F130" s="24">
        <v>1460000</v>
      </c>
      <c r="G130" s="46">
        <f>1290000+170000</f>
        <v>1460000</v>
      </c>
      <c r="H130" s="46"/>
      <c r="I130" s="63">
        <f>170000-170000</f>
        <v>0</v>
      </c>
    </row>
    <row r="131" spans="1:9" ht="36">
      <c r="A131" s="18"/>
      <c r="B131" s="18"/>
      <c r="C131" s="26"/>
      <c r="D131" s="23"/>
      <c r="E131" s="62" t="s">
        <v>259</v>
      </c>
      <c r="F131" s="24">
        <v>600000</v>
      </c>
      <c r="G131" s="46">
        <v>600000</v>
      </c>
      <c r="H131" s="46"/>
      <c r="I131" s="46"/>
    </row>
    <row r="132" spans="1:9" ht="108">
      <c r="A132" s="18" t="s">
        <v>110</v>
      </c>
      <c r="B132" s="18" t="s">
        <v>36</v>
      </c>
      <c r="C132" s="26" t="s">
        <v>34</v>
      </c>
      <c r="D132" s="23" t="s">
        <v>35</v>
      </c>
      <c r="E132" s="29" t="s">
        <v>111</v>
      </c>
      <c r="F132" s="24">
        <f>378921-50556</f>
        <v>328365</v>
      </c>
      <c r="G132" s="46">
        <f>378921-50556</f>
        <v>328365</v>
      </c>
      <c r="H132" s="46"/>
      <c r="I132" s="46"/>
    </row>
    <row r="133" spans="1:9" ht="36">
      <c r="A133" s="18" t="s">
        <v>140</v>
      </c>
      <c r="B133" s="18" t="s">
        <v>61</v>
      </c>
      <c r="C133" s="26" t="s">
        <v>62</v>
      </c>
      <c r="D133" s="23" t="s">
        <v>63</v>
      </c>
      <c r="E133" s="27" t="s">
        <v>64</v>
      </c>
      <c r="F133" s="24">
        <f>200000-106000</f>
        <v>94000</v>
      </c>
      <c r="G133" s="46">
        <f>200000-106000</f>
        <v>94000</v>
      </c>
      <c r="H133" s="46"/>
      <c r="I133" s="46"/>
    </row>
    <row r="134" spans="1:9" s="31" customFormat="1" ht="38.4" customHeight="1">
      <c r="A134" s="30" t="s">
        <v>116</v>
      </c>
      <c r="B134" s="30"/>
      <c r="C134" s="30"/>
      <c r="D134" s="73" t="s">
        <v>118</v>
      </c>
      <c r="E134" s="74"/>
      <c r="F134" s="20">
        <f t="shared" ref="F134:I134" si="15">F135</f>
        <v>32667034</v>
      </c>
      <c r="G134" s="45">
        <f>G135</f>
        <v>26844734</v>
      </c>
      <c r="H134" s="45">
        <f t="shared" si="15"/>
        <v>336300</v>
      </c>
      <c r="I134" s="45">
        <f t="shared" si="15"/>
        <v>5486000</v>
      </c>
    </row>
    <row r="135" spans="1:9" s="31" customFormat="1" ht="40.200000000000003" customHeight="1">
      <c r="A135" s="30" t="s">
        <v>117</v>
      </c>
      <c r="B135" s="18"/>
      <c r="C135" s="18"/>
      <c r="D135" s="73" t="s">
        <v>118</v>
      </c>
      <c r="E135" s="74"/>
      <c r="F135" s="20">
        <f>F136+F139+F140+F143+F146+F147</f>
        <v>32667034</v>
      </c>
      <c r="G135" s="20">
        <f>G136+G139+G140+G143+G146+G147</f>
        <v>26844734</v>
      </c>
      <c r="H135" s="20">
        <f>H136+H139+H140+H143+H146+H147</f>
        <v>336300</v>
      </c>
      <c r="I135" s="20">
        <f>I136+I139+I140+I143+I146+I147</f>
        <v>5486000</v>
      </c>
    </row>
    <row r="136" spans="1:9" s="31" customFormat="1" ht="126">
      <c r="A136" s="51">
        <v>1510150</v>
      </c>
      <c r="B136" s="26" t="s">
        <v>167</v>
      </c>
      <c r="C136" s="26" t="s">
        <v>162</v>
      </c>
      <c r="D136" s="23" t="s">
        <v>168</v>
      </c>
      <c r="E136" s="52" t="s">
        <v>25</v>
      </c>
      <c r="F136" s="24">
        <f>F137+F138</f>
        <v>1220000</v>
      </c>
      <c r="G136" s="24">
        <f>G137+G138</f>
        <v>1220000</v>
      </c>
      <c r="H136" s="46"/>
      <c r="I136" s="46"/>
    </row>
    <row r="137" spans="1:9" s="31" customFormat="1" ht="90">
      <c r="A137" s="51"/>
      <c r="B137" s="26"/>
      <c r="C137" s="26"/>
      <c r="D137" s="23"/>
      <c r="E137" s="52" t="s">
        <v>179</v>
      </c>
      <c r="F137" s="24">
        <v>590000</v>
      </c>
      <c r="G137" s="46">
        <v>590000</v>
      </c>
      <c r="H137" s="46"/>
      <c r="I137" s="46"/>
    </row>
    <row r="138" spans="1:9" s="31" customFormat="1" ht="90">
      <c r="A138" s="51"/>
      <c r="B138" s="26"/>
      <c r="C138" s="26"/>
      <c r="D138" s="23"/>
      <c r="E138" s="52" t="s">
        <v>262</v>
      </c>
      <c r="F138" s="24">
        <v>630000</v>
      </c>
      <c r="G138" s="46">
        <v>630000</v>
      </c>
      <c r="H138" s="46"/>
      <c r="I138" s="46"/>
    </row>
    <row r="139" spans="1:9" ht="126">
      <c r="A139" s="18" t="s">
        <v>113</v>
      </c>
      <c r="B139" s="18" t="s">
        <v>114</v>
      </c>
      <c r="C139" s="26" t="s">
        <v>115</v>
      </c>
      <c r="D139" s="23" t="s">
        <v>112</v>
      </c>
      <c r="E139" s="29" t="s">
        <v>230</v>
      </c>
      <c r="F139" s="24">
        <f>550000+2000000+5000000</f>
        <v>7550000</v>
      </c>
      <c r="G139" s="24">
        <f>550000+2000000</f>
        <v>2550000</v>
      </c>
      <c r="H139" s="24"/>
      <c r="I139" s="24">
        <v>5000000</v>
      </c>
    </row>
    <row r="140" spans="1:9" ht="36">
      <c r="A140" s="51">
        <v>1516015</v>
      </c>
      <c r="B140" s="26" t="s">
        <v>84</v>
      </c>
      <c r="C140" s="26" t="s">
        <v>86</v>
      </c>
      <c r="D140" s="23" t="s">
        <v>85</v>
      </c>
      <c r="E140" s="29" t="s">
        <v>25</v>
      </c>
      <c r="F140" s="24">
        <f>F141+F142</f>
        <v>1122000</v>
      </c>
      <c r="G140" s="46">
        <f>G141+G142</f>
        <v>636000</v>
      </c>
      <c r="H140" s="46">
        <f t="shared" ref="H140:I140" si="16">H141+H142</f>
        <v>0</v>
      </c>
      <c r="I140" s="46">
        <f t="shared" si="16"/>
        <v>486000</v>
      </c>
    </row>
    <row r="141" spans="1:9" ht="54">
      <c r="A141" s="51"/>
      <c r="B141" s="26"/>
      <c r="C141" s="26"/>
      <c r="D141" s="23"/>
      <c r="E141" s="29" t="s">
        <v>169</v>
      </c>
      <c r="F141" s="24">
        <v>486000</v>
      </c>
      <c r="G141" s="46"/>
      <c r="H141" s="46"/>
      <c r="I141" s="46">
        <v>486000</v>
      </c>
    </row>
    <row r="142" spans="1:9" ht="54">
      <c r="A142" s="51"/>
      <c r="B142" s="26"/>
      <c r="C142" s="26"/>
      <c r="D142" s="23"/>
      <c r="E142" s="29" t="s">
        <v>252</v>
      </c>
      <c r="F142" s="24">
        <v>636000</v>
      </c>
      <c r="G142" s="46">
        <v>636000</v>
      </c>
      <c r="H142" s="46"/>
      <c r="I142" s="46"/>
    </row>
    <row r="143" spans="1:9" ht="36">
      <c r="A143" s="18" t="s">
        <v>120</v>
      </c>
      <c r="B143" s="18" t="s">
        <v>121</v>
      </c>
      <c r="C143" s="26" t="s">
        <v>32</v>
      </c>
      <c r="D143" s="23" t="s">
        <v>122</v>
      </c>
      <c r="E143" s="29" t="s">
        <v>25</v>
      </c>
      <c r="F143" s="24">
        <f>SUM(F144:F145)</f>
        <v>1063146</v>
      </c>
      <c r="G143" s="24">
        <f>SUM(G144:G145)</f>
        <v>1063146</v>
      </c>
      <c r="H143" s="24">
        <f>SUM(H144:H145)</f>
        <v>0</v>
      </c>
      <c r="I143" s="24">
        <f>SUM(I144:I145)</f>
        <v>0</v>
      </c>
    </row>
    <row r="144" spans="1:9" ht="54">
      <c r="A144" s="18"/>
      <c r="B144" s="18"/>
      <c r="C144" s="26"/>
      <c r="D144" s="23"/>
      <c r="E144" s="40" t="s">
        <v>123</v>
      </c>
      <c r="F144" s="24">
        <v>926970</v>
      </c>
      <c r="G144" s="46">
        <v>926970</v>
      </c>
      <c r="H144" s="46"/>
      <c r="I144" s="46"/>
    </row>
    <row r="145" spans="1:9" ht="54">
      <c r="A145" s="18"/>
      <c r="B145" s="18"/>
      <c r="C145" s="26"/>
      <c r="D145" s="23"/>
      <c r="E145" s="40" t="s">
        <v>124</v>
      </c>
      <c r="F145" s="24">
        <v>136176</v>
      </c>
      <c r="G145" s="46">
        <v>136176</v>
      </c>
      <c r="H145" s="46"/>
      <c r="I145" s="46"/>
    </row>
    <row r="146" spans="1:9" ht="54">
      <c r="A146" s="18" t="s">
        <v>125</v>
      </c>
      <c r="B146" s="18" t="s">
        <v>126</v>
      </c>
      <c r="C146" s="26" t="s">
        <v>106</v>
      </c>
      <c r="D146" s="23" t="s">
        <v>127</v>
      </c>
      <c r="E146" s="29" t="s">
        <v>128</v>
      </c>
      <c r="F146" s="24">
        <v>19920588</v>
      </c>
      <c r="G146" s="46">
        <v>19920588</v>
      </c>
      <c r="H146" s="46"/>
      <c r="I146" s="46"/>
    </row>
    <row r="147" spans="1:9" ht="90">
      <c r="A147" s="18" t="s">
        <v>129</v>
      </c>
      <c r="B147" s="18" t="s">
        <v>36</v>
      </c>
      <c r="C147" s="26" t="s">
        <v>34</v>
      </c>
      <c r="D147" s="23" t="s">
        <v>35</v>
      </c>
      <c r="E147" s="29" t="s">
        <v>130</v>
      </c>
      <c r="F147" s="24">
        <v>1791300</v>
      </c>
      <c r="G147" s="46">
        <f>1791300-336300</f>
        <v>1455000</v>
      </c>
      <c r="H147" s="46">
        <v>336300</v>
      </c>
      <c r="I147" s="46"/>
    </row>
    <row r="148" spans="1:9" s="31" customFormat="1" ht="38.4" customHeight="1">
      <c r="A148" s="30" t="s">
        <v>131</v>
      </c>
      <c r="B148" s="30"/>
      <c r="C148" s="30"/>
      <c r="D148" s="73" t="s">
        <v>133</v>
      </c>
      <c r="E148" s="74"/>
      <c r="F148" s="20">
        <f t="shared" ref="F148:I148" si="17">F149</f>
        <v>41655782</v>
      </c>
      <c r="G148" s="45">
        <f>G149</f>
        <v>41655782</v>
      </c>
      <c r="H148" s="45">
        <f t="shared" si="17"/>
        <v>0</v>
      </c>
      <c r="I148" s="45">
        <f t="shared" si="17"/>
        <v>0</v>
      </c>
    </row>
    <row r="149" spans="1:9" s="31" customFormat="1" ht="40.200000000000003" customHeight="1">
      <c r="A149" s="30" t="s">
        <v>132</v>
      </c>
      <c r="B149" s="18"/>
      <c r="C149" s="18"/>
      <c r="D149" s="73" t="s">
        <v>133</v>
      </c>
      <c r="E149" s="74"/>
      <c r="F149" s="20">
        <f>F150+F151</f>
        <v>41655782</v>
      </c>
      <c r="G149" s="20">
        <f>G150+G151</f>
        <v>41655782</v>
      </c>
      <c r="H149" s="45">
        <f>H151</f>
        <v>0</v>
      </c>
      <c r="I149" s="45">
        <f>I151</f>
        <v>0</v>
      </c>
    </row>
    <row r="150" spans="1:9" s="31" customFormat="1" ht="100.5" customHeight="1">
      <c r="A150" s="51" t="s">
        <v>187</v>
      </c>
      <c r="B150" s="51" t="s">
        <v>188</v>
      </c>
      <c r="C150" s="51" t="s">
        <v>137</v>
      </c>
      <c r="D150" s="23" t="s">
        <v>189</v>
      </c>
      <c r="E150" s="52" t="s">
        <v>195</v>
      </c>
      <c r="F150" s="24">
        <v>1041300</v>
      </c>
      <c r="G150" s="46">
        <v>1041300</v>
      </c>
      <c r="H150" s="45"/>
      <c r="I150" s="45"/>
    </row>
    <row r="151" spans="1:9" ht="72">
      <c r="A151" s="18" t="s">
        <v>135</v>
      </c>
      <c r="B151" s="18" t="s">
        <v>136</v>
      </c>
      <c r="C151" s="26" t="s">
        <v>137</v>
      </c>
      <c r="D151" s="23" t="s">
        <v>134</v>
      </c>
      <c r="E151" s="29" t="s">
        <v>25</v>
      </c>
      <c r="F151" s="24">
        <f>F152+F153+F154+F155</f>
        <v>40614482</v>
      </c>
      <c r="G151" s="24">
        <f>G152+G153+G154+G155</f>
        <v>40614482</v>
      </c>
      <c r="H151" s="46"/>
      <c r="I151" s="46"/>
    </row>
    <row r="152" spans="1:9" ht="72">
      <c r="A152" s="18"/>
      <c r="B152" s="18"/>
      <c r="C152" s="26"/>
      <c r="D152" s="23"/>
      <c r="E152" s="29" t="s">
        <v>138</v>
      </c>
      <c r="F152" s="24">
        <f>6810000+5874082+6000000+2000000+4300000-2000000+5500000+1500000+1000000+2120000+4085400</f>
        <v>37189482</v>
      </c>
      <c r="G152" s="24">
        <f>6810000+5874082+6000000+2000000+4300000-2000000+5500000+1500000+1000000+2120000+4085400</f>
        <v>37189482</v>
      </c>
      <c r="H152" s="46"/>
      <c r="I152" s="46"/>
    </row>
    <row r="153" spans="1:9" ht="36">
      <c r="A153" s="18"/>
      <c r="B153" s="18"/>
      <c r="C153" s="26"/>
      <c r="D153" s="23"/>
      <c r="E153" s="29" t="s">
        <v>139</v>
      </c>
      <c r="F153" s="24">
        <f>1000000+130000-100000</f>
        <v>1030000</v>
      </c>
      <c r="G153" s="24">
        <f>1000000+130000-100000</f>
        <v>1030000</v>
      </c>
      <c r="H153" s="46"/>
      <c r="I153" s="46"/>
    </row>
    <row r="154" spans="1:9" ht="36">
      <c r="A154" s="18"/>
      <c r="B154" s="18"/>
      <c r="C154" s="26"/>
      <c r="D154" s="23"/>
      <c r="E154" s="29" t="s">
        <v>170</v>
      </c>
      <c r="F154" s="24">
        <v>1295000</v>
      </c>
      <c r="G154" s="24">
        <v>1295000</v>
      </c>
      <c r="H154" s="46"/>
      <c r="I154" s="46"/>
    </row>
    <row r="155" spans="1:9" ht="72">
      <c r="A155" s="18"/>
      <c r="B155" s="18"/>
      <c r="C155" s="26"/>
      <c r="D155" s="23"/>
      <c r="E155" s="29" t="s">
        <v>270</v>
      </c>
      <c r="F155" s="24">
        <v>1100000</v>
      </c>
      <c r="G155" s="24">
        <v>1100000</v>
      </c>
      <c r="H155" s="46"/>
      <c r="I155" s="46"/>
    </row>
    <row r="156" spans="1:9">
      <c r="A156" s="22"/>
      <c r="B156" s="17"/>
      <c r="C156" s="17"/>
      <c r="D156" s="2"/>
      <c r="E156" s="13" t="s">
        <v>0</v>
      </c>
      <c r="F156" s="25">
        <f>F15+F38+F70+F74+F81+F84+F134+F148</f>
        <v>150947888</v>
      </c>
      <c r="G156" s="25">
        <f>G15+G38+G70+G74+G81+G84+G134+G148</f>
        <v>144955588</v>
      </c>
      <c r="H156" s="25">
        <f>H15+H38+H70+H74+H81+H84+H134+H148</f>
        <v>336300</v>
      </c>
      <c r="I156" s="25">
        <f>I15+I38+I70+I74+I81+I84+I134+I148</f>
        <v>5656000</v>
      </c>
    </row>
    <row r="157" spans="1:9" s="19" customFormat="1">
      <c r="A157" s="5"/>
      <c r="B157" s="4"/>
      <c r="C157" s="4"/>
      <c r="D157" s="5"/>
      <c r="E157" s="14"/>
      <c r="F157" s="15"/>
      <c r="G157" s="48"/>
      <c r="H157" s="48"/>
      <c r="I157" s="48"/>
    </row>
    <row r="158" spans="1:9">
      <c r="A158" s="21"/>
      <c r="B158" s="19" t="s">
        <v>19</v>
      </c>
      <c r="C158" s="19"/>
      <c r="D158" s="19"/>
      <c r="E158" s="19"/>
      <c r="F158" s="19"/>
    </row>
    <row r="159" spans="1:9">
      <c r="F159" s="1"/>
      <c r="G159" s="49"/>
      <c r="H159" s="49"/>
      <c r="I159" s="49"/>
    </row>
    <row r="160" spans="1:9">
      <c r="E160" s="64"/>
      <c r="F160" s="71"/>
      <c r="G160" s="70"/>
      <c r="H160" s="70"/>
      <c r="I160" s="72"/>
    </row>
    <row r="161" spans="5:9">
      <c r="E161" s="64"/>
      <c r="F161" s="1"/>
      <c r="G161" s="1"/>
      <c r="H161" s="1"/>
      <c r="I161" s="1"/>
    </row>
    <row r="162" spans="5:9">
      <c r="E162" s="64"/>
      <c r="F162" s="1"/>
      <c r="G162" s="1"/>
      <c r="H162" s="1"/>
      <c r="I162" s="1"/>
    </row>
    <row r="163" spans="5:9">
      <c r="F163" s="1"/>
      <c r="G163" s="49"/>
    </row>
  </sheetData>
  <mergeCells count="29">
    <mergeCell ref="D38:E38"/>
    <mergeCell ref="D39:E39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  <mergeCell ref="D135:E135"/>
    <mergeCell ref="D148:E148"/>
    <mergeCell ref="D149:E149"/>
    <mergeCell ref="D58:E58"/>
    <mergeCell ref="D59:E59"/>
    <mergeCell ref="D84:E84"/>
    <mergeCell ref="D85:E85"/>
    <mergeCell ref="D134:E134"/>
    <mergeCell ref="D70:E70"/>
    <mergeCell ref="D71:E71"/>
    <mergeCell ref="D74:E74"/>
    <mergeCell ref="D75:E75"/>
    <mergeCell ref="D81:E81"/>
    <mergeCell ref="D82:E82"/>
    <mergeCell ref="D73:E73"/>
  </mergeCells>
  <pageMargins left="0.19685039370078741" right="0.19685039370078741" top="0.59055118110236227" bottom="0.59055118110236227" header="0" footer="0"/>
  <pageSetup paperSize="9" scale="5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220FU6</cp:lastModifiedBy>
  <cp:lastPrinted>2025-08-02T13:26:50Z</cp:lastPrinted>
  <dcterms:created xsi:type="dcterms:W3CDTF">2005-08-15T04:40:30Z</dcterms:created>
  <dcterms:modified xsi:type="dcterms:W3CDTF">2025-09-17T10:37:11Z</dcterms:modified>
</cp:coreProperties>
</file>