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рада на сайт\"/>
    </mc:Choice>
  </mc:AlternateContent>
  <bookViews>
    <workbookView xWindow="-105" yWindow="-105" windowWidth="23250" windowHeight="12570"/>
  </bookViews>
  <sheets>
    <sheet name="2025" sheetId="1" r:id="rId1"/>
  </sheets>
  <definedNames>
    <definedName name="_xlnm.Print_Titles" localSheetId="0">'2025'!$13:$17</definedName>
    <definedName name="_xlnm.Print_Area" localSheetId="0">'2025'!$A$1:$P$229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8" i="1" l="1"/>
  <c r="F197" i="1"/>
  <c r="O92" i="1" l="1"/>
  <c r="K92" i="1"/>
  <c r="O67" i="1"/>
  <c r="K67" i="1"/>
  <c r="J171" i="1"/>
  <c r="E225" i="1" l="1"/>
  <c r="F225" i="1"/>
  <c r="G225" i="1"/>
  <c r="H225" i="1"/>
  <c r="I225" i="1"/>
  <c r="J225" i="1"/>
  <c r="K225" i="1"/>
  <c r="M225" i="1"/>
  <c r="N225" i="1"/>
  <c r="O225" i="1"/>
  <c r="L225" i="1"/>
  <c r="F218" i="1"/>
  <c r="G218" i="1"/>
  <c r="H218" i="1"/>
  <c r="I218" i="1"/>
  <c r="K218" i="1"/>
  <c r="L218" i="1"/>
  <c r="M218" i="1"/>
  <c r="N218" i="1"/>
  <c r="O218" i="1"/>
  <c r="E218" i="1"/>
  <c r="F64" i="1"/>
  <c r="O209" i="1"/>
  <c r="K209" i="1"/>
  <c r="F209" i="1"/>
  <c r="E199" i="1"/>
  <c r="L19" i="1"/>
  <c r="M19" i="1"/>
  <c r="N19" i="1"/>
  <c r="O19" i="1"/>
  <c r="K19" i="1"/>
  <c r="G19" i="1"/>
  <c r="H19" i="1"/>
  <c r="I19" i="1"/>
  <c r="F19" i="1"/>
  <c r="F148" i="1"/>
  <c r="E171" i="1"/>
  <c r="P171" i="1" s="1"/>
  <c r="O164" i="1"/>
  <c r="O154" i="1"/>
  <c r="K154" i="1"/>
  <c r="O152" i="1"/>
  <c r="K152" i="1"/>
  <c r="F145" i="1"/>
  <c r="F143" i="1"/>
  <c r="F141" i="1"/>
  <c r="F138" i="1"/>
  <c r="G133" i="1"/>
  <c r="F133" i="1"/>
  <c r="G132" i="1"/>
  <c r="F132" i="1"/>
  <c r="G131" i="1"/>
  <c r="F131" i="1"/>
  <c r="F114" i="1"/>
  <c r="F113" i="1"/>
  <c r="F107" i="1"/>
  <c r="G104" i="1"/>
  <c r="F104" i="1"/>
  <c r="F102" i="1"/>
  <c r="F99" i="1"/>
  <c r="G92" i="1" l="1"/>
  <c r="F92" i="1"/>
  <c r="F90" i="1"/>
  <c r="P89" i="1"/>
  <c r="J89" i="1"/>
  <c r="F224" i="1"/>
  <c r="G224" i="1"/>
  <c r="H224" i="1"/>
  <c r="I224" i="1"/>
  <c r="K224" i="1"/>
  <c r="L224" i="1"/>
  <c r="M224" i="1"/>
  <c r="N224" i="1"/>
  <c r="O224" i="1"/>
  <c r="L88" i="1"/>
  <c r="G87" i="1"/>
  <c r="F87" i="1"/>
  <c r="G79" i="1"/>
  <c r="F79" i="1"/>
  <c r="G77" i="1"/>
  <c r="F77" i="1"/>
  <c r="H76" i="1"/>
  <c r="G76" i="1"/>
  <c r="F76" i="1"/>
  <c r="G74" i="1"/>
  <c r="F74" i="1"/>
  <c r="G73" i="1"/>
  <c r="F73" i="1"/>
  <c r="G71" i="1"/>
  <c r="F71" i="1"/>
  <c r="H68" i="1"/>
  <c r="G68" i="1"/>
  <c r="F68" i="1"/>
  <c r="H67" i="1"/>
  <c r="G67" i="1"/>
  <c r="F67" i="1"/>
  <c r="H66" i="1"/>
  <c r="G66" i="1"/>
  <c r="F66" i="1"/>
  <c r="G65" i="1"/>
  <c r="F65" i="1"/>
  <c r="L62" i="1"/>
  <c r="O62" i="1"/>
  <c r="O60" i="1"/>
  <c r="K60" i="1"/>
  <c r="F59" i="1"/>
  <c r="F58" i="1"/>
  <c r="E55" i="1"/>
  <c r="P55" i="1" s="1"/>
  <c r="F57" i="1"/>
  <c r="E57" i="1" s="1"/>
  <c r="P57" i="1" s="1"/>
  <c r="F56" i="1"/>
  <c r="E56" i="1" s="1"/>
  <c r="P56" i="1" s="1"/>
  <c r="F55" i="1"/>
  <c r="F31" i="1"/>
  <c r="F27" i="1"/>
  <c r="F26" i="1"/>
  <c r="F21" i="1"/>
  <c r="F54" i="1" l="1"/>
  <c r="L208" i="1"/>
  <c r="M208" i="1"/>
  <c r="N208" i="1"/>
  <c r="G208" i="1"/>
  <c r="H208" i="1"/>
  <c r="I208" i="1"/>
  <c r="J214" i="1"/>
  <c r="E214" i="1"/>
  <c r="F205" i="1"/>
  <c r="I193" i="1"/>
  <c r="F191" i="1"/>
  <c r="O166" i="1"/>
  <c r="K166" i="1"/>
  <c r="I165" i="1"/>
  <c r="O162" i="1"/>
  <c r="K162" i="1"/>
  <c r="I158" i="1"/>
  <c r="O157" i="1"/>
  <c r="K157" i="1"/>
  <c r="I156" i="1"/>
  <c r="I155" i="1"/>
  <c r="I154" i="1"/>
  <c r="L137" i="1"/>
  <c r="M137" i="1"/>
  <c r="N137" i="1"/>
  <c r="O137" i="1"/>
  <c r="K137" i="1"/>
  <c r="I137" i="1"/>
  <c r="J146" i="1"/>
  <c r="E146" i="1"/>
  <c r="G139" i="1"/>
  <c r="F139" i="1"/>
  <c r="F94" i="1"/>
  <c r="H92" i="1"/>
  <c r="O80" i="1"/>
  <c r="K80" i="1"/>
  <c r="O74" i="1"/>
  <c r="K74" i="1"/>
  <c r="O68" i="1"/>
  <c r="K68" i="1"/>
  <c r="H65" i="1"/>
  <c r="G58" i="1"/>
  <c r="F37" i="1"/>
  <c r="F33" i="1"/>
  <c r="F32" i="1"/>
  <c r="O29" i="1"/>
  <c r="K29" i="1"/>
  <c r="F29" i="1"/>
  <c r="O27" i="1"/>
  <c r="K27" i="1"/>
  <c r="H21" i="1"/>
  <c r="O21" i="1"/>
  <c r="K21" i="1"/>
  <c r="F156" i="1"/>
  <c r="P214" i="1" l="1"/>
  <c r="P146" i="1"/>
  <c r="L64" i="1"/>
  <c r="M64" i="1"/>
  <c r="N64" i="1"/>
  <c r="I64" i="1"/>
  <c r="J88" i="1"/>
  <c r="E88" i="1"/>
  <c r="J86" i="1"/>
  <c r="E86" i="1"/>
  <c r="J83" i="1"/>
  <c r="E83" i="1"/>
  <c r="G78" i="1"/>
  <c r="F78" i="1"/>
  <c r="G72" i="1"/>
  <c r="F72" i="1"/>
  <c r="F69" i="1" s="1"/>
  <c r="P88" i="1" l="1"/>
  <c r="P86" i="1"/>
  <c r="P83" i="1"/>
  <c r="O177" i="1" l="1"/>
  <c r="K177" i="1"/>
  <c r="O42" i="1"/>
  <c r="K42" i="1"/>
  <c r="J168" i="1" l="1"/>
  <c r="E168" i="1"/>
  <c r="P168" i="1" l="1"/>
  <c r="F202" i="1" l="1"/>
  <c r="O175" i="1" l="1"/>
  <c r="K175" i="1"/>
  <c r="F176" i="1"/>
  <c r="O184" i="1" l="1"/>
  <c r="K184" i="1"/>
  <c r="O180" i="1"/>
  <c r="K180" i="1"/>
  <c r="L148" i="1"/>
  <c r="M148" i="1"/>
  <c r="N148" i="1"/>
  <c r="E172" i="1"/>
  <c r="P172" i="1" s="1"/>
  <c r="J153" i="1" l="1"/>
  <c r="E153" i="1"/>
  <c r="F140" i="1"/>
  <c r="F134" i="1"/>
  <c r="G130" i="1"/>
  <c r="G128" i="1"/>
  <c r="F128" i="1"/>
  <c r="F120" i="1"/>
  <c r="E122" i="1"/>
  <c r="P122" i="1" s="1"/>
  <c r="F98" i="1"/>
  <c r="O94" i="1"/>
  <c r="K94" i="1"/>
  <c r="O84" i="1"/>
  <c r="K84" i="1"/>
  <c r="F75" i="1"/>
  <c r="O66" i="1"/>
  <c r="K66" i="1"/>
  <c r="F60" i="1"/>
  <c r="O53" i="1"/>
  <c r="F50" i="1"/>
  <c r="I48" i="1"/>
  <c r="F38" i="1"/>
  <c r="F35" i="1"/>
  <c r="F24" i="1"/>
  <c r="F23" i="1"/>
  <c r="P153" i="1" l="1"/>
  <c r="O64" i="1"/>
  <c r="K64" i="1"/>
  <c r="I222" i="1"/>
  <c r="K222" i="1"/>
  <c r="L222" i="1"/>
  <c r="M222" i="1"/>
  <c r="N222" i="1"/>
  <c r="O222" i="1"/>
  <c r="E144" i="1"/>
  <c r="P144" i="1" s="1"/>
  <c r="O179" i="1" l="1"/>
  <c r="K179" i="1"/>
  <c r="O178" i="1"/>
  <c r="K178" i="1"/>
  <c r="F106" i="1"/>
  <c r="J53" i="1"/>
  <c r="E53" i="1"/>
  <c r="F52" i="1"/>
  <c r="P53" i="1" l="1"/>
  <c r="L201" i="1"/>
  <c r="M201" i="1"/>
  <c r="N201" i="1"/>
  <c r="O201" i="1"/>
  <c r="K201" i="1"/>
  <c r="G201" i="1"/>
  <c r="H201" i="1"/>
  <c r="I201" i="1"/>
  <c r="J207" i="1"/>
  <c r="E207" i="1"/>
  <c r="O156" i="1"/>
  <c r="K156" i="1"/>
  <c r="I152" i="1"/>
  <c r="O132" i="1"/>
  <c r="K132" i="1"/>
  <c r="I220" i="1"/>
  <c r="K220" i="1"/>
  <c r="L220" i="1"/>
  <c r="M220" i="1"/>
  <c r="N220" i="1"/>
  <c r="O220" i="1"/>
  <c r="J112" i="1"/>
  <c r="E112" i="1"/>
  <c r="F93" i="1"/>
  <c r="F61" i="1"/>
  <c r="J45" i="1"/>
  <c r="J40" i="1"/>
  <c r="E40" i="1"/>
  <c r="G219" i="1"/>
  <c r="H219" i="1"/>
  <c r="I219" i="1"/>
  <c r="L219" i="1"/>
  <c r="M219" i="1"/>
  <c r="N219" i="1"/>
  <c r="J34" i="1"/>
  <c r="E34" i="1"/>
  <c r="O219" i="1"/>
  <c r="K219" i="1"/>
  <c r="P207" i="1" l="1"/>
  <c r="P40" i="1"/>
  <c r="P112" i="1"/>
  <c r="P34" i="1"/>
  <c r="H132" i="1" l="1"/>
  <c r="H128" i="1"/>
  <c r="O210" i="1" l="1"/>
  <c r="O208" i="1" s="1"/>
  <c r="K210" i="1"/>
  <c r="K208" i="1" s="1"/>
  <c r="F210" i="1"/>
  <c r="F208" i="1" s="1"/>
  <c r="O163" i="1"/>
  <c r="K163" i="1"/>
  <c r="I148" i="1"/>
  <c r="J162" i="1"/>
  <c r="E162" i="1"/>
  <c r="F151" i="1"/>
  <c r="F142" i="1"/>
  <c r="F137" i="1" s="1"/>
  <c r="F135" i="1"/>
  <c r="F117" i="1"/>
  <c r="F105" i="1"/>
  <c r="E84" i="1"/>
  <c r="J84" i="1"/>
  <c r="O44" i="1"/>
  <c r="K44" i="1"/>
  <c r="K43" i="1" s="1"/>
  <c r="F44" i="1"/>
  <c r="O41" i="1"/>
  <c r="K41" i="1"/>
  <c r="F39" i="1"/>
  <c r="P162" i="1" l="1"/>
  <c r="P84" i="1"/>
  <c r="J206" i="1" l="1"/>
  <c r="E206" i="1"/>
  <c r="J205" i="1"/>
  <c r="E205" i="1"/>
  <c r="F183" i="1"/>
  <c r="J169" i="1"/>
  <c r="J170" i="1"/>
  <c r="E169" i="1"/>
  <c r="E170" i="1"/>
  <c r="F166" i="1"/>
  <c r="E142" i="1"/>
  <c r="P142" i="1" s="1"/>
  <c r="J42" i="1"/>
  <c r="E42" i="1"/>
  <c r="F22" i="1"/>
  <c r="P170" i="1" l="1"/>
  <c r="P206" i="1"/>
  <c r="P169" i="1"/>
  <c r="P205" i="1"/>
  <c r="P42" i="1"/>
  <c r="F222" i="1" l="1"/>
  <c r="K196" i="1" l="1"/>
  <c r="E213" i="1"/>
  <c r="J212" i="1"/>
  <c r="J213" i="1"/>
  <c r="E212" i="1"/>
  <c r="J211" i="1"/>
  <c r="E211" i="1"/>
  <c r="F192" i="1"/>
  <c r="L174" i="1"/>
  <c r="M174" i="1"/>
  <c r="N174" i="1"/>
  <c r="H174" i="1"/>
  <c r="I174" i="1"/>
  <c r="F174" i="1"/>
  <c r="P212" i="1" l="1"/>
  <c r="P211" i="1"/>
  <c r="P213" i="1"/>
  <c r="J179" i="1"/>
  <c r="E179" i="1"/>
  <c r="J175" i="1"/>
  <c r="E175" i="1"/>
  <c r="O167" i="1"/>
  <c r="O148" i="1" s="1"/>
  <c r="K167" i="1"/>
  <c r="K148" i="1" s="1"/>
  <c r="J157" i="1"/>
  <c r="E157" i="1"/>
  <c r="P175" i="1" l="1"/>
  <c r="P179" i="1"/>
  <c r="P157" i="1"/>
  <c r="F130" i="1" l="1"/>
  <c r="J111" i="1"/>
  <c r="E111" i="1"/>
  <c r="O61" i="1"/>
  <c r="K61" i="1"/>
  <c r="J44" i="1"/>
  <c r="P111" i="1" l="1"/>
  <c r="J49" i="1"/>
  <c r="E210" i="1" l="1"/>
  <c r="E209" i="1"/>
  <c r="J167" i="1" l="1"/>
  <c r="E167" i="1"/>
  <c r="P167" i="1" l="1"/>
  <c r="J209" i="1" l="1"/>
  <c r="P209" i="1" s="1"/>
  <c r="J210" i="1"/>
  <c r="P210" i="1" s="1"/>
  <c r="M196" i="1"/>
  <c r="N226" i="1"/>
  <c r="O196" i="1"/>
  <c r="K226" i="1"/>
  <c r="G226" i="1"/>
  <c r="H226" i="1"/>
  <c r="E208" i="1"/>
  <c r="F204" i="1"/>
  <c r="F201" i="1" s="1"/>
  <c r="F188" i="1"/>
  <c r="N173" i="1"/>
  <c r="L173" i="1"/>
  <c r="M173" i="1"/>
  <c r="J180" i="1"/>
  <c r="J177" i="1"/>
  <c r="E184" i="1"/>
  <c r="J178" i="1"/>
  <c r="J181" i="1"/>
  <c r="J182" i="1"/>
  <c r="J183" i="1"/>
  <c r="E177" i="1"/>
  <c r="E178" i="1"/>
  <c r="E180" i="1"/>
  <c r="E181" i="1"/>
  <c r="E182" i="1"/>
  <c r="J164" i="1"/>
  <c r="E164" i="1"/>
  <c r="J163" i="1"/>
  <c r="E163" i="1"/>
  <c r="J159" i="1"/>
  <c r="E159" i="1"/>
  <c r="J158" i="1"/>
  <c r="E158" i="1"/>
  <c r="J152" i="1"/>
  <c r="E152" i="1"/>
  <c r="E72" i="1"/>
  <c r="P72" i="1" s="1"/>
  <c r="G103" i="1"/>
  <c r="F103" i="1"/>
  <c r="F220" i="1" s="1"/>
  <c r="E92" i="1"/>
  <c r="J80" i="1"/>
  <c r="J81" i="1"/>
  <c r="J82" i="1"/>
  <c r="J85" i="1"/>
  <c r="J87" i="1"/>
  <c r="E80" i="1"/>
  <c r="E81" i="1"/>
  <c r="E82" i="1"/>
  <c r="E85" i="1"/>
  <c r="E87" i="1"/>
  <c r="E90" i="1"/>
  <c r="E91" i="1"/>
  <c r="E78" i="1"/>
  <c r="P78" i="1" s="1"/>
  <c r="J61" i="1"/>
  <c r="E61" i="1"/>
  <c r="O51" i="1"/>
  <c r="K51" i="1"/>
  <c r="L43" i="1"/>
  <c r="M43" i="1"/>
  <c r="N43" i="1"/>
  <c r="O43" i="1"/>
  <c r="F43" i="1"/>
  <c r="P49" i="1"/>
  <c r="E71" i="1" l="1"/>
  <c r="P71" i="1" s="1"/>
  <c r="J184" i="1"/>
  <c r="P184" i="1" s="1"/>
  <c r="P177" i="1"/>
  <c r="K174" i="1"/>
  <c r="K173" i="1" s="1"/>
  <c r="N196" i="1"/>
  <c r="O174" i="1"/>
  <c r="O173" i="1" s="1"/>
  <c r="J208" i="1"/>
  <c r="P208" i="1" s="1"/>
  <c r="I196" i="1"/>
  <c r="L226" i="1"/>
  <c r="G69" i="1"/>
  <c r="L196" i="1"/>
  <c r="H196" i="1"/>
  <c r="O226" i="1"/>
  <c r="M226" i="1"/>
  <c r="I226" i="1"/>
  <c r="P181" i="1"/>
  <c r="P180" i="1"/>
  <c r="P178" i="1"/>
  <c r="P182" i="1"/>
  <c r="P152" i="1"/>
  <c r="P164" i="1"/>
  <c r="P80" i="1"/>
  <c r="P81" i="1"/>
  <c r="P87" i="1"/>
  <c r="P163" i="1"/>
  <c r="P159" i="1"/>
  <c r="P158" i="1"/>
  <c r="P82" i="1"/>
  <c r="P85" i="1"/>
  <c r="P61" i="1"/>
  <c r="J47" i="1" l="1"/>
  <c r="J48" i="1"/>
  <c r="J50" i="1"/>
  <c r="J51" i="1"/>
  <c r="E51" i="1"/>
  <c r="P51" i="1" l="1"/>
  <c r="G197" i="1"/>
  <c r="G196" i="1" s="1"/>
  <c r="I221" i="1" l="1"/>
  <c r="K221" i="1"/>
  <c r="N221" i="1"/>
  <c r="O221" i="1"/>
  <c r="M128" i="1" l="1"/>
  <c r="J94" i="1" l="1"/>
  <c r="L186" i="1" l="1"/>
  <c r="M186" i="1"/>
  <c r="N186" i="1"/>
  <c r="O186" i="1"/>
  <c r="K186" i="1"/>
  <c r="H186" i="1"/>
  <c r="I186" i="1"/>
  <c r="F186" i="1"/>
  <c r="J190" i="1"/>
  <c r="E190" i="1"/>
  <c r="P190" i="1" l="1"/>
  <c r="E197" i="1"/>
  <c r="H103" i="1" l="1"/>
  <c r="F115" i="1" l="1"/>
  <c r="E118" i="1"/>
  <c r="P118" i="1" s="1"/>
  <c r="E117" i="1"/>
  <c r="P117" i="1" s="1"/>
  <c r="E116" i="1"/>
  <c r="P116" i="1" s="1"/>
  <c r="G43" i="1"/>
  <c r="H43" i="1"/>
  <c r="I43" i="1"/>
  <c r="F30" i="1"/>
  <c r="F219" i="1" s="1"/>
  <c r="E31" i="1"/>
  <c r="E32" i="1"/>
  <c r="P32" i="1" s="1"/>
  <c r="E33" i="1"/>
  <c r="E50" i="1"/>
  <c r="P50" i="1" s="1"/>
  <c r="E48" i="1"/>
  <c r="P48" i="1" s="1"/>
  <c r="F96" i="1" l="1"/>
  <c r="P33" i="1"/>
  <c r="P31" i="1"/>
  <c r="E47" i="1"/>
  <c r="P47" i="1" s="1"/>
  <c r="E46" i="1"/>
  <c r="P46" i="1" s="1"/>
  <c r="E45" i="1"/>
  <c r="P45" i="1" s="1"/>
  <c r="E44" i="1"/>
  <c r="P44" i="1" s="1"/>
  <c r="M132" i="1" l="1"/>
  <c r="M221" i="1" s="1"/>
  <c r="L195" i="1"/>
  <c r="M195" i="1"/>
  <c r="N195" i="1"/>
  <c r="O195" i="1"/>
  <c r="K195" i="1"/>
  <c r="J202" i="1"/>
  <c r="J203" i="1"/>
  <c r="J204" i="1"/>
  <c r="H195" i="1"/>
  <c r="I195" i="1"/>
  <c r="E203" i="1"/>
  <c r="E202" i="1"/>
  <c r="E204" i="1"/>
  <c r="P204" i="1" l="1"/>
  <c r="P203" i="1"/>
  <c r="P202" i="1"/>
  <c r="F196" i="1" l="1"/>
  <c r="E196" i="1" s="1"/>
  <c r="E195" i="1" s="1"/>
  <c r="F226" i="1"/>
  <c r="E201" i="1"/>
  <c r="J200" i="1"/>
  <c r="E200" i="1"/>
  <c r="J198" i="1"/>
  <c r="E198" i="1"/>
  <c r="J192" i="1"/>
  <c r="E192" i="1"/>
  <c r="G187" i="1"/>
  <c r="G186" i="1" s="1"/>
  <c r="E183" i="1"/>
  <c r="P183" i="1" s="1"/>
  <c r="G176" i="1"/>
  <c r="G174" i="1" s="1"/>
  <c r="J161" i="1"/>
  <c r="E161" i="1"/>
  <c r="H149" i="1"/>
  <c r="H148" i="1" s="1"/>
  <c r="G149" i="1"/>
  <c r="G148" i="1" s="1"/>
  <c r="L136" i="1"/>
  <c r="M136" i="1"/>
  <c r="N136" i="1"/>
  <c r="O136" i="1"/>
  <c r="K136" i="1"/>
  <c r="J145" i="1"/>
  <c r="E145" i="1"/>
  <c r="H139" i="1"/>
  <c r="H137" i="1" s="1"/>
  <c r="G220" i="1"/>
  <c r="G138" i="1"/>
  <c r="G137" i="1" s="1"/>
  <c r="N126" i="1"/>
  <c r="O126" i="1"/>
  <c r="K126" i="1"/>
  <c r="I126" i="1"/>
  <c r="J135" i="1"/>
  <c r="E135" i="1"/>
  <c r="H133" i="1"/>
  <c r="H131" i="1"/>
  <c r="H130" i="1"/>
  <c r="G127" i="1"/>
  <c r="L120" i="1"/>
  <c r="M120" i="1"/>
  <c r="N120" i="1"/>
  <c r="O120" i="1"/>
  <c r="K120" i="1"/>
  <c r="H120" i="1"/>
  <c r="H119" i="1" s="1"/>
  <c r="I120" i="1"/>
  <c r="I119" i="1" s="1"/>
  <c r="F119" i="1"/>
  <c r="J124" i="1"/>
  <c r="E124" i="1"/>
  <c r="G121" i="1"/>
  <c r="G120" i="1" s="1"/>
  <c r="G119" i="1" s="1"/>
  <c r="L96" i="1"/>
  <c r="M96" i="1"/>
  <c r="N96" i="1"/>
  <c r="O96" i="1"/>
  <c r="K96" i="1"/>
  <c r="I96" i="1"/>
  <c r="J115" i="1"/>
  <c r="E115" i="1"/>
  <c r="J106" i="1"/>
  <c r="E106" i="1"/>
  <c r="H104" i="1"/>
  <c r="H97" i="1"/>
  <c r="G97" i="1"/>
  <c r="H220" i="1" l="1"/>
  <c r="E226" i="1"/>
  <c r="H221" i="1"/>
  <c r="G221" i="1"/>
  <c r="F221" i="1"/>
  <c r="F195" i="1"/>
  <c r="P200" i="1"/>
  <c r="P198" i="1"/>
  <c r="P192" i="1"/>
  <c r="P135" i="1"/>
  <c r="P161" i="1"/>
  <c r="G126" i="1"/>
  <c r="H126" i="1"/>
  <c r="P124" i="1"/>
  <c r="P145" i="1"/>
  <c r="F126" i="1"/>
  <c r="P115" i="1"/>
  <c r="H96" i="1"/>
  <c r="G96" i="1"/>
  <c r="P106" i="1"/>
  <c r="G195" i="1" l="1"/>
  <c r="E94" i="1"/>
  <c r="P94" i="1" s="1"/>
  <c r="J93" i="1"/>
  <c r="E93" i="1"/>
  <c r="H222" i="1"/>
  <c r="G222" i="1"/>
  <c r="H77" i="1"/>
  <c r="H79" i="1"/>
  <c r="H74" i="1"/>
  <c r="H58" i="1"/>
  <c r="E54" i="1"/>
  <c r="J43" i="1"/>
  <c r="E43" i="1"/>
  <c r="J41" i="1"/>
  <c r="E41" i="1"/>
  <c r="H24" i="1"/>
  <c r="G24" i="1"/>
  <c r="H23" i="1"/>
  <c r="G23" i="1"/>
  <c r="H22" i="1"/>
  <c r="G22" i="1"/>
  <c r="G21" i="1"/>
  <c r="G64" i="1" l="1"/>
  <c r="H64" i="1"/>
  <c r="P54" i="1"/>
  <c r="P93" i="1"/>
  <c r="P43" i="1"/>
  <c r="P41" i="1"/>
  <c r="L36" i="1"/>
  <c r="L223" i="1" s="1"/>
  <c r="M36" i="1"/>
  <c r="M223" i="1" s="1"/>
  <c r="N36" i="1"/>
  <c r="N223" i="1" s="1"/>
  <c r="O36" i="1"/>
  <c r="O223" i="1" s="1"/>
  <c r="K36" i="1"/>
  <c r="K223" i="1" s="1"/>
  <c r="G36" i="1"/>
  <c r="G223" i="1" s="1"/>
  <c r="H36" i="1"/>
  <c r="H223" i="1" s="1"/>
  <c r="I36" i="1"/>
  <c r="I223" i="1" s="1"/>
  <c r="F36" i="1"/>
  <c r="F223" i="1" s="1"/>
  <c r="J37" i="1"/>
  <c r="J38" i="1"/>
  <c r="J39" i="1"/>
  <c r="E38" i="1"/>
  <c r="E39" i="1"/>
  <c r="E37" i="1"/>
  <c r="P37" i="1" l="1"/>
  <c r="P39" i="1"/>
  <c r="P38" i="1"/>
  <c r="L20" i="1" l="1"/>
  <c r="M20" i="1"/>
  <c r="N20" i="1"/>
  <c r="O20" i="1"/>
  <c r="K20" i="1"/>
  <c r="J22" i="1"/>
  <c r="J23" i="1"/>
  <c r="J24" i="1"/>
  <c r="J21" i="1"/>
  <c r="E22" i="1"/>
  <c r="E23" i="1"/>
  <c r="E24" i="1"/>
  <c r="E21" i="1"/>
  <c r="F20" i="1"/>
  <c r="H20" i="1"/>
  <c r="I20" i="1"/>
  <c r="G20" i="1"/>
  <c r="N217" i="1" l="1"/>
  <c r="K217" i="1"/>
  <c r="K227" i="1" s="1"/>
  <c r="M217" i="1"/>
  <c r="M227" i="1" s="1"/>
  <c r="I217" i="1"/>
  <c r="O217" i="1"/>
  <c r="O227" i="1" s="1"/>
  <c r="G217" i="1"/>
  <c r="L217" i="1"/>
  <c r="H217" i="1"/>
  <c r="F217" i="1"/>
  <c r="N227" i="1"/>
  <c r="P24" i="1"/>
  <c r="P21" i="1"/>
  <c r="P23" i="1"/>
  <c r="P22" i="1"/>
  <c r="L119" i="1"/>
  <c r="M119" i="1"/>
  <c r="N119" i="1"/>
  <c r="O119" i="1"/>
  <c r="K119" i="1"/>
  <c r="L95" i="1"/>
  <c r="M95" i="1"/>
  <c r="N95" i="1"/>
  <c r="O95" i="1"/>
  <c r="K95" i="1"/>
  <c r="L63" i="1"/>
  <c r="M63" i="1"/>
  <c r="N63" i="1"/>
  <c r="O63" i="1"/>
  <c r="K63" i="1"/>
  <c r="G185" i="1"/>
  <c r="H185" i="1"/>
  <c r="I185" i="1"/>
  <c r="F185" i="1"/>
  <c r="G173" i="1"/>
  <c r="H173" i="1"/>
  <c r="I173" i="1"/>
  <c r="F173" i="1"/>
  <c r="G147" i="1"/>
  <c r="H147" i="1"/>
  <c r="I147" i="1"/>
  <c r="F147" i="1"/>
  <c r="G136" i="1"/>
  <c r="H136" i="1"/>
  <c r="I136" i="1"/>
  <c r="F136" i="1"/>
  <c r="G125" i="1"/>
  <c r="H125" i="1"/>
  <c r="I125" i="1"/>
  <c r="F125" i="1"/>
  <c r="I227" i="1" l="1"/>
  <c r="J19" i="1"/>
  <c r="F227" i="1"/>
  <c r="H227" i="1"/>
  <c r="G227" i="1"/>
  <c r="M126" i="1"/>
  <c r="L130" i="1"/>
  <c r="N125" i="1"/>
  <c r="O125" i="1"/>
  <c r="K125" i="1"/>
  <c r="L147" i="1"/>
  <c r="M147" i="1"/>
  <c r="N147" i="1"/>
  <c r="O147" i="1"/>
  <c r="K147" i="1"/>
  <c r="J62" i="1"/>
  <c r="E62" i="1"/>
  <c r="L126" i="1" l="1"/>
  <c r="L125" i="1" s="1"/>
  <c r="L221" i="1"/>
  <c r="L227" i="1" s="1"/>
  <c r="M125" i="1"/>
  <c r="P62" i="1"/>
  <c r="J120" i="1" l="1"/>
  <c r="J121" i="1"/>
  <c r="J123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3" i="1"/>
  <c r="J147" i="1"/>
  <c r="J148" i="1"/>
  <c r="J149" i="1"/>
  <c r="J150" i="1"/>
  <c r="J151" i="1"/>
  <c r="J154" i="1"/>
  <c r="J155" i="1"/>
  <c r="J156" i="1"/>
  <c r="J160" i="1"/>
  <c r="J165" i="1"/>
  <c r="J166" i="1"/>
  <c r="J173" i="1"/>
  <c r="J174" i="1"/>
  <c r="J176" i="1"/>
  <c r="J185" i="1"/>
  <c r="J186" i="1"/>
  <c r="J187" i="1"/>
  <c r="J188" i="1"/>
  <c r="J189" i="1"/>
  <c r="J191" i="1"/>
  <c r="J193" i="1"/>
  <c r="J194" i="1"/>
  <c r="J195" i="1"/>
  <c r="J196" i="1"/>
  <c r="J197" i="1"/>
  <c r="J199" i="1"/>
  <c r="J201" i="1"/>
  <c r="J226" i="1" s="1"/>
  <c r="P226" i="1" s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3" i="1"/>
  <c r="J114" i="1"/>
  <c r="J97" i="1"/>
  <c r="G95" i="1"/>
  <c r="H95" i="1"/>
  <c r="I95" i="1"/>
  <c r="J66" i="1"/>
  <c r="J67" i="1"/>
  <c r="J218" i="1" s="1"/>
  <c r="J68" i="1"/>
  <c r="J69" i="1"/>
  <c r="J73" i="1"/>
  <c r="J74" i="1"/>
  <c r="J75" i="1"/>
  <c r="J76" i="1"/>
  <c r="J77" i="1"/>
  <c r="J79" i="1"/>
  <c r="J90" i="1"/>
  <c r="J91" i="1"/>
  <c r="J92" i="1"/>
  <c r="J65" i="1"/>
  <c r="G63" i="1"/>
  <c r="H63" i="1"/>
  <c r="I63" i="1"/>
  <c r="J25" i="1"/>
  <c r="J26" i="1"/>
  <c r="J27" i="1"/>
  <c r="J28" i="1"/>
  <c r="J29" i="1"/>
  <c r="J30" i="1"/>
  <c r="J35" i="1"/>
  <c r="J36" i="1"/>
  <c r="J52" i="1"/>
  <c r="J58" i="1"/>
  <c r="J59" i="1"/>
  <c r="J60" i="1"/>
  <c r="J20" i="1"/>
  <c r="L18" i="1"/>
  <c r="M18" i="1"/>
  <c r="N18" i="1"/>
  <c r="O18" i="1"/>
  <c r="K18" i="1"/>
  <c r="G18" i="1"/>
  <c r="H18" i="1"/>
  <c r="I18" i="1"/>
  <c r="F18" i="1"/>
  <c r="E188" i="1"/>
  <c r="E189" i="1"/>
  <c r="E191" i="1"/>
  <c r="E193" i="1"/>
  <c r="E194" i="1"/>
  <c r="E150" i="1"/>
  <c r="E151" i="1"/>
  <c r="E154" i="1"/>
  <c r="E155" i="1"/>
  <c r="E156" i="1"/>
  <c r="E160" i="1"/>
  <c r="E224" i="1" s="1"/>
  <c r="E165" i="1"/>
  <c r="E166" i="1"/>
  <c r="E139" i="1"/>
  <c r="E140" i="1"/>
  <c r="E141" i="1"/>
  <c r="E143" i="1"/>
  <c r="E128" i="1"/>
  <c r="E129" i="1"/>
  <c r="E130" i="1"/>
  <c r="E131" i="1"/>
  <c r="E132" i="1"/>
  <c r="E133" i="1"/>
  <c r="E134" i="1"/>
  <c r="E123" i="1"/>
  <c r="E98" i="1"/>
  <c r="E99" i="1"/>
  <c r="E100" i="1"/>
  <c r="E101" i="1"/>
  <c r="E102" i="1"/>
  <c r="E103" i="1"/>
  <c r="E104" i="1"/>
  <c r="E105" i="1"/>
  <c r="E107" i="1"/>
  <c r="E108" i="1"/>
  <c r="E109" i="1"/>
  <c r="E110" i="1"/>
  <c r="E113" i="1"/>
  <c r="E114" i="1"/>
  <c r="E66" i="1"/>
  <c r="E67" i="1"/>
  <c r="E68" i="1"/>
  <c r="E69" i="1"/>
  <c r="E73" i="1"/>
  <c r="E74" i="1"/>
  <c r="E75" i="1"/>
  <c r="E76" i="1"/>
  <c r="E77" i="1"/>
  <c r="E79" i="1"/>
  <c r="E187" i="1"/>
  <c r="E186" i="1"/>
  <c r="E185" i="1"/>
  <c r="E176" i="1"/>
  <c r="E174" i="1"/>
  <c r="E173" i="1"/>
  <c r="E149" i="1"/>
  <c r="E148" i="1"/>
  <c r="E147" i="1"/>
  <c r="E138" i="1"/>
  <c r="E137" i="1"/>
  <c r="E136" i="1"/>
  <c r="E127" i="1"/>
  <c r="E126" i="1"/>
  <c r="E125" i="1"/>
  <c r="E121" i="1"/>
  <c r="E120" i="1"/>
  <c r="E119" i="1"/>
  <c r="E97" i="1"/>
  <c r="E65" i="1"/>
  <c r="E25" i="1"/>
  <c r="E26" i="1"/>
  <c r="E27" i="1"/>
  <c r="E28" i="1"/>
  <c r="E29" i="1"/>
  <c r="E30" i="1"/>
  <c r="E35" i="1"/>
  <c r="E36" i="1"/>
  <c r="E52" i="1"/>
  <c r="E58" i="1"/>
  <c r="E59" i="1"/>
  <c r="E60" i="1"/>
  <c r="E20" i="1"/>
  <c r="E19" i="1"/>
  <c r="J224" i="1" l="1"/>
  <c r="P224" i="1" s="1"/>
  <c r="J222" i="1"/>
  <c r="E223" i="1"/>
  <c r="J223" i="1"/>
  <c r="J217" i="1"/>
  <c r="E217" i="1"/>
  <c r="E222" i="1"/>
  <c r="E220" i="1"/>
  <c r="J220" i="1"/>
  <c r="E219" i="1"/>
  <c r="J219" i="1"/>
  <c r="E221" i="1"/>
  <c r="J221" i="1"/>
  <c r="K215" i="1"/>
  <c r="O215" i="1"/>
  <c r="N215" i="1"/>
  <c r="M215" i="1"/>
  <c r="L215" i="1"/>
  <c r="G215" i="1"/>
  <c r="H215" i="1"/>
  <c r="I215" i="1"/>
  <c r="P148" i="1"/>
  <c r="E96" i="1"/>
  <c r="F95" i="1"/>
  <c r="E95" i="1" s="1"/>
  <c r="E64" i="1"/>
  <c r="F63" i="1"/>
  <c r="J119" i="1"/>
  <c r="P119" i="1" s="1"/>
  <c r="J63" i="1"/>
  <c r="P19" i="1"/>
  <c r="J95" i="1"/>
  <c r="J96" i="1"/>
  <c r="J64" i="1"/>
  <c r="J18" i="1"/>
  <c r="E18" i="1"/>
  <c r="P201" i="1"/>
  <c r="P199" i="1"/>
  <c r="P197" i="1"/>
  <c r="P196" i="1"/>
  <c r="P195" i="1"/>
  <c r="P194" i="1"/>
  <c r="P193" i="1"/>
  <c r="P191" i="1"/>
  <c r="P189" i="1"/>
  <c r="P188" i="1"/>
  <c r="P187" i="1"/>
  <c r="P186" i="1"/>
  <c r="P185" i="1"/>
  <c r="P176" i="1"/>
  <c r="P174" i="1"/>
  <c r="P173" i="1"/>
  <c r="P166" i="1"/>
  <c r="P165" i="1"/>
  <c r="P160" i="1"/>
  <c r="P156" i="1"/>
  <c r="P155" i="1"/>
  <c r="P154" i="1"/>
  <c r="P151" i="1"/>
  <c r="P150" i="1"/>
  <c r="P149" i="1"/>
  <c r="P147" i="1"/>
  <c r="P143" i="1"/>
  <c r="P141" i="1"/>
  <c r="P140" i="1"/>
  <c r="P139" i="1"/>
  <c r="P138" i="1"/>
  <c r="P137" i="1"/>
  <c r="P136" i="1"/>
  <c r="P134" i="1"/>
  <c r="P133" i="1"/>
  <c r="P132" i="1"/>
  <c r="P131" i="1"/>
  <c r="P130" i="1"/>
  <c r="P129" i="1"/>
  <c r="P128" i="1"/>
  <c r="P127" i="1"/>
  <c r="P126" i="1"/>
  <c r="P125" i="1"/>
  <c r="P123" i="1"/>
  <c r="P121" i="1"/>
  <c r="P120" i="1"/>
  <c r="P114" i="1"/>
  <c r="P113" i="1"/>
  <c r="P110" i="1"/>
  <c r="P109" i="1"/>
  <c r="P108" i="1"/>
  <c r="P107" i="1"/>
  <c r="P105" i="1"/>
  <c r="P104" i="1"/>
  <c r="P103" i="1"/>
  <c r="P102" i="1"/>
  <c r="P101" i="1"/>
  <c r="P100" i="1"/>
  <c r="P99" i="1"/>
  <c r="P98" i="1"/>
  <c r="P97" i="1"/>
  <c r="P92" i="1"/>
  <c r="P91" i="1"/>
  <c r="P90" i="1"/>
  <c r="P79" i="1"/>
  <c r="P77" i="1"/>
  <c r="P76" i="1"/>
  <c r="P75" i="1"/>
  <c r="P74" i="1"/>
  <c r="P73" i="1"/>
  <c r="P69" i="1"/>
  <c r="P68" i="1"/>
  <c r="P67" i="1"/>
  <c r="P66" i="1"/>
  <c r="P65" i="1"/>
  <c r="P60" i="1"/>
  <c r="P59" i="1"/>
  <c r="P58" i="1"/>
  <c r="P52" i="1"/>
  <c r="P36" i="1"/>
  <c r="P35" i="1"/>
  <c r="P30" i="1"/>
  <c r="P29" i="1"/>
  <c r="P28" i="1"/>
  <c r="P27" i="1"/>
  <c r="P26" i="1"/>
  <c r="P25" i="1"/>
  <c r="P20" i="1"/>
  <c r="P222" i="1" l="1"/>
  <c r="P219" i="1"/>
  <c r="P223" i="1"/>
  <c r="P220" i="1"/>
  <c r="P221" i="1"/>
  <c r="P225" i="1"/>
  <c r="P218" i="1"/>
  <c r="J227" i="1"/>
  <c r="P64" i="1"/>
  <c r="E227" i="1"/>
  <c r="E63" i="1"/>
  <c r="E215" i="1" s="1"/>
  <c r="P217" i="1"/>
  <c r="P96" i="1"/>
  <c r="F215" i="1"/>
  <c r="P95" i="1"/>
  <c r="P18" i="1"/>
  <c r="J215" i="1"/>
  <c r="P227" i="1" l="1"/>
  <c r="P63" i="1"/>
  <c r="P215" i="1"/>
</calcChain>
</file>

<file path=xl/sharedStrings.xml><?xml version="1.0" encoding="utf-8"?>
<sst xmlns="http://schemas.openxmlformats.org/spreadsheetml/2006/main" count="688" uniqueCount="438">
  <si>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</si>
  <si>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</si>
  <si>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</si>
  <si>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</si>
  <si>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</si>
  <si>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</si>
  <si>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</si>
  <si>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</si>
  <si>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</si>
  <si>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</si>
  <si>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</si>
  <si>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</si>
  <si>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</si>
  <si>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</si>
  <si>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</si>
  <si>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</si>
  <si>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</si>
  <si>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</si>
  <si>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</si>
  <si>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</si>
  <si>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</si>
  <si>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</si>
  <si>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</si>
  <si>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</si>
  <si>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</si>
  <si>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</si>
  <si>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</si>
  <si>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</si>
  <si>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</si>
  <si>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</si>
  <si>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</si>
  <si>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</si>
  <si>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</si>
  <si>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</si>
  <si>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</si>
  <si>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</si>
  <si>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</si>
  <si>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</si>
  <si>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</si>
  <si>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</si>
  <si>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</si>
  <si>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</si>
  <si>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</si>
  <si>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</si>
  <si>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</si>
  <si>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</si>
  <si>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</si>
  <si>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</si>
  <si>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</si>
  <si>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</si>
  <si>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</si>
  <si>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</si>
  <si>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</si>
  <si>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</si>
  <si>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</si>
  <si>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</si>
  <si>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</si>
  <si>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</si>
  <si>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</si>
  <si>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</si>
  <si>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</si>
  <si>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</si>
  <si>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</si>
  <si>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</si>
  <si>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</si>
  <si>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</si>
  <si>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</si>
  <si>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</si>
  <si>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</si>
  <si>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</si>
  <si>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</si>
  <si>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</si>
  <si>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</si>
  <si>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</si>
  <si>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</si>
  <si>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</si>
  <si>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</si>
  <si>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</si>
  <si>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</si>
  <si>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</si>
  <si>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</si>
  <si>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</si>
  <si>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</si>
  <si>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</si>
  <si>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</si>
  <si>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</si>
  <si>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</si>
  <si>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</si>
  <si>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</si>
  <si>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</si>
  <si>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</si>
  <si>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</si>
  <si>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</si>
  <si>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</si>
  <si>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</si>
  <si>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</si>
  <si>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</si>
  <si>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</si>
  <si>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</si>
  <si>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</si>
  <si>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</si>
  <si>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</si>
  <si>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</si>
  <si>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</si>
  <si>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</si>
  <si>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</si>
  <si>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</si>
  <si>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</si>
  <si>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</si>
  <si>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</si>
  <si>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</si>
  <si>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</si>
  <si>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</si>
  <si>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</si>
  <si>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</si>
  <si>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</si>
  <si>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</si>
  <si>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</si>
  <si>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</si>
  <si>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</si>
  <si>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</si>
  <si>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</si>
  <si>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</si>
  <si>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</si>
  <si>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</si>
  <si>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</si>
  <si>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</si>
  <si>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</si>
  <si>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</si>
  <si>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</si>
  <si>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</si>
  <si>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</si>
  <si>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</si>
  <si>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</si>
  <si>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</si>
  <si>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</si>
  <si>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</si>
  <si>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</si>
  <si>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</si>
  <si>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</si>
  <si>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</si>
  <si>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</si>
  <si>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</si>
  <si>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</si>
  <si>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</si>
  <si>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</si>
  <si>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</si>
  <si>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</si>
  <si>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</si>
  <si>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</si>
  <si>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</si>
  <si>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</si>
  <si>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</si>
  <si>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</si>
  <si>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</si>
  <si>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</si>
  <si>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</si>
  <si>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</si>
  <si>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</si>
  <si>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</si>
  <si>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</si>
  <si>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</si>
  <si>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</si>
  <si>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</si>
  <si>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</si>
  <si>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</si>
  <si>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</si>
  <si>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</si>
  <si>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</si>
  <si>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</si>
  <si>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</si>
  <si>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</si>
  <si>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</si>
  <si>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</si>
  <si>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</si>
  <si>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</si>
  <si>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</si>
  <si>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</si>
  <si>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</si>
  <si>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</si>
  <si>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</si>
  <si>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</si>
  <si>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</si>
  <si>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</si>
  <si>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</si>
  <si>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</si>
  <si>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</si>
  <si>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</si>
  <si>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</si>
  <si>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</si>
  <si>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</si>
  <si>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</si>
  <si>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</si>
  <si>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</si>
  <si>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</si>
  <si>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</si>
  <si>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</si>
  <si>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</si>
  <si>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</si>
  <si>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</si>
  <si>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</si>
  <si>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</si>
  <si>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</si>
  <si>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</si>
  <si>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</si>
  <si>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</si>
  <si>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</si>
  <si>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</si>
  <si>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</si>
  <si>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</si>
  <si>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</si>
  <si>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</si>
  <si>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</si>
  <si>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</si>
  <si>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</si>
  <si>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</si>
  <si>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</si>
  <si>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</si>
  <si>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</si>
  <si>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</si>
  <si>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</si>
  <si>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</si>
  <si>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</si>
  <si>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</si>
  <si>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</si>
  <si>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</si>
  <si>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</si>
  <si>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</si>
  <si>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</si>
  <si>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</si>
  <si>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</si>
  <si>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</si>
  <si>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</si>
  <si>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</si>
  <si>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</si>
  <si>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</si>
  <si>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</si>
  <si>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</si>
  <si>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</si>
  <si>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</si>
  <si>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</si>
  <si>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</si>
  <si>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</si>
  <si>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</si>
  <si>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</si>
  <si>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</si>
  <si>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</si>
  <si>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</si>
  <si>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</si>
  <si>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</si>
  <si>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</si>
  <si>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</si>
  <si>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</si>
  <si>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</si>
  <si>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</si>
  <si>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</si>
  <si>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</si>
  <si>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</si>
  <si>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</si>
  <si>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</si>
  <si>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</si>
  <si>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</si>
  <si>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</si>
  <si>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</si>
  <si>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</si>
  <si>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</si>
  <si>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</si>
  <si>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</si>
  <si>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</si>
  <si>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</si>
  <si>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</si>
  <si>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</si>
  <si>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</si>
  <si>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</si>
  <si>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</si>
  <si>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</si>
  <si>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</si>
  <si>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</si>
  <si>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</si>
  <si>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</si>
  <si>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</si>
  <si>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</si>
  <si>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</si>
  <si>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</si>
  <si>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</si>
  <si>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</si>
  <si>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</si>
  <si>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</si>
  <si>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</si>
  <si>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</si>
  <si>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</si>
  <si>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</si>
  <si>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</si>
  <si>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</si>
  <si>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</si>
  <si>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</si>
  <si>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</si>
  <si>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</si>
  <si>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</si>
  <si>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</si>
  <si>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</si>
  <si>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</si>
  <si>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</si>
  <si>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</si>
  <si>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</si>
  <si>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</si>
  <si>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</si>
  <si>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</si>
  <si>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</si>
  <si>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</si>
  <si>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</si>
  <si>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</si>
  <si>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</si>
  <si>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</si>
  <si>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</si>
  <si>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</si>
  <si>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</si>
  <si>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</si>
  <si>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</si>
  <si>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</si>
  <si>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</si>
  <si>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</si>
  <si>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</si>
  <si>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</si>
  <si>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</si>
  <si>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</si>
  <si>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</si>
  <si>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</si>
  <si>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</si>
  <si>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</si>
  <si>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</si>
  <si>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</si>
  <si>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</si>
  <si>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</si>
  <si>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</si>
  <si>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</si>
  <si>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</si>
  <si>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</si>
  <si>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</si>
  <si>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</si>
  <si>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</si>
  <si>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</si>
  <si>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</si>
  <si>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</si>
  <si>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</si>
  <si>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</si>
  <si>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</si>
  <si>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</si>
  <si>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</si>
  <si>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</si>
  <si>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</si>
  <si>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</si>
  <si>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</si>
  <si>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</si>
  <si>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</si>
  <si>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</si>
  <si>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</si>
  <si>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</si>
  <si>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</si>
  <si>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</si>
  <si>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</si>
  <si>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</si>
  <si>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</si>
  <si>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</si>
  <si>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</si>
  <si>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</si>
  <si>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</si>
  <si>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</si>
  <si>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</si>
  <si>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</si>
  <si>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</si>
  <si>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</si>
  <si>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</si>
  <si>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</si>
  <si>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</si>
  <si>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</si>
  <si>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</si>
  <si>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</si>
  <si>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</si>
  <si>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</si>
  <si>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</si>
  <si>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</si>
  <si>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</si>
  <si>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</si>
  <si>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</si>
  <si>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</si>
  <si>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</si>
  <si>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</si>
  <si>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</si>
  <si>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</si>
  <si>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</si>
  <si>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</si>
  <si>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</si>
  <si>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</si>
  <si>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</si>
  <si>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</si>
  <si>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</si>
  <si>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</si>
  <si>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</si>
  <si>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</si>
  <si>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</si>
  <si>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</si>
  <si>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від                           .2025  №           - VIII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</si>
  <si>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</si>
  <si>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</si>
  <si>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</si>
  <si>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</si>
  <si>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</si>
  <si>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</si>
  <si>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</si>
  <si>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</si>
  <si>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</si>
  <si>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</si>
  <si>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</si>
  <si>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</si>
  <si>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</si>
  <si>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</si>
  <si>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</si>
  <si>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</si>
  <si>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</si>
  <si>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</si>
  <si>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</si>
  <si>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</si>
  <si>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</si>
  <si>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</si>
  <si>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</si>
  <si>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</si>
  <si>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</si>
  <si>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</si>
  <si>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</si>
  <si>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</si>
  <si>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</si>
  <si>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</si>
  <si>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</si>
  <si>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</si>
  <si>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</si>
  <si>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1218742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</si>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</sst>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#,&quot;-&quot;"/>
    <numFmt numFmtId="165" formatCode="#,##0.00_ ;\-#,##0.00\ "/>
    <numFmt numFmtId="166" formatCode="#,##0.000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52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165" fontId="2" fillId="2" borderId="1" xfId="0" applyNumberFormat="1" applyFont="1" applyFill="1" applyBorder="1"/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165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165" fontId="9" fillId="2" borderId="0" xfId="0" applyNumberFormat="1" applyFont="1" applyFill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0">
    <cellStyle name="Звичайний" xfId="0" builtinId="0"/>
    <cellStyle name="Звичайний 2" xfId="7"/>
    <cellStyle name="Звичайний 2 2" xfId="8"/>
    <cellStyle name="Обычный 2" xfId="5"/>
    <cellStyle name="Обычный 3" xfId="3"/>
    <cellStyle name="Обычный 4" xfId="6"/>
    <cellStyle name="Обычный 5" xfId="2"/>
    <cellStyle name="Обычный 6" xfId="4"/>
    <cellStyle name="Обычный 9" xfId="9"/>
    <cellStyle name="Обычный_до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4"/>
  <sheetViews>
    <sheetView tabSelected="1" view="pageBreakPreview" zoomScale="70" zoomScaleNormal="70" zoomScaleSheetLayoutView="70" workbookViewId="0">
      <pane xSplit="4" ySplit="17" topLeftCell="G225" activePane="bottomRight" state="frozen"/>
      <selection pane="topRight" activeCell="E1" sqref="E1"/>
      <selection pane="bottomLeft" activeCell="A14" sqref="A14"/>
      <selection pane="bottomRight" activeCell="E228" sqref="E228:P228"/>
    </sheetView>
  </sheetViews>
  <sheetFormatPr defaultColWidth="8.85546875" defaultRowHeight="15.75"/>
  <cols>
    <col min="1" max="3" width="12.140625" style="2" customWidth="1"/>
    <col min="4" max="4" width="40.7109375" style="2" customWidth="1"/>
    <col min="5" max="5" width="20.140625" style="2" customWidth="1"/>
    <col min="6" max="6" width="19.5703125" style="2" customWidth="1"/>
    <col min="7" max="7" width="17.28515625" style="2" customWidth="1"/>
    <col min="8" max="8" width="18.5703125" style="2" customWidth="1"/>
    <col min="9" max="9" width="18.7109375" style="2" customWidth="1"/>
    <col min="10" max="11" width="17.7109375" style="2" customWidth="1"/>
    <col min="12" max="12" width="17.5703125" style="2" customWidth="1"/>
    <col min="13" max="14" width="15.7109375" style="2" customWidth="1"/>
    <col min="15" max="15" width="17.28515625" style="2" customWidth="1"/>
    <col min="16" max="16" width="20.5703125" style="2" customWidth="1"/>
    <col min="17" max="16384" width="8.85546875" style="2"/>
  </cols>
  <sheetData>
    <row r="1" spans="1:16">
      <c r="M1" s="2" t="s">
        <v>415</v>
      </c>
    </row>
    <row r="2" spans="1:16">
      <c r="M2" s="2" t="s">
        <v>337</v>
      </c>
    </row>
    <row r="3" spans="1:16">
      <c r="M3" s="2" t="s">
        <v>402</v>
      </c>
    </row>
    <row r="5" spans="1:16" ht="20.45" customHeight="1">
      <c r="M5" s="2" t="s">
        <v>341</v>
      </c>
    </row>
    <row r="6" spans="1:16" ht="20.45" customHeight="1">
      <c r="M6" s="2" t="s">
        <v>337</v>
      </c>
    </row>
    <row r="7" spans="1:16" ht="20.45" customHeight="1">
      <c r="M7" s="2" t="s">
        <v>342</v>
      </c>
    </row>
    <row r="9" spans="1:16">
      <c r="A9" s="49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>
      <c r="A10" s="49" t="s">
        <v>287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>
      <c r="A11" s="3" t="s">
        <v>1</v>
      </c>
    </row>
    <row r="12" spans="1:16">
      <c r="A12" s="2" t="s">
        <v>2</v>
      </c>
      <c r="P12" s="4" t="s">
        <v>3</v>
      </c>
    </row>
    <row r="13" spans="1:16" ht="26.45" customHeight="1">
      <c r="A13" s="51" t="s">
        <v>4</v>
      </c>
      <c r="B13" s="51" t="s">
        <v>5</v>
      </c>
      <c r="C13" s="51" t="s">
        <v>6</v>
      </c>
      <c r="D13" s="48" t="s">
        <v>7</v>
      </c>
      <c r="E13" s="48" t="s">
        <v>8</v>
      </c>
      <c r="F13" s="48"/>
      <c r="G13" s="48"/>
      <c r="H13" s="48"/>
      <c r="I13" s="48"/>
      <c r="J13" s="48" t="s">
        <v>15</v>
      </c>
      <c r="K13" s="48"/>
      <c r="L13" s="48"/>
      <c r="M13" s="48"/>
      <c r="N13" s="48"/>
      <c r="O13" s="48"/>
      <c r="P13" s="48" t="s">
        <v>17</v>
      </c>
    </row>
    <row r="14" spans="1:16" ht="26.45" customHeight="1">
      <c r="A14" s="51"/>
      <c r="B14" s="51"/>
      <c r="C14" s="51"/>
      <c r="D14" s="48"/>
      <c r="E14" s="48" t="s">
        <v>9</v>
      </c>
      <c r="F14" s="48" t="s">
        <v>10</v>
      </c>
      <c r="G14" s="48" t="s">
        <v>11</v>
      </c>
      <c r="H14" s="48"/>
      <c r="I14" s="48" t="s">
        <v>14</v>
      </c>
      <c r="J14" s="48" t="s">
        <v>9</v>
      </c>
      <c r="K14" s="48" t="s">
        <v>16</v>
      </c>
      <c r="L14" s="48" t="s">
        <v>10</v>
      </c>
      <c r="M14" s="48" t="s">
        <v>11</v>
      </c>
      <c r="N14" s="48"/>
      <c r="O14" s="48" t="s">
        <v>14</v>
      </c>
      <c r="P14" s="48"/>
    </row>
    <row r="15" spans="1:16" ht="30.6" customHeight="1">
      <c r="A15" s="51"/>
      <c r="B15" s="51"/>
      <c r="C15" s="51"/>
      <c r="D15" s="48"/>
      <c r="E15" s="48"/>
      <c r="F15" s="48"/>
      <c r="G15" s="48" t="s">
        <v>12</v>
      </c>
      <c r="H15" s="48" t="s">
        <v>13</v>
      </c>
      <c r="I15" s="48"/>
      <c r="J15" s="48"/>
      <c r="K15" s="48"/>
      <c r="L15" s="48"/>
      <c r="M15" s="48" t="s">
        <v>12</v>
      </c>
      <c r="N15" s="48" t="s">
        <v>13</v>
      </c>
      <c r="O15" s="48"/>
      <c r="P15" s="48"/>
    </row>
    <row r="16" spans="1:16" ht="26.45" customHeight="1">
      <c r="A16" s="51"/>
      <c r="B16" s="51"/>
      <c r="C16" s="51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</row>
    <row r="18" spans="1:16" ht="47.25">
      <c r="A18" s="7" t="s">
        <v>18</v>
      </c>
      <c r="B18" s="7" t="s">
        <v>19</v>
      </c>
      <c r="C18" s="7" t="s">
        <v>19</v>
      </c>
      <c r="D18" s="8" t="s">
        <v>20</v>
      </c>
      <c r="E18" s="9">
        <f>F18+I18</f>
        <v>227053955</v>
      </c>
      <c r="F18" s="9">
        <f>F19</f>
        <v>226911955</v>
      </c>
      <c r="G18" s="9">
        <f>G19</f>
        <v>119295850</v>
      </c>
      <c r="H18" s="9">
        <f>H19</f>
        <v>4802700</v>
      </c>
      <c r="I18" s="9">
        <f>I19</f>
        <v>142000</v>
      </c>
      <c r="J18" s="9">
        <f>L18+O18</f>
        <v>24445288.219999999</v>
      </c>
      <c r="K18" s="9">
        <f>K19</f>
        <v>21453533</v>
      </c>
      <c r="L18" s="9">
        <f>L19</f>
        <v>787600</v>
      </c>
      <c r="M18" s="9">
        <f>M19</f>
        <v>0</v>
      </c>
      <c r="N18" s="9">
        <f>N19</f>
        <v>0</v>
      </c>
      <c r="O18" s="9">
        <f>O19</f>
        <v>23657688.219999999</v>
      </c>
      <c r="P18" s="9">
        <f t="shared" ref="P18:P91" si="0">E18 + J18</f>
        <v>251499243.22</v>
      </c>
    </row>
    <row r="19" spans="1:16" ht="47.25">
      <c r="A19" s="7" t="s">
        <v>21</v>
      </c>
      <c r="B19" s="7" t="s">
        <v>19</v>
      </c>
      <c r="C19" s="7" t="s">
        <v>19</v>
      </c>
      <c r="D19" s="8" t="s">
        <v>20</v>
      </c>
      <c r="E19" s="9">
        <f>F19+I19</f>
        <v>227053955</v>
      </c>
      <c r="F19" s="9">
        <f>F20+F25+F26+F27+F28+F29+F30+F34+F35+F36+F40+F41+F42+F43+F51+F52+F53+F54+F58+F59+F60+F61+F62</f>
        <v>226911955</v>
      </c>
      <c r="G19" s="39">
        <f t="shared" ref="G19:K19" si="1">G20+G25+G26+G27+G28+G29+G30+G34+G35+G36+G40+G41+G42+G43+G51+G52+G53+G54+G58+G59+G60+G61+G62</f>
        <v>119295850</v>
      </c>
      <c r="H19" s="39">
        <f t="shared" si="1"/>
        <v>4802700</v>
      </c>
      <c r="I19" s="39">
        <f t="shared" si="1"/>
        <v>142000</v>
      </c>
      <c r="J19" s="9">
        <f>L19+O19</f>
        <v>24445288.219999999</v>
      </c>
      <c r="K19" s="39">
        <f t="shared" si="1"/>
        <v>21453533</v>
      </c>
      <c r="L19" s="39">
        <f t="shared" ref="L19" si="2">L20+L25+L26+L27+L28+L29+L30+L34+L35+L36+L40+L41+L42+L43+L51+L52+L53+L54+L58+L59+L60+L61+L62</f>
        <v>787600</v>
      </c>
      <c r="M19" s="39">
        <f t="shared" ref="M19" si="3">M20+M25+M26+M27+M28+M29+M30+M34+M35+M36+M40+M41+M42+M43+M51+M52+M53+M54+M58+M59+M60+M61+M62</f>
        <v>0</v>
      </c>
      <c r="N19" s="39">
        <f t="shared" ref="N19" si="4">N20+N25+N26+N27+N28+N29+N30+N34+N35+N36+N40+N41+N42+N43+N51+N52+N53+N54+N58+N59+N60+N61+N62</f>
        <v>0</v>
      </c>
      <c r="O19" s="39">
        <f t="shared" ref="O19" si="5">O20+O25+O26+O27+O28+O29+O30+O34+O35+O36+O40+O41+O42+O43+O51+O52+O53+O54+O58+O59+O60+O61+O62</f>
        <v>23657688.219999999</v>
      </c>
      <c r="P19" s="9">
        <f>E19 + J19</f>
        <v>251499243.22</v>
      </c>
    </row>
    <row r="20" spans="1:16" ht="102" customHeight="1">
      <c r="A20" s="6" t="s">
        <v>22</v>
      </c>
      <c r="B20" s="6" t="s">
        <v>23</v>
      </c>
      <c r="C20" s="6" t="s">
        <v>24</v>
      </c>
      <c r="D20" s="10" t="s">
        <v>25</v>
      </c>
      <c r="E20" s="11">
        <f>F20+I20</f>
        <v>103941341</v>
      </c>
      <c r="F20" s="11">
        <f>F21+F22+F23+F24</f>
        <v>103941341</v>
      </c>
      <c r="G20" s="11">
        <f>G21+G22+G23+G24</f>
        <v>93494200</v>
      </c>
      <c r="H20" s="11">
        <f t="shared" ref="H20:I20" si="6">H21+H22+H23+H24</f>
        <v>4740200</v>
      </c>
      <c r="I20" s="11">
        <f t="shared" si="6"/>
        <v>0</v>
      </c>
      <c r="J20" s="11">
        <f>L20+O20</f>
        <v>169600</v>
      </c>
      <c r="K20" s="11">
        <f>K21+K22+K23+K24</f>
        <v>52000</v>
      </c>
      <c r="L20" s="11">
        <f t="shared" ref="L20:O20" si="7">L21+L22+L23+L24</f>
        <v>117600</v>
      </c>
      <c r="M20" s="11">
        <f t="shared" si="7"/>
        <v>0</v>
      </c>
      <c r="N20" s="11">
        <f t="shared" si="7"/>
        <v>0</v>
      </c>
      <c r="O20" s="11">
        <f t="shared" si="7"/>
        <v>52000</v>
      </c>
      <c r="P20" s="11">
        <f t="shared" si="0"/>
        <v>104110941</v>
      </c>
    </row>
    <row r="21" spans="1:16" s="5" customFormat="1" ht="58.5" customHeight="1">
      <c r="A21" s="12"/>
      <c r="B21" s="12"/>
      <c r="C21" s="12"/>
      <c r="D21" s="1" t="s">
        <v>20</v>
      </c>
      <c r="E21" s="13">
        <f>F21+I21</f>
        <v>93078541</v>
      </c>
      <c r="F21" s="13">
        <f>93697400+730000-202000-77800+47000-556459-700000-52000+192400</f>
        <v>93078541</v>
      </c>
      <c r="G21" s="13">
        <f>69039000+15188600</f>
        <v>84227600</v>
      </c>
      <c r="H21" s="13">
        <f>1900000+150000+2200000+43100+730000-211000-700000+266000+15600</f>
        <v>4393700</v>
      </c>
      <c r="I21" s="13"/>
      <c r="J21" s="13">
        <f>L21+O21</f>
        <v>169598</v>
      </c>
      <c r="K21" s="13">
        <f>47000-47000+52000</f>
        <v>52000</v>
      </c>
      <c r="L21" s="13">
        <v>117598</v>
      </c>
      <c r="M21" s="13"/>
      <c r="N21" s="13"/>
      <c r="O21" s="13">
        <f>47000-47000+52000</f>
        <v>52000</v>
      </c>
      <c r="P21" s="13">
        <f t="shared" si="0"/>
        <v>93248139</v>
      </c>
    </row>
    <row r="22" spans="1:16" s="5" customFormat="1" ht="74.25" customHeight="1">
      <c r="A22" s="12"/>
      <c r="B22" s="12"/>
      <c r="C22" s="12"/>
      <c r="D22" s="1" t="s">
        <v>276</v>
      </c>
      <c r="E22" s="13">
        <f t="shared" ref="E22:E24" si="8">F22+I22</f>
        <v>4133700</v>
      </c>
      <c r="F22" s="13">
        <f>4058100+73000+2600</f>
        <v>4133700</v>
      </c>
      <c r="G22" s="13">
        <f>2963900+652000</f>
        <v>3615900</v>
      </c>
      <c r="H22" s="13">
        <f>2500+58000+90000+5000</f>
        <v>155500</v>
      </c>
      <c r="I22" s="13"/>
      <c r="J22" s="13">
        <f t="shared" ref="J22:J24" si="9">L22+O22</f>
        <v>1</v>
      </c>
      <c r="K22" s="13"/>
      <c r="L22" s="13">
        <v>1</v>
      </c>
      <c r="M22" s="13"/>
      <c r="N22" s="13"/>
      <c r="O22" s="13"/>
      <c r="P22" s="13">
        <f t="shared" si="0"/>
        <v>4133701</v>
      </c>
    </row>
    <row r="23" spans="1:16" s="5" customFormat="1" ht="70.5" customHeight="1">
      <c r="A23" s="12"/>
      <c r="B23" s="12"/>
      <c r="C23" s="12"/>
      <c r="D23" s="1" t="s">
        <v>277</v>
      </c>
      <c r="E23" s="13">
        <f t="shared" si="8"/>
        <v>3164600</v>
      </c>
      <c r="F23" s="13">
        <f>2910600-50000+304000</f>
        <v>3164600</v>
      </c>
      <c r="G23" s="13">
        <f>2149400+472900</f>
        <v>2622300</v>
      </c>
      <c r="H23" s="13">
        <f>3200+38000+36600+10000</f>
        <v>87800</v>
      </c>
      <c r="I23" s="13"/>
      <c r="J23" s="13">
        <f t="shared" si="9"/>
        <v>0</v>
      </c>
      <c r="K23" s="13"/>
      <c r="L23" s="13"/>
      <c r="M23" s="13"/>
      <c r="N23" s="13"/>
      <c r="O23" s="13"/>
      <c r="P23" s="13">
        <f t="shared" si="0"/>
        <v>3164600</v>
      </c>
    </row>
    <row r="24" spans="1:16" s="5" customFormat="1" ht="71.25" customHeight="1">
      <c r="A24" s="12"/>
      <c r="B24" s="12"/>
      <c r="C24" s="12"/>
      <c r="D24" s="1" t="s">
        <v>278</v>
      </c>
      <c r="E24" s="13">
        <f t="shared" si="8"/>
        <v>3564500</v>
      </c>
      <c r="F24" s="13">
        <f>3364500+200000</f>
        <v>3564500</v>
      </c>
      <c r="G24" s="13">
        <f>2482300+546100</f>
        <v>3028400</v>
      </c>
      <c r="H24" s="13">
        <f>3200+40000+55000+5000</f>
        <v>103200</v>
      </c>
      <c r="I24" s="13"/>
      <c r="J24" s="13">
        <f t="shared" si="9"/>
        <v>1</v>
      </c>
      <c r="K24" s="13"/>
      <c r="L24" s="13">
        <v>1</v>
      </c>
      <c r="M24" s="13"/>
      <c r="N24" s="13"/>
      <c r="O24" s="13"/>
      <c r="P24" s="13">
        <f t="shared" si="0"/>
        <v>3564501</v>
      </c>
    </row>
    <row r="25" spans="1:16" ht="47.25">
      <c r="A25" s="6" t="s">
        <v>26</v>
      </c>
      <c r="B25" s="6" t="s">
        <v>27</v>
      </c>
      <c r="C25" s="6" t="s">
        <v>28</v>
      </c>
      <c r="D25" s="10" t="s">
        <v>29</v>
      </c>
      <c r="E25" s="11">
        <f t="shared" ref="E25:E62" si="10">F25+I25</f>
        <v>50000</v>
      </c>
      <c r="F25" s="11">
        <v>50000</v>
      </c>
      <c r="G25" s="11">
        <v>0</v>
      </c>
      <c r="H25" s="11">
        <v>0</v>
      </c>
      <c r="I25" s="11">
        <v>0</v>
      </c>
      <c r="J25" s="11">
        <f t="shared" ref="J25:J62" si="11">L25+O25</f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0"/>
        <v>50000</v>
      </c>
    </row>
    <row r="26" spans="1:16" ht="31.5">
      <c r="A26" s="6" t="s">
        <v>30</v>
      </c>
      <c r="B26" s="6" t="s">
        <v>31</v>
      </c>
      <c r="C26" s="6" t="s">
        <v>32</v>
      </c>
      <c r="D26" s="10" t="s">
        <v>33</v>
      </c>
      <c r="E26" s="11">
        <f t="shared" si="10"/>
        <v>2347819</v>
      </c>
      <c r="F26" s="11">
        <f>2589200-294000+18000+202000-375640+556459-25000-130800-192400</f>
        <v>2347819</v>
      </c>
      <c r="G26" s="11">
        <v>0</v>
      </c>
      <c r="H26" s="11">
        <v>0</v>
      </c>
      <c r="I26" s="11">
        <v>0</v>
      </c>
      <c r="J26" s="11">
        <f t="shared" si="11"/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2347819</v>
      </c>
    </row>
    <row r="27" spans="1:16" ht="31.5">
      <c r="A27" s="6" t="s">
        <v>34</v>
      </c>
      <c r="B27" s="6" t="s">
        <v>35</v>
      </c>
      <c r="C27" s="6" t="s">
        <v>36</v>
      </c>
      <c r="D27" s="10" t="s">
        <v>37</v>
      </c>
      <c r="E27" s="11">
        <f t="shared" si="10"/>
        <v>40099940</v>
      </c>
      <c r="F27" s="11">
        <f>34002900+511600+5000000+65630+200210+297600-9948+31948</f>
        <v>40099940</v>
      </c>
      <c r="G27" s="11">
        <v>0</v>
      </c>
      <c r="H27" s="11">
        <v>0</v>
      </c>
      <c r="I27" s="11">
        <v>0</v>
      </c>
      <c r="J27" s="11">
        <f t="shared" si="11"/>
        <v>11288410</v>
      </c>
      <c r="K27" s="11">
        <f>2036600-65630+1822170+5800000+1695270</f>
        <v>11288410</v>
      </c>
      <c r="L27" s="11">
        <v>0</v>
      </c>
      <c r="M27" s="11">
        <v>0</v>
      </c>
      <c r="N27" s="11">
        <v>0</v>
      </c>
      <c r="O27" s="11">
        <f>2036600-65630+1822170+5800000+1695270</f>
        <v>11288410</v>
      </c>
      <c r="P27" s="11">
        <f t="shared" si="0"/>
        <v>51388350</v>
      </c>
    </row>
    <row r="28" spans="1:16">
      <c r="A28" s="6" t="s">
        <v>38</v>
      </c>
      <c r="B28" s="6" t="s">
        <v>39</v>
      </c>
      <c r="C28" s="6" t="s">
        <v>40</v>
      </c>
      <c r="D28" s="10" t="s">
        <v>41</v>
      </c>
      <c r="E28" s="11">
        <f t="shared" si="10"/>
        <v>8701800</v>
      </c>
      <c r="F28" s="11">
        <v>8701800</v>
      </c>
      <c r="G28" s="11">
        <v>0</v>
      </c>
      <c r="H28" s="11">
        <v>0</v>
      </c>
      <c r="I28" s="11">
        <v>0</v>
      </c>
      <c r="J28" s="11">
        <f t="shared" si="11"/>
        <v>962100</v>
      </c>
      <c r="K28" s="11">
        <v>962100</v>
      </c>
      <c r="L28" s="11">
        <v>0</v>
      </c>
      <c r="M28" s="11">
        <v>0</v>
      </c>
      <c r="N28" s="11">
        <v>0</v>
      </c>
      <c r="O28" s="11">
        <v>962100</v>
      </c>
      <c r="P28" s="11">
        <f t="shared" si="0"/>
        <v>9663900</v>
      </c>
    </row>
    <row r="29" spans="1:16" ht="72" customHeight="1">
      <c r="A29" s="6" t="s">
        <v>42</v>
      </c>
      <c r="B29" s="6" t="s">
        <v>43</v>
      </c>
      <c r="C29" s="6" t="s">
        <v>44</v>
      </c>
      <c r="D29" s="10" t="s">
        <v>45</v>
      </c>
      <c r="E29" s="11">
        <f t="shared" si="10"/>
        <v>4465980</v>
      </c>
      <c r="F29" s="11">
        <f>13402400-8857000+68000+100000-60000+3500-190920</f>
        <v>4465980</v>
      </c>
      <c r="G29" s="11">
        <v>0</v>
      </c>
      <c r="H29" s="11">
        <v>0</v>
      </c>
      <c r="I29" s="11">
        <v>0</v>
      </c>
      <c r="J29" s="11">
        <f t="shared" si="11"/>
        <v>1108400</v>
      </c>
      <c r="K29" s="11">
        <f>1426100+192000+100000+45000+60000-714700</f>
        <v>1108400</v>
      </c>
      <c r="L29" s="11">
        <v>0</v>
      </c>
      <c r="M29" s="11">
        <v>0</v>
      </c>
      <c r="N29" s="11">
        <v>0</v>
      </c>
      <c r="O29" s="11">
        <f>1426100+192000+100000+45000+60000-714700</f>
        <v>1108400</v>
      </c>
      <c r="P29" s="11">
        <f t="shared" si="0"/>
        <v>5574380</v>
      </c>
    </row>
    <row r="30" spans="1:16" ht="31.5">
      <c r="A30" s="6" t="s">
        <v>46</v>
      </c>
      <c r="B30" s="6" t="s">
        <v>47</v>
      </c>
      <c r="C30" s="6" t="s">
        <v>48</v>
      </c>
      <c r="D30" s="10" t="s">
        <v>49</v>
      </c>
      <c r="E30" s="11">
        <f t="shared" si="10"/>
        <v>12769520</v>
      </c>
      <c r="F30" s="11">
        <f>SUM(F31:F33)</f>
        <v>12769520</v>
      </c>
      <c r="G30" s="11">
        <v>0</v>
      </c>
      <c r="H30" s="11">
        <v>0</v>
      </c>
      <c r="I30" s="11">
        <v>0</v>
      </c>
      <c r="J30" s="11">
        <f t="shared" si="11"/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12769520</v>
      </c>
    </row>
    <row r="31" spans="1:16" s="5" customFormat="1" ht="60" customHeight="1">
      <c r="A31" s="12"/>
      <c r="B31" s="12"/>
      <c r="C31" s="12"/>
      <c r="D31" s="1" t="s">
        <v>305</v>
      </c>
      <c r="E31" s="13">
        <f t="shared" si="10"/>
        <v>696300</v>
      </c>
      <c r="F31" s="13">
        <f>718300-22000</f>
        <v>696300</v>
      </c>
      <c r="G31" s="13"/>
      <c r="H31" s="13"/>
      <c r="I31" s="13"/>
      <c r="J31" s="13"/>
      <c r="K31" s="13"/>
      <c r="L31" s="13"/>
      <c r="M31" s="13"/>
      <c r="N31" s="13"/>
      <c r="O31" s="13"/>
      <c r="P31" s="13">
        <f t="shared" si="0"/>
        <v>696300</v>
      </c>
    </row>
    <row r="32" spans="1:16" s="5" customFormat="1" ht="87" customHeight="1">
      <c r="A32" s="12"/>
      <c r="B32" s="12"/>
      <c r="C32" s="12"/>
      <c r="D32" s="1" t="s">
        <v>303</v>
      </c>
      <c r="E32" s="13">
        <f t="shared" si="10"/>
        <v>9762620</v>
      </c>
      <c r="F32" s="13">
        <f>8857000+905620</f>
        <v>9762620</v>
      </c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0"/>
        <v>9762620</v>
      </c>
    </row>
    <row r="33" spans="1:16" s="5" customFormat="1" ht="74.25" customHeight="1">
      <c r="A33" s="12"/>
      <c r="B33" s="12"/>
      <c r="C33" s="12"/>
      <c r="D33" s="1" t="s">
        <v>306</v>
      </c>
      <c r="E33" s="13">
        <f t="shared" si="10"/>
        <v>2310600</v>
      </c>
      <c r="F33" s="13">
        <f>1260600+550000+500000</f>
        <v>2310600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0"/>
        <v>2310600</v>
      </c>
    </row>
    <row r="34" spans="1:16" s="18" customFormat="1" ht="25.9" customHeight="1">
      <c r="A34" s="14" t="s">
        <v>408</v>
      </c>
      <c r="B34" s="6">
        <v>2170</v>
      </c>
      <c r="C34" s="14" t="s">
        <v>48</v>
      </c>
      <c r="D34" s="10" t="s">
        <v>409</v>
      </c>
      <c r="E34" s="11">
        <f t="shared" si="10"/>
        <v>0</v>
      </c>
      <c r="F34" s="11"/>
      <c r="G34" s="11"/>
      <c r="H34" s="11"/>
      <c r="I34" s="11"/>
      <c r="J34" s="11">
        <f t="shared" si="11"/>
        <v>197300</v>
      </c>
      <c r="K34" s="11">
        <v>197300</v>
      </c>
      <c r="L34" s="11"/>
      <c r="M34" s="11"/>
      <c r="N34" s="11"/>
      <c r="O34" s="11">
        <v>197300</v>
      </c>
      <c r="P34" s="11">
        <f t="shared" si="0"/>
        <v>197300</v>
      </c>
    </row>
    <row r="35" spans="1:16" ht="41.25" customHeight="1">
      <c r="A35" s="6" t="s">
        <v>50</v>
      </c>
      <c r="B35" s="6" t="s">
        <v>51</v>
      </c>
      <c r="C35" s="6" t="s">
        <v>52</v>
      </c>
      <c r="D35" s="10" t="s">
        <v>53</v>
      </c>
      <c r="E35" s="11">
        <f t="shared" si="10"/>
        <v>3500000</v>
      </c>
      <c r="F35" s="11">
        <f>5000000-500000-1000000</f>
        <v>3500000</v>
      </c>
      <c r="G35" s="11">
        <v>0</v>
      </c>
      <c r="H35" s="11">
        <v>0</v>
      </c>
      <c r="I35" s="11">
        <v>0</v>
      </c>
      <c r="J35" s="11">
        <f t="shared" si="11"/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3500000</v>
      </c>
    </row>
    <row r="36" spans="1:16" ht="31.5">
      <c r="A36" s="6" t="s">
        <v>54</v>
      </c>
      <c r="B36" s="6" t="s">
        <v>55</v>
      </c>
      <c r="C36" s="6" t="s">
        <v>56</v>
      </c>
      <c r="D36" s="10" t="s">
        <v>57</v>
      </c>
      <c r="E36" s="11">
        <f t="shared" si="10"/>
        <v>15139700</v>
      </c>
      <c r="F36" s="11">
        <f>SUM(F37:F39)</f>
        <v>15139700</v>
      </c>
      <c r="G36" s="11">
        <f t="shared" ref="G36:I36" si="12">SUM(G37:G39)</f>
        <v>0</v>
      </c>
      <c r="H36" s="11">
        <f t="shared" si="12"/>
        <v>0</v>
      </c>
      <c r="I36" s="11">
        <f t="shared" si="12"/>
        <v>0</v>
      </c>
      <c r="J36" s="11">
        <f t="shared" si="11"/>
        <v>0</v>
      </c>
      <c r="K36" s="11">
        <f>SUM(K37:K39)</f>
        <v>0</v>
      </c>
      <c r="L36" s="11">
        <f t="shared" ref="L36:O36" si="13">SUM(L37:L39)</f>
        <v>0</v>
      </c>
      <c r="M36" s="11">
        <f t="shared" si="13"/>
        <v>0</v>
      </c>
      <c r="N36" s="11">
        <f t="shared" si="13"/>
        <v>0</v>
      </c>
      <c r="O36" s="11">
        <f t="shared" si="13"/>
        <v>0</v>
      </c>
      <c r="P36" s="11">
        <f t="shared" si="0"/>
        <v>15139700</v>
      </c>
    </row>
    <row r="37" spans="1:16" s="5" customFormat="1" ht="75.75" customHeight="1">
      <c r="A37" s="12"/>
      <c r="B37" s="12"/>
      <c r="C37" s="12"/>
      <c r="D37" s="1" t="s">
        <v>276</v>
      </c>
      <c r="E37" s="13">
        <f>F37+I37</f>
        <v>9730600</v>
      </c>
      <c r="F37" s="13">
        <f>3978400-73000+2000000-15600+1500000-29000+1900000+469800</f>
        <v>9730600</v>
      </c>
      <c r="G37" s="13"/>
      <c r="H37" s="13"/>
      <c r="I37" s="13"/>
      <c r="J37" s="13">
        <f t="shared" si="11"/>
        <v>0</v>
      </c>
      <c r="K37" s="13"/>
      <c r="L37" s="13"/>
      <c r="M37" s="13"/>
      <c r="N37" s="13"/>
      <c r="O37" s="13"/>
      <c r="P37" s="13">
        <f t="shared" si="0"/>
        <v>9730600</v>
      </c>
    </row>
    <row r="38" spans="1:16" s="5" customFormat="1" ht="72.75" customHeight="1">
      <c r="A38" s="12"/>
      <c r="B38" s="12"/>
      <c r="C38" s="12"/>
      <c r="D38" s="1" t="s">
        <v>277</v>
      </c>
      <c r="E38" s="13">
        <f t="shared" ref="E38:E39" si="14">F38+I38</f>
        <v>1634200</v>
      </c>
      <c r="F38" s="13">
        <f>1888200-254000</f>
        <v>1634200</v>
      </c>
      <c r="G38" s="13"/>
      <c r="H38" s="13"/>
      <c r="I38" s="13"/>
      <c r="J38" s="13">
        <f t="shared" si="11"/>
        <v>0</v>
      </c>
      <c r="K38" s="13"/>
      <c r="L38" s="13"/>
      <c r="M38" s="13"/>
      <c r="N38" s="13"/>
      <c r="O38" s="13"/>
      <c r="P38" s="13">
        <f t="shared" si="0"/>
        <v>1634200</v>
      </c>
    </row>
    <row r="39" spans="1:16" s="5" customFormat="1" ht="72" customHeight="1">
      <c r="A39" s="12"/>
      <c r="B39" s="12"/>
      <c r="C39" s="12"/>
      <c r="D39" s="1" t="s">
        <v>278</v>
      </c>
      <c r="E39" s="13">
        <f t="shared" si="14"/>
        <v>3774900</v>
      </c>
      <c r="F39" s="13">
        <f>2274900+1500000</f>
        <v>3774900</v>
      </c>
      <c r="G39" s="13"/>
      <c r="H39" s="13"/>
      <c r="I39" s="13"/>
      <c r="J39" s="13">
        <f t="shared" si="11"/>
        <v>0</v>
      </c>
      <c r="K39" s="13"/>
      <c r="L39" s="13"/>
      <c r="M39" s="13"/>
      <c r="N39" s="13"/>
      <c r="O39" s="13"/>
      <c r="P39" s="13">
        <f t="shared" si="0"/>
        <v>3774900</v>
      </c>
    </row>
    <row r="40" spans="1:16" s="18" customFormat="1" ht="72" customHeight="1">
      <c r="A40" s="14" t="s">
        <v>410</v>
      </c>
      <c r="B40" s="14" t="s">
        <v>411</v>
      </c>
      <c r="C40" s="14" t="s">
        <v>255</v>
      </c>
      <c r="D40" s="10" t="s">
        <v>412</v>
      </c>
      <c r="E40" s="11">
        <f t="shared" si="10"/>
        <v>0</v>
      </c>
      <c r="F40" s="11"/>
      <c r="G40" s="11"/>
      <c r="H40" s="11"/>
      <c r="I40" s="11"/>
      <c r="J40" s="11">
        <f t="shared" si="11"/>
        <v>90000</v>
      </c>
      <c r="K40" s="11">
        <v>90000</v>
      </c>
      <c r="L40" s="11"/>
      <c r="M40" s="11"/>
      <c r="N40" s="11"/>
      <c r="O40" s="11">
        <v>90000</v>
      </c>
      <c r="P40" s="11">
        <f t="shared" si="0"/>
        <v>90000</v>
      </c>
    </row>
    <row r="41" spans="1:16" ht="53.25" customHeight="1">
      <c r="A41" s="14" t="s">
        <v>281</v>
      </c>
      <c r="B41" s="14" t="s">
        <v>254</v>
      </c>
      <c r="C41" s="14" t="s">
        <v>255</v>
      </c>
      <c r="D41" s="10" t="s">
        <v>256</v>
      </c>
      <c r="E41" s="11">
        <f t="shared" si="10"/>
        <v>0</v>
      </c>
      <c r="F41" s="11"/>
      <c r="G41" s="11"/>
      <c r="H41" s="11"/>
      <c r="I41" s="11"/>
      <c r="J41" s="11">
        <f t="shared" si="11"/>
        <v>283400</v>
      </c>
      <c r="K41" s="11">
        <f>7000000+340000-7000000-56600</f>
        <v>283400</v>
      </c>
      <c r="L41" s="11"/>
      <c r="M41" s="11"/>
      <c r="N41" s="11"/>
      <c r="O41" s="11">
        <f>7000000+340000-7000000-56600</f>
        <v>283400</v>
      </c>
      <c r="P41" s="11">
        <f t="shared" si="0"/>
        <v>283400</v>
      </c>
    </row>
    <row r="42" spans="1:16" ht="56.25" customHeight="1">
      <c r="A42" s="14" t="s">
        <v>393</v>
      </c>
      <c r="B42" s="14" t="s">
        <v>394</v>
      </c>
      <c r="C42" s="14" t="s">
        <v>255</v>
      </c>
      <c r="D42" s="10" t="s">
        <v>395</v>
      </c>
      <c r="E42" s="11">
        <f t="shared" si="10"/>
        <v>80000</v>
      </c>
      <c r="F42" s="11">
        <v>80000</v>
      </c>
      <c r="G42" s="11"/>
      <c r="H42" s="11"/>
      <c r="I42" s="11"/>
      <c r="J42" s="11">
        <f t="shared" si="11"/>
        <v>3920000</v>
      </c>
      <c r="K42" s="11">
        <f>7000000-80000-3000000</f>
        <v>3920000</v>
      </c>
      <c r="L42" s="11"/>
      <c r="M42" s="11"/>
      <c r="N42" s="11"/>
      <c r="O42" s="11">
        <f>7000000-80000-3000000</f>
        <v>3920000</v>
      </c>
      <c r="P42" s="11">
        <f t="shared" si="0"/>
        <v>4000000</v>
      </c>
    </row>
    <row r="43" spans="1:16" ht="39" customHeight="1">
      <c r="A43" s="14" t="s">
        <v>282</v>
      </c>
      <c r="B43" s="14" t="s">
        <v>283</v>
      </c>
      <c r="C43" s="14" t="s">
        <v>285</v>
      </c>
      <c r="D43" s="10" t="s">
        <v>284</v>
      </c>
      <c r="E43" s="11">
        <f t="shared" si="10"/>
        <v>1672340</v>
      </c>
      <c r="F43" s="11">
        <f>SUM(F44:F50)</f>
        <v>1530340</v>
      </c>
      <c r="G43" s="11">
        <f t="shared" ref="G43:I43" si="15">SUM(G44:G50)</f>
        <v>0</v>
      </c>
      <c r="H43" s="11">
        <f t="shared" si="15"/>
        <v>0</v>
      </c>
      <c r="I43" s="11">
        <f t="shared" si="15"/>
        <v>142000</v>
      </c>
      <c r="J43" s="11">
        <f t="shared" si="11"/>
        <v>954600</v>
      </c>
      <c r="K43" s="11">
        <f>SUM(K44:K50)</f>
        <v>954600</v>
      </c>
      <c r="L43" s="11">
        <f t="shared" ref="L43:O43" si="16">SUM(L44:L50)</f>
        <v>0</v>
      </c>
      <c r="M43" s="11">
        <f t="shared" si="16"/>
        <v>0</v>
      </c>
      <c r="N43" s="11">
        <f t="shared" si="16"/>
        <v>0</v>
      </c>
      <c r="O43" s="11">
        <f t="shared" si="16"/>
        <v>954600</v>
      </c>
      <c r="P43" s="11">
        <f t="shared" si="0"/>
        <v>2626940</v>
      </c>
    </row>
    <row r="44" spans="1:16" ht="54.75" customHeight="1">
      <c r="A44" s="14"/>
      <c r="B44" s="14"/>
      <c r="C44" s="14"/>
      <c r="D44" s="1" t="s">
        <v>20</v>
      </c>
      <c r="E44" s="13">
        <f t="shared" si="10"/>
        <v>1376600</v>
      </c>
      <c r="F44" s="13">
        <f>1287300+89300</f>
        <v>1376600</v>
      </c>
      <c r="G44" s="11"/>
      <c r="H44" s="11"/>
      <c r="I44" s="11"/>
      <c r="J44" s="11">
        <f>L44+O44</f>
        <v>391600</v>
      </c>
      <c r="K44" s="11">
        <f>191600+40180+159820</f>
        <v>391600</v>
      </c>
      <c r="L44" s="11"/>
      <c r="M44" s="11"/>
      <c r="N44" s="11"/>
      <c r="O44" s="11">
        <f>191600+40180+159820</f>
        <v>391600</v>
      </c>
      <c r="P44" s="13">
        <f t="shared" si="0"/>
        <v>1768200</v>
      </c>
    </row>
    <row r="45" spans="1:16" ht="74.25" customHeight="1">
      <c r="A45" s="14"/>
      <c r="B45" s="14"/>
      <c r="C45" s="14"/>
      <c r="D45" s="1" t="s">
        <v>276</v>
      </c>
      <c r="E45" s="13">
        <f t="shared" si="10"/>
        <v>10400</v>
      </c>
      <c r="F45" s="13">
        <v>10400</v>
      </c>
      <c r="G45" s="11"/>
      <c r="H45" s="11"/>
      <c r="I45" s="11"/>
      <c r="J45" s="11">
        <f>L45+O45</f>
        <v>29000</v>
      </c>
      <c r="K45" s="11">
        <v>29000</v>
      </c>
      <c r="L45" s="11"/>
      <c r="M45" s="11"/>
      <c r="N45" s="11"/>
      <c r="O45" s="11">
        <v>29000</v>
      </c>
      <c r="P45" s="13">
        <f t="shared" si="0"/>
        <v>39400</v>
      </c>
    </row>
    <row r="46" spans="1:16" ht="72" customHeight="1">
      <c r="A46" s="14"/>
      <c r="B46" s="14"/>
      <c r="C46" s="14"/>
      <c r="D46" s="1" t="s">
        <v>277</v>
      </c>
      <c r="E46" s="13">
        <f t="shared" si="10"/>
        <v>18800</v>
      </c>
      <c r="F46" s="13">
        <v>18800</v>
      </c>
      <c r="G46" s="11"/>
      <c r="H46" s="11"/>
      <c r="I46" s="11"/>
      <c r="J46" s="11"/>
      <c r="K46" s="11"/>
      <c r="L46" s="11"/>
      <c r="M46" s="11"/>
      <c r="N46" s="11"/>
      <c r="O46" s="11"/>
      <c r="P46" s="13">
        <f t="shared" si="0"/>
        <v>18800</v>
      </c>
    </row>
    <row r="47" spans="1:16" ht="72" customHeight="1">
      <c r="A47" s="14"/>
      <c r="B47" s="14"/>
      <c r="C47" s="14"/>
      <c r="D47" s="1" t="s">
        <v>278</v>
      </c>
      <c r="E47" s="13">
        <f t="shared" si="10"/>
        <v>10400</v>
      </c>
      <c r="F47" s="13">
        <v>10400</v>
      </c>
      <c r="G47" s="11"/>
      <c r="H47" s="11"/>
      <c r="I47" s="11"/>
      <c r="J47" s="11">
        <f t="shared" ref="J47:J51" si="17">L47+O47</f>
        <v>0</v>
      </c>
      <c r="K47" s="11"/>
      <c r="L47" s="11"/>
      <c r="M47" s="11"/>
      <c r="N47" s="11"/>
      <c r="O47" s="11"/>
      <c r="P47" s="13">
        <f t="shared" si="0"/>
        <v>10400</v>
      </c>
    </row>
    <row r="48" spans="1:16" ht="93" customHeight="1">
      <c r="A48" s="14"/>
      <c r="B48" s="14"/>
      <c r="C48" s="14"/>
      <c r="D48" s="1" t="s">
        <v>303</v>
      </c>
      <c r="E48" s="13">
        <f t="shared" si="10"/>
        <v>142000</v>
      </c>
      <c r="F48" s="13"/>
      <c r="G48" s="11"/>
      <c r="H48" s="11"/>
      <c r="I48" s="13">
        <f>145500-3500</f>
        <v>142000</v>
      </c>
      <c r="J48" s="11">
        <f t="shared" si="17"/>
        <v>0</v>
      </c>
      <c r="K48" s="11"/>
      <c r="L48" s="11"/>
      <c r="M48" s="11"/>
      <c r="N48" s="11"/>
      <c r="O48" s="11"/>
      <c r="P48" s="13">
        <f t="shared" si="0"/>
        <v>142000</v>
      </c>
    </row>
    <row r="49" spans="1:16" s="5" customFormat="1" ht="58.5" customHeight="1">
      <c r="A49" s="17"/>
      <c r="B49" s="17"/>
      <c r="C49" s="17"/>
      <c r="D49" s="1" t="s">
        <v>305</v>
      </c>
      <c r="E49" s="13"/>
      <c r="F49" s="13"/>
      <c r="G49" s="13"/>
      <c r="H49" s="13"/>
      <c r="I49" s="13"/>
      <c r="J49" s="11">
        <f t="shared" si="17"/>
        <v>534000</v>
      </c>
      <c r="K49" s="13">
        <v>534000</v>
      </c>
      <c r="L49" s="13"/>
      <c r="M49" s="13"/>
      <c r="N49" s="13"/>
      <c r="O49" s="13">
        <v>534000</v>
      </c>
      <c r="P49" s="13">
        <f t="shared" si="0"/>
        <v>534000</v>
      </c>
    </row>
    <row r="50" spans="1:16" ht="53.25" customHeight="1">
      <c r="A50" s="14"/>
      <c r="B50" s="14"/>
      <c r="C50" s="14"/>
      <c r="D50" s="1" t="s">
        <v>304</v>
      </c>
      <c r="E50" s="13">
        <f t="shared" si="10"/>
        <v>114140</v>
      </c>
      <c r="F50" s="13">
        <f>56900+39240+18000</f>
        <v>114140</v>
      </c>
      <c r="G50" s="11"/>
      <c r="H50" s="11"/>
      <c r="I50" s="11"/>
      <c r="J50" s="11">
        <f t="shared" si="17"/>
        <v>0</v>
      </c>
      <c r="K50" s="11"/>
      <c r="L50" s="11"/>
      <c r="M50" s="11"/>
      <c r="N50" s="11"/>
      <c r="O50" s="11"/>
      <c r="P50" s="13">
        <f t="shared" si="0"/>
        <v>114140</v>
      </c>
    </row>
    <row r="51" spans="1:16">
      <c r="A51" s="14" t="s">
        <v>333</v>
      </c>
      <c r="B51" s="14" t="s">
        <v>334</v>
      </c>
      <c r="C51" s="14" t="s">
        <v>335</v>
      </c>
      <c r="D51" s="10" t="s">
        <v>336</v>
      </c>
      <c r="E51" s="11">
        <f t="shared" si="10"/>
        <v>0</v>
      </c>
      <c r="F51" s="13"/>
      <c r="G51" s="11"/>
      <c r="H51" s="11"/>
      <c r="I51" s="11"/>
      <c r="J51" s="11">
        <f t="shared" si="17"/>
        <v>1500000</v>
      </c>
      <c r="K51" s="11">
        <f>1000000+500000</f>
        <v>1500000</v>
      </c>
      <c r="L51" s="11"/>
      <c r="M51" s="11"/>
      <c r="N51" s="11"/>
      <c r="O51" s="11">
        <f>1000000+500000</f>
        <v>1500000</v>
      </c>
      <c r="P51" s="11">
        <f>E51 + J51</f>
        <v>1500000</v>
      </c>
    </row>
    <row r="52" spans="1:16" ht="31.5">
      <c r="A52" s="6" t="s">
        <v>58</v>
      </c>
      <c r="B52" s="6" t="s">
        <v>59</v>
      </c>
      <c r="C52" s="6" t="s">
        <v>60</v>
      </c>
      <c r="D52" s="10" t="s">
        <v>61</v>
      </c>
      <c r="E52" s="11">
        <f>F52+I52</f>
        <v>180588</v>
      </c>
      <c r="F52" s="11">
        <f>112000-1400-12+70000</f>
        <v>180588</v>
      </c>
      <c r="G52" s="11">
        <v>0</v>
      </c>
      <c r="H52" s="11">
        <v>0</v>
      </c>
      <c r="I52" s="11">
        <v>0</v>
      </c>
      <c r="J52" s="11">
        <f>L52+O52</f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>E52 + J52</f>
        <v>180588</v>
      </c>
    </row>
    <row r="53" spans="1:16" ht="173.25" customHeight="1">
      <c r="A53" s="14" t="s">
        <v>416</v>
      </c>
      <c r="B53" s="14" t="s">
        <v>370</v>
      </c>
      <c r="C53" s="14" t="s">
        <v>60</v>
      </c>
      <c r="D53" s="10" t="s">
        <v>371</v>
      </c>
      <c r="E53" s="11">
        <f t="shared" ref="E53" si="18">F53+I53</f>
        <v>0</v>
      </c>
      <c r="F53" s="11"/>
      <c r="G53" s="11"/>
      <c r="H53" s="11"/>
      <c r="I53" s="11"/>
      <c r="J53" s="11">
        <f t="shared" ref="J53" si="19">L53+O53</f>
        <v>2074155.22</v>
      </c>
      <c r="K53" s="11"/>
      <c r="L53" s="11"/>
      <c r="M53" s="11"/>
      <c r="N53" s="11"/>
      <c r="O53" s="11">
        <f>2082045-7889.78</f>
        <v>2074155.22</v>
      </c>
      <c r="P53" s="11">
        <f t="shared" ref="P53" si="20">E53 + J53</f>
        <v>2074155.22</v>
      </c>
    </row>
    <row r="54" spans="1:16" ht="47.25">
      <c r="A54" s="14" t="s">
        <v>286</v>
      </c>
      <c r="B54" s="14">
        <v>8110</v>
      </c>
      <c r="C54" s="14" t="s">
        <v>238</v>
      </c>
      <c r="D54" s="10" t="s">
        <v>239</v>
      </c>
      <c r="E54" s="11">
        <f>F54+I54</f>
        <v>135000</v>
      </c>
      <c r="F54" s="11">
        <f>SUM(F55:F57)</f>
        <v>135000</v>
      </c>
      <c r="G54" s="11"/>
      <c r="H54" s="11"/>
      <c r="I54" s="11"/>
      <c r="J54" s="11"/>
      <c r="K54" s="11"/>
      <c r="L54" s="11"/>
      <c r="M54" s="11"/>
      <c r="N54" s="11"/>
      <c r="O54" s="11"/>
      <c r="P54" s="11">
        <f>E54 + J54</f>
        <v>135000</v>
      </c>
    </row>
    <row r="55" spans="1:16" s="5" customFormat="1" ht="47.25">
      <c r="A55" s="17"/>
      <c r="B55" s="17"/>
      <c r="C55" s="17"/>
      <c r="D55" s="1" t="s">
        <v>20</v>
      </c>
      <c r="E55" s="13">
        <f t="shared" ref="E55:E56" si="21">F55+I55</f>
        <v>72000</v>
      </c>
      <c r="F55" s="13">
        <f>42000+30000</f>
        <v>72000</v>
      </c>
      <c r="G55" s="13"/>
      <c r="H55" s="13"/>
      <c r="I55" s="13"/>
      <c r="J55" s="13"/>
      <c r="K55" s="13"/>
      <c r="L55" s="13"/>
      <c r="M55" s="13"/>
      <c r="N55" s="13"/>
      <c r="O55" s="13"/>
      <c r="P55" s="13">
        <f t="shared" ref="P55:P57" si="22">E55 + J55</f>
        <v>72000</v>
      </c>
    </row>
    <row r="56" spans="1:16" s="5" customFormat="1" ht="63">
      <c r="A56" s="17"/>
      <c r="B56" s="17"/>
      <c r="C56" s="17"/>
      <c r="D56" s="1" t="s">
        <v>276</v>
      </c>
      <c r="E56" s="13">
        <f t="shared" si="21"/>
        <v>13000</v>
      </c>
      <c r="F56" s="13">
        <f>13000</f>
        <v>13000</v>
      </c>
      <c r="G56" s="13"/>
      <c r="H56" s="13"/>
      <c r="I56" s="13"/>
      <c r="J56" s="13"/>
      <c r="K56" s="13"/>
      <c r="L56" s="13"/>
      <c r="M56" s="13"/>
      <c r="N56" s="13"/>
      <c r="O56" s="13"/>
      <c r="P56" s="13">
        <f t="shared" si="22"/>
        <v>13000</v>
      </c>
    </row>
    <row r="57" spans="1:16" s="5" customFormat="1" ht="63">
      <c r="A57" s="17"/>
      <c r="B57" s="17"/>
      <c r="C57" s="17"/>
      <c r="D57" s="1" t="s">
        <v>303</v>
      </c>
      <c r="E57" s="13">
        <f>F57+I57</f>
        <v>50000</v>
      </c>
      <c r="F57" s="13">
        <f>50000</f>
        <v>50000</v>
      </c>
      <c r="G57" s="13"/>
      <c r="H57" s="13"/>
      <c r="I57" s="13"/>
      <c r="J57" s="13"/>
      <c r="K57" s="13"/>
      <c r="L57" s="13"/>
      <c r="M57" s="13"/>
      <c r="N57" s="13"/>
      <c r="O57" s="13"/>
      <c r="P57" s="13">
        <f t="shared" si="22"/>
        <v>50000</v>
      </c>
    </row>
    <row r="58" spans="1:16" ht="31.5">
      <c r="A58" s="6" t="s">
        <v>62</v>
      </c>
      <c r="B58" s="6" t="s">
        <v>63</v>
      </c>
      <c r="C58" s="6" t="s">
        <v>64</v>
      </c>
      <c r="D58" s="10" t="s">
        <v>65</v>
      </c>
      <c r="E58" s="11">
        <f t="shared" si="10"/>
        <v>28428027</v>
      </c>
      <c r="F58" s="11">
        <f>24248400+2126950-39240+500000+488000-61000+1183400-18483</f>
        <v>28428027</v>
      </c>
      <c r="G58" s="11">
        <f>17626300+3877000+2126950+500000+488000+1183400</f>
        <v>25801650</v>
      </c>
      <c r="H58" s="11">
        <f>53200+9300</f>
        <v>62500</v>
      </c>
      <c r="I58" s="11">
        <v>0</v>
      </c>
      <c r="J58" s="11">
        <f t="shared" si="11"/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28428027</v>
      </c>
    </row>
    <row r="59" spans="1:16" ht="31.5">
      <c r="A59" s="6" t="s">
        <v>66</v>
      </c>
      <c r="B59" s="6" t="s">
        <v>67</v>
      </c>
      <c r="C59" s="6" t="s">
        <v>64</v>
      </c>
      <c r="D59" s="10" t="s">
        <v>68</v>
      </c>
      <c r="E59" s="11">
        <f t="shared" si="10"/>
        <v>1083400</v>
      </c>
      <c r="F59" s="11">
        <f>2103400-20000-1000000</f>
        <v>1083400</v>
      </c>
      <c r="G59" s="11">
        <v>0</v>
      </c>
      <c r="H59" s="11">
        <v>0</v>
      </c>
      <c r="I59" s="11">
        <v>0</v>
      </c>
      <c r="J59" s="11">
        <f t="shared" si="11"/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0"/>
        <v>1083400</v>
      </c>
    </row>
    <row r="60" spans="1:16" ht="31.5">
      <c r="A60" s="6" t="s">
        <v>69</v>
      </c>
      <c r="B60" s="6" t="s">
        <v>70</v>
      </c>
      <c r="C60" s="6" t="s">
        <v>64</v>
      </c>
      <c r="D60" s="10" t="s">
        <v>71</v>
      </c>
      <c r="E60" s="11">
        <f t="shared" si="10"/>
        <v>3828200</v>
      </c>
      <c r="F60" s="11">
        <f>2673200+173800+604700+376500</f>
        <v>3828200</v>
      </c>
      <c r="G60" s="11">
        <v>0</v>
      </c>
      <c r="H60" s="11">
        <v>0</v>
      </c>
      <c r="I60" s="11">
        <v>0</v>
      </c>
      <c r="J60" s="11">
        <f t="shared" si="11"/>
        <v>1040623</v>
      </c>
      <c r="K60" s="11">
        <f>514000+307000+201140+18483</f>
        <v>1040623</v>
      </c>
      <c r="L60" s="11">
        <v>0</v>
      </c>
      <c r="M60" s="11">
        <v>0</v>
      </c>
      <c r="N60" s="11">
        <v>0</v>
      </c>
      <c r="O60" s="11">
        <f>514000+307000+201140+18483</f>
        <v>1040623</v>
      </c>
      <c r="P60" s="11">
        <f t="shared" si="0"/>
        <v>4868823</v>
      </c>
    </row>
    <row r="61" spans="1:16" ht="31.5">
      <c r="A61" s="14" t="s">
        <v>343</v>
      </c>
      <c r="B61" s="6">
        <v>8240</v>
      </c>
      <c r="C61" s="14" t="s">
        <v>64</v>
      </c>
      <c r="D61" s="10" t="s">
        <v>260</v>
      </c>
      <c r="E61" s="11">
        <f t="shared" si="10"/>
        <v>630300</v>
      </c>
      <c r="F61" s="11">
        <f>22800+500000+107500</f>
        <v>630300</v>
      </c>
      <c r="G61" s="11"/>
      <c r="H61" s="11"/>
      <c r="I61" s="11"/>
      <c r="J61" s="11">
        <f t="shared" si="11"/>
        <v>56700</v>
      </c>
      <c r="K61" s="11">
        <f>200500-22800-121000</f>
        <v>56700</v>
      </c>
      <c r="L61" s="11"/>
      <c r="M61" s="11"/>
      <c r="N61" s="11"/>
      <c r="O61" s="11">
        <f>200500-22800-121000</f>
        <v>56700</v>
      </c>
      <c r="P61" s="11">
        <f t="shared" si="0"/>
        <v>687000</v>
      </c>
    </row>
    <row r="62" spans="1:16" ht="31.5">
      <c r="A62" s="14" t="s">
        <v>275</v>
      </c>
      <c r="B62" s="6">
        <v>8340</v>
      </c>
      <c r="C62" s="6" t="s">
        <v>273</v>
      </c>
      <c r="D62" s="10" t="s">
        <v>274</v>
      </c>
      <c r="E62" s="11">
        <f t="shared" si="10"/>
        <v>0</v>
      </c>
      <c r="F62" s="11"/>
      <c r="G62" s="11"/>
      <c r="H62" s="11"/>
      <c r="I62" s="11"/>
      <c r="J62" s="11">
        <f t="shared" si="11"/>
        <v>800000</v>
      </c>
      <c r="K62" s="11"/>
      <c r="L62" s="11">
        <f>900000-130000-100000</f>
        <v>670000</v>
      </c>
      <c r="M62" s="11"/>
      <c r="N62" s="11"/>
      <c r="O62" s="11">
        <f>30000+100000</f>
        <v>130000</v>
      </c>
      <c r="P62" s="11">
        <f t="shared" si="0"/>
        <v>800000</v>
      </c>
    </row>
    <row r="63" spans="1:16" ht="47.25">
      <c r="A63" s="7" t="s">
        <v>72</v>
      </c>
      <c r="B63" s="7" t="s">
        <v>19</v>
      </c>
      <c r="C63" s="7" t="s">
        <v>19</v>
      </c>
      <c r="D63" s="8" t="s">
        <v>73</v>
      </c>
      <c r="E63" s="9">
        <f>F63+I63</f>
        <v>480223397</v>
      </c>
      <c r="F63" s="9">
        <f>F64</f>
        <v>480223397</v>
      </c>
      <c r="G63" s="9">
        <f>G64</f>
        <v>361070837</v>
      </c>
      <c r="H63" s="9">
        <f>H64</f>
        <v>37813397.68</v>
      </c>
      <c r="I63" s="9">
        <f>I64</f>
        <v>0</v>
      </c>
      <c r="J63" s="9">
        <f>L63+O63</f>
        <v>48384077</v>
      </c>
      <c r="K63" s="9">
        <f>K64</f>
        <v>23722577</v>
      </c>
      <c r="L63" s="9">
        <f t="shared" ref="L63:O63" si="23">L64</f>
        <v>24661500</v>
      </c>
      <c r="M63" s="9">
        <f t="shared" si="23"/>
        <v>0</v>
      </c>
      <c r="N63" s="9">
        <f t="shared" si="23"/>
        <v>0</v>
      </c>
      <c r="O63" s="9">
        <f t="shared" si="23"/>
        <v>23722577</v>
      </c>
      <c r="P63" s="9">
        <f t="shared" si="0"/>
        <v>528607474</v>
      </c>
    </row>
    <row r="64" spans="1:16" ht="47.25">
      <c r="A64" s="7" t="s">
        <v>74</v>
      </c>
      <c r="B64" s="7" t="s">
        <v>19</v>
      </c>
      <c r="C64" s="7" t="s">
        <v>19</v>
      </c>
      <c r="D64" s="8" t="s">
        <v>73</v>
      </c>
      <c r="E64" s="9">
        <f>F64+I64</f>
        <v>480223397</v>
      </c>
      <c r="F64" s="9">
        <f>SUM(F65:F94)-F71-F72</f>
        <v>480223397</v>
      </c>
      <c r="G64" s="9">
        <f>SUM(G65:G94)-G71-G72</f>
        <v>361070837</v>
      </c>
      <c r="H64" s="9">
        <f>SUM(H65:H94)-H71-H72</f>
        <v>37813397.68</v>
      </c>
      <c r="I64" s="9">
        <f>SUM(I65:I94)-I71-I72</f>
        <v>0</v>
      </c>
      <c r="J64" s="9">
        <f>L64+O64</f>
        <v>48384077</v>
      </c>
      <c r="K64" s="9">
        <f>SUM(K65:K94)-K71-K72</f>
        <v>23722577</v>
      </c>
      <c r="L64" s="9">
        <f>SUM(L65:L94)-L71-L72</f>
        <v>24661500</v>
      </c>
      <c r="M64" s="9">
        <f>SUM(M65:M94)-M71-M72</f>
        <v>0</v>
      </c>
      <c r="N64" s="9">
        <f>SUM(N65:N94)-N71-N72</f>
        <v>0</v>
      </c>
      <c r="O64" s="9">
        <f>SUM(O65:O94)-O71-O72</f>
        <v>23722577</v>
      </c>
      <c r="P64" s="9">
        <f>E64 + J64</f>
        <v>528607474</v>
      </c>
    </row>
    <row r="65" spans="1:16" ht="79.5" customHeight="1">
      <c r="A65" s="6" t="s">
        <v>75</v>
      </c>
      <c r="B65" s="6" t="s">
        <v>76</v>
      </c>
      <c r="C65" s="6" t="s">
        <v>24</v>
      </c>
      <c r="D65" s="10" t="s">
        <v>77</v>
      </c>
      <c r="E65" s="11">
        <f>F65+I65</f>
        <v>6405900</v>
      </c>
      <c r="F65" s="11">
        <f>5954600+51300+400000</f>
        <v>6405900</v>
      </c>
      <c r="G65" s="11">
        <f>4429700+974500+400000</f>
        <v>5804200</v>
      </c>
      <c r="H65" s="11">
        <f>222100+10400+210000+8800+51300</f>
        <v>502600</v>
      </c>
      <c r="I65" s="11">
        <v>0</v>
      </c>
      <c r="J65" s="11">
        <f>L65+O65</f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0"/>
        <v>6405900</v>
      </c>
    </row>
    <row r="66" spans="1:16">
      <c r="A66" s="6" t="s">
        <v>78</v>
      </c>
      <c r="B66" s="6" t="s">
        <v>79</v>
      </c>
      <c r="C66" s="6" t="s">
        <v>80</v>
      </c>
      <c r="D66" s="10" t="s">
        <v>81</v>
      </c>
      <c r="E66" s="11">
        <f t="shared" ref="E66:E93" si="24">F66+I66</f>
        <v>94469404</v>
      </c>
      <c r="F66" s="11">
        <f>101843700+145980+130000+3240500-1041260-2405300-2231800-1838375+259500-295784-2315000+800000-1300000-600000+77243</f>
        <v>94469404</v>
      </c>
      <c r="G66" s="11">
        <f>65000000+14300000-1041260-3225300-1838375-295784-1870000-600000</f>
        <v>70429281</v>
      </c>
      <c r="H66" s="11">
        <f>8000000+660000+3656100+157600+320000+600000+77243</f>
        <v>13470943</v>
      </c>
      <c r="I66" s="11">
        <v>0</v>
      </c>
      <c r="J66" s="11">
        <f t="shared" ref="J66:J94" si="25">L66+O66</f>
        <v>11477687</v>
      </c>
      <c r="K66" s="11">
        <f>1073037+700000+577000-260000</f>
        <v>2090037</v>
      </c>
      <c r="L66" s="11">
        <v>9387650</v>
      </c>
      <c r="M66" s="11">
        <v>0</v>
      </c>
      <c r="N66" s="11">
        <v>0</v>
      </c>
      <c r="O66" s="11">
        <f>1073037+700000+577000-260000</f>
        <v>2090037</v>
      </c>
      <c r="P66" s="11">
        <f t="shared" si="0"/>
        <v>105947091</v>
      </c>
    </row>
    <row r="67" spans="1:16" ht="60.75" customHeight="1">
      <c r="A67" s="6" t="s">
        <v>82</v>
      </c>
      <c r="B67" s="6" t="s">
        <v>83</v>
      </c>
      <c r="C67" s="6" t="s">
        <v>84</v>
      </c>
      <c r="D67" s="10" t="s">
        <v>85</v>
      </c>
      <c r="E67" s="11">
        <f t="shared" si="24"/>
        <v>105777949</v>
      </c>
      <c r="F67" s="11">
        <f>95351700+432180+146000+6788200+800000-2841388-492900-90000+457000+1284980+4822420-635800-167200-77243</f>
        <v>105777949</v>
      </c>
      <c r="G67" s="11">
        <f>38229200+8410300+4822420</f>
        <v>51461920</v>
      </c>
      <c r="H67" s="11">
        <f>10200000+608000+4800000+900000+675000+1200000-77243</f>
        <v>18305757</v>
      </c>
      <c r="I67" s="11">
        <v>0</v>
      </c>
      <c r="J67" s="11">
        <f t="shared" si="25"/>
        <v>5834863</v>
      </c>
      <c r="K67" s="11">
        <f>1800000+800000-200000-546750+1009000+2173375+610000+73549-92000</f>
        <v>5627174</v>
      </c>
      <c r="L67" s="11">
        <v>207689</v>
      </c>
      <c r="M67" s="11">
        <v>0</v>
      </c>
      <c r="N67" s="11">
        <v>0</v>
      </c>
      <c r="O67" s="11">
        <f>1800000+800000-200000-546750+1009000+2173375+610000+73549-92000</f>
        <v>5627174</v>
      </c>
      <c r="P67" s="11">
        <f t="shared" si="0"/>
        <v>111612812</v>
      </c>
    </row>
    <row r="68" spans="1:16" ht="109.5" customHeight="1">
      <c r="A68" s="6" t="s">
        <v>86</v>
      </c>
      <c r="B68" s="6" t="s">
        <v>87</v>
      </c>
      <c r="C68" s="6" t="s">
        <v>88</v>
      </c>
      <c r="D68" s="10" t="s">
        <v>89</v>
      </c>
      <c r="E68" s="11">
        <f t="shared" si="24"/>
        <v>14164224</v>
      </c>
      <c r="F68" s="11">
        <f>14574000+13000+837400+51000+4000-624700-700000+9524</f>
        <v>14164224</v>
      </c>
      <c r="G68" s="11">
        <f>7769100+1735200-700000</f>
        <v>8804300</v>
      </c>
      <c r="H68" s="11">
        <f>871200+80500+661100+37300+51700+9524</f>
        <v>1711324</v>
      </c>
      <c r="I68" s="11">
        <v>0</v>
      </c>
      <c r="J68" s="11">
        <f t="shared" si="25"/>
        <v>9069</v>
      </c>
      <c r="K68" s="11">
        <f>9100-31</f>
        <v>9069</v>
      </c>
      <c r="L68" s="11">
        <v>0</v>
      </c>
      <c r="M68" s="11">
        <v>0</v>
      </c>
      <c r="N68" s="11">
        <v>0</v>
      </c>
      <c r="O68" s="11">
        <f>9100-31</f>
        <v>9069</v>
      </c>
      <c r="P68" s="11">
        <f t="shared" si="0"/>
        <v>14173293</v>
      </c>
    </row>
    <row r="69" spans="1:16" s="18" customFormat="1" ht="53.25" customHeight="1">
      <c r="A69" s="6" t="s">
        <v>90</v>
      </c>
      <c r="B69" s="6" t="s">
        <v>91</v>
      </c>
      <c r="C69" s="6" t="s">
        <v>84</v>
      </c>
      <c r="D69" s="10" t="s">
        <v>92</v>
      </c>
      <c r="E69" s="11">
        <f t="shared" si="24"/>
        <v>141369486</v>
      </c>
      <c r="F69" s="11">
        <f>F71+F72</f>
        <v>141369486</v>
      </c>
      <c r="G69" s="11">
        <f>G71+G72</f>
        <v>141369486</v>
      </c>
      <c r="H69" s="11">
        <v>0</v>
      </c>
      <c r="I69" s="11">
        <v>0</v>
      </c>
      <c r="J69" s="11">
        <f t="shared" si="25"/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0"/>
        <v>141369486</v>
      </c>
    </row>
    <row r="70" spans="1:16" s="30" customFormat="1">
      <c r="A70" s="12"/>
      <c r="B70" s="12"/>
      <c r="C70" s="12"/>
      <c r="D70" s="1" t="s">
        <v>361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s="30" customFormat="1" ht="31.5">
      <c r="A71" s="12"/>
      <c r="B71" s="12"/>
      <c r="C71" s="12"/>
      <c r="D71" s="1" t="s">
        <v>362</v>
      </c>
      <c r="E71" s="13">
        <f t="shared" ref="E71:E72" si="26">F71+I71</f>
        <v>141016600</v>
      </c>
      <c r="F71" s="13">
        <f>92366200+46250400+2400000</f>
        <v>141016600</v>
      </c>
      <c r="G71" s="13">
        <f>92366200+46250400+2400000</f>
        <v>141016600</v>
      </c>
      <c r="H71" s="13"/>
      <c r="I71" s="13"/>
      <c r="J71" s="13"/>
      <c r="K71" s="13"/>
      <c r="L71" s="13"/>
      <c r="M71" s="13"/>
      <c r="N71" s="13"/>
      <c r="O71" s="13"/>
      <c r="P71" s="13">
        <f t="shared" si="0"/>
        <v>141016600</v>
      </c>
    </row>
    <row r="72" spans="1:16" s="30" customFormat="1" ht="31.5">
      <c r="A72" s="12"/>
      <c r="B72" s="12"/>
      <c r="C72" s="12"/>
      <c r="D72" s="1" t="s">
        <v>363</v>
      </c>
      <c r="E72" s="13">
        <f t="shared" si="26"/>
        <v>352886</v>
      </c>
      <c r="F72" s="13">
        <f>282574+70312</f>
        <v>352886</v>
      </c>
      <c r="G72" s="13">
        <f>282574+70312</f>
        <v>352886</v>
      </c>
      <c r="H72" s="13"/>
      <c r="I72" s="13"/>
      <c r="J72" s="13"/>
      <c r="K72" s="13"/>
      <c r="L72" s="13"/>
      <c r="M72" s="13"/>
      <c r="N72" s="13"/>
      <c r="O72" s="13"/>
      <c r="P72" s="13">
        <f t="shared" si="0"/>
        <v>352886</v>
      </c>
    </row>
    <row r="73" spans="1:16" s="18" customFormat="1" ht="107.25" customHeight="1">
      <c r="A73" s="6" t="s">
        <v>93</v>
      </c>
      <c r="B73" s="6" t="s">
        <v>94</v>
      </c>
      <c r="C73" s="6" t="s">
        <v>88</v>
      </c>
      <c r="D73" s="10" t="s">
        <v>95</v>
      </c>
      <c r="E73" s="11">
        <f t="shared" si="24"/>
        <v>13384200</v>
      </c>
      <c r="F73" s="11">
        <f>10645300+5138900-2400000</f>
        <v>13384200</v>
      </c>
      <c r="G73" s="11">
        <f>10645300+5138900-2400000</f>
        <v>13384200</v>
      </c>
      <c r="H73" s="11">
        <v>0</v>
      </c>
      <c r="I73" s="11">
        <v>0</v>
      </c>
      <c r="J73" s="11">
        <f t="shared" si="25"/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0"/>
        <v>13384200</v>
      </c>
    </row>
    <row r="74" spans="1:16" ht="57" customHeight="1">
      <c r="A74" s="6" t="s">
        <v>96</v>
      </c>
      <c r="B74" s="6" t="s">
        <v>97</v>
      </c>
      <c r="C74" s="6" t="s">
        <v>98</v>
      </c>
      <c r="D74" s="10" t="s">
        <v>99</v>
      </c>
      <c r="E74" s="11">
        <f t="shared" si="24"/>
        <v>22360650</v>
      </c>
      <c r="F74" s="11">
        <f>22476900+13050+16000+793500+100000-38800-1000000</f>
        <v>22360650</v>
      </c>
      <c r="G74" s="11">
        <f>15583500+3428400-1000000</f>
        <v>18011900</v>
      </c>
      <c r="H74" s="11">
        <f>217600+352800+674300+79100</f>
        <v>1323800</v>
      </c>
      <c r="I74" s="11">
        <v>0</v>
      </c>
      <c r="J74" s="11">
        <f t="shared" si="25"/>
        <v>192843</v>
      </c>
      <c r="K74" s="11">
        <f>4000-517</f>
        <v>3483</v>
      </c>
      <c r="L74" s="11">
        <v>189360</v>
      </c>
      <c r="M74" s="11">
        <v>0</v>
      </c>
      <c r="N74" s="11">
        <v>0</v>
      </c>
      <c r="O74" s="11">
        <f>4000-517</f>
        <v>3483</v>
      </c>
      <c r="P74" s="11">
        <f t="shared" si="0"/>
        <v>22553493</v>
      </c>
    </row>
    <row r="75" spans="1:16" ht="48.75" customHeight="1">
      <c r="A75" s="6" t="s">
        <v>100</v>
      </c>
      <c r="B75" s="6" t="s">
        <v>101</v>
      </c>
      <c r="C75" s="6" t="s">
        <v>102</v>
      </c>
      <c r="D75" s="10" t="s">
        <v>103</v>
      </c>
      <c r="E75" s="11">
        <f t="shared" si="24"/>
        <v>45000</v>
      </c>
      <c r="F75" s="11">
        <f>15000+30000</f>
        <v>45000</v>
      </c>
      <c r="G75" s="11">
        <v>0</v>
      </c>
      <c r="H75" s="11">
        <v>0</v>
      </c>
      <c r="I75" s="11">
        <v>0</v>
      </c>
      <c r="J75" s="11">
        <f t="shared" si="25"/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0"/>
        <v>45000</v>
      </c>
    </row>
    <row r="76" spans="1:16" ht="41.25" customHeight="1">
      <c r="A76" s="6" t="s">
        <v>104</v>
      </c>
      <c r="B76" s="6" t="s">
        <v>105</v>
      </c>
      <c r="C76" s="6" t="s">
        <v>106</v>
      </c>
      <c r="D76" s="10" t="s">
        <v>107</v>
      </c>
      <c r="E76" s="11">
        <f t="shared" si="24"/>
        <v>22606976</v>
      </c>
      <c r="F76" s="11">
        <f>27706400+25000+70000-5973000-300000+65000-137000+1160100-9524</f>
        <v>22606976</v>
      </c>
      <c r="G76" s="11">
        <f>13803000+3036500+1160100</f>
        <v>17999600</v>
      </c>
      <c r="H76" s="11">
        <f>605500+60000+850000+111400-137000-9524</f>
        <v>1480376</v>
      </c>
      <c r="I76" s="11"/>
      <c r="J76" s="11">
        <f t="shared" si="25"/>
        <v>1</v>
      </c>
      <c r="K76" s="11">
        <v>0</v>
      </c>
      <c r="L76" s="11">
        <v>1</v>
      </c>
      <c r="M76" s="11">
        <v>0</v>
      </c>
      <c r="N76" s="11">
        <v>0</v>
      </c>
      <c r="O76" s="11">
        <v>0</v>
      </c>
      <c r="P76" s="11">
        <f t="shared" si="0"/>
        <v>22606977</v>
      </c>
    </row>
    <row r="77" spans="1:16" ht="60" customHeight="1">
      <c r="A77" s="6" t="s">
        <v>108</v>
      </c>
      <c r="B77" s="6" t="s">
        <v>109</v>
      </c>
      <c r="C77" s="6" t="s">
        <v>106</v>
      </c>
      <c r="D77" s="10" t="s">
        <v>110</v>
      </c>
      <c r="E77" s="11">
        <f t="shared" si="24"/>
        <v>809000</v>
      </c>
      <c r="F77" s="11">
        <f>703000+100000+6000+100000-100000</f>
        <v>809000</v>
      </c>
      <c r="G77" s="11">
        <f>349500+76200-100000</f>
        <v>325700</v>
      </c>
      <c r="H77" s="11">
        <f>50000+6500+58900+7900</f>
        <v>123300</v>
      </c>
      <c r="I77" s="11">
        <v>0</v>
      </c>
      <c r="J77" s="11">
        <f t="shared" si="25"/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0"/>
        <v>809000</v>
      </c>
    </row>
    <row r="78" spans="1:16" s="18" customFormat="1" ht="62.25" customHeight="1">
      <c r="A78" s="14" t="s">
        <v>344</v>
      </c>
      <c r="B78" s="6">
        <v>1152</v>
      </c>
      <c r="C78" s="6" t="s">
        <v>106</v>
      </c>
      <c r="D78" s="10" t="s">
        <v>345</v>
      </c>
      <c r="E78" s="11">
        <f t="shared" si="24"/>
        <v>2782950</v>
      </c>
      <c r="F78" s="11">
        <f>1387870+507390+887690</f>
        <v>2782950</v>
      </c>
      <c r="G78" s="11">
        <f>1387870+507390+887690</f>
        <v>2782950</v>
      </c>
      <c r="H78" s="11"/>
      <c r="I78" s="11"/>
      <c r="J78" s="11"/>
      <c r="K78" s="11"/>
      <c r="L78" s="11"/>
      <c r="M78" s="11"/>
      <c r="N78" s="11"/>
      <c r="O78" s="11"/>
      <c r="P78" s="11">
        <f t="shared" si="0"/>
        <v>2782950</v>
      </c>
    </row>
    <row r="79" spans="1:16" ht="60" customHeight="1">
      <c r="A79" s="6" t="s">
        <v>111</v>
      </c>
      <c r="B79" s="6" t="s">
        <v>112</v>
      </c>
      <c r="C79" s="6" t="s">
        <v>106</v>
      </c>
      <c r="D79" s="10" t="s">
        <v>113</v>
      </c>
      <c r="E79" s="11">
        <f t="shared" si="24"/>
        <v>5098900</v>
      </c>
      <c r="F79" s="11">
        <f>4125500+145600+800000+2800+25000</f>
        <v>5098900</v>
      </c>
      <c r="G79" s="11">
        <f>3167900+696900+25000</f>
        <v>3889800</v>
      </c>
      <c r="H79" s="11">
        <f>18400+4300+15700+1800</f>
        <v>40200</v>
      </c>
      <c r="I79" s="11">
        <v>0</v>
      </c>
      <c r="J79" s="11">
        <f t="shared" si="25"/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 t="shared" si="0"/>
        <v>5098900</v>
      </c>
    </row>
    <row r="80" spans="1:16" ht="143.25" customHeight="1">
      <c r="A80" s="14" t="s">
        <v>346</v>
      </c>
      <c r="B80" s="14" t="s">
        <v>351</v>
      </c>
      <c r="C80" s="14" t="s">
        <v>106</v>
      </c>
      <c r="D80" s="10" t="s">
        <v>356</v>
      </c>
      <c r="E80" s="11">
        <f t="shared" si="24"/>
        <v>0</v>
      </c>
      <c r="F80" s="11"/>
      <c r="G80" s="11"/>
      <c r="H80" s="11"/>
      <c r="I80" s="11"/>
      <c r="J80" s="11">
        <f t="shared" si="25"/>
        <v>1291800</v>
      </c>
      <c r="K80" s="11">
        <f>1304329-12529</f>
        <v>1291800</v>
      </c>
      <c r="L80" s="11"/>
      <c r="M80" s="11"/>
      <c r="N80" s="11"/>
      <c r="O80" s="11">
        <f>1304329-12529</f>
        <v>1291800</v>
      </c>
      <c r="P80" s="11">
        <f t="shared" si="0"/>
        <v>1291800</v>
      </c>
    </row>
    <row r="81" spans="1:16" ht="137.25" customHeight="1">
      <c r="A81" s="14" t="s">
        <v>347</v>
      </c>
      <c r="B81" s="14" t="s">
        <v>352</v>
      </c>
      <c r="C81" s="14" t="s">
        <v>106</v>
      </c>
      <c r="D81" s="10" t="s">
        <v>357</v>
      </c>
      <c r="E81" s="11">
        <f t="shared" si="24"/>
        <v>0</v>
      </c>
      <c r="F81" s="11"/>
      <c r="G81" s="11"/>
      <c r="H81" s="11"/>
      <c r="I81" s="11"/>
      <c r="J81" s="11">
        <f t="shared" si="25"/>
        <v>3043200</v>
      </c>
      <c r="K81" s="11">
        <v>3043200</v>
      </c>
      <c r="L81" s="11"/>
      <c r="M81" s="11"/>
      <c r="N81" s="11"/>
      <c r="O81" s="11">
        <v>3043200</v>
      </c>
      <c r="P81" s="11">
        <f t="shared" si="0"/>
        <v>3043200</v>
      </c>
    </row>
    <row r="82" spans="1:16" ht="125.25" customHeight="1">
      <c r="A82" s="14" t="s">
        <v>348</v>
      </c>
      <c r="B82" s="14" t="s">
        <v>353</v>
      </c>
      <c r="C82" s="14" t="s">
        <v>106</v>
      </c>
      <c r="D82" s="10" t="s">
        <v>358</v>
      </c>
      <c r="E82" s="11">
        <f t="shared" si="24"/>
        <v>330900</v>
      </c>
      <c r="F82" s="11">
        <v>330900</v>
      </c>
      <c r="G82" s="11"/>
      <c r="H82" s="11"/>
      <c r="I82" s="11"/>
      <c r="J82" s="11">
        <f t="shared" si="25"/>
        <v>0</v>
      </c>
      <c r="K82" s="11"/>
      <c r="L82" s="11"/>
      <c r="M82" s="11"/>
      <c r="N82" s="11"/>
      <c r="O82" s="11"/>
      <c r="P82" s="11">
        <f t="shared" si="0"/>
        <v>330900</v>
      </c>
    </row>
    <row r="83" spans="1:16" ht="94.5">
      <c r="A83" s="14" t="s">
        <v>424</v>
      </c>
      <c r="B83" s="14" t="s">
        <v>425</v>
      </c>
      <c r="C83" s="14" t="s">
        <v>106</v>
      </c>
      <c r="D83" s="10" t="s">
        <v>426</v>
      </c>
      <c r="E83" s="35">
        <f t="shared" si="24"/>
        <v>0</v>
      </c>
      <c r="F83" s="35"/>
      <c r="G83" s="35"/>
      <c r="H83" s="35"/>
      <c r="I83" s="35"/>
      <c r="J83" s="35">
        <f t="shared" si="25"/>
        <v>4508100</v>
      </c>
      <c r="K83" s="35"/>
      <c r="L83" s="35">
        <v>4508100</v>
      </c>
      <c r="M83" s="35"/>
      <c r="N83" s="35"/>
      <c r="O83" s="35"/>
      <c r="P83" s="35">
        <f t="shared" si="0"/>
        <v>4508100</v>
      </c>
    </row>
    <row r="84" spans="1:16" ht="88.5" customHeight="1">
      <c r="A84" s="14" t="s">
        <v>403</v>
      </c>
      <c r="B84" s="14" t="s">
        <v>404</v>
      </c>
      <c r="C84" s="14" t="s">
        <v>106</v>
      </c>
      <c r="D84" s="10" t="s">
        <v>405</v>
      </c>
      <c r="E84" s="11">
        <f t="shared" si="24"/>
        <v>0</v>
      </c>
      <c r="F84" s="11"/>
      <c r="G84" s="11"/>
      <c r="H84" s="11"/>
      <c r="I84" s="11"/>
      <c r="J84" s="11">
        <f t="shared" si="25"/>
        <v>1000000</v>
      </c>
      <c r="K84" s="11">
        <f>1400000-400000</f>
        <v>1000000</v>
      </c>
      <c r="L84" s="11"/>
      <c r="M84" s="11"/>
      <c r="N84" s="11"/>
      <c r="O84" s="11">
        <f>1400000-400000</f>
        <v>1000000</v>
      </c>
      <c r="P84" s="11">
        <f t="shared" si="0"/>
        <v>1000000</v>
      </c>
    </row>
    <row r="85" spans="1:16" ht="88.5" customHeight="1">
      <c r="A85" s="14" t="s">
        <v>349</v>
      </c>
      <c r="B85" s="14" t="s">
        <v>354</v>
      </c>
      <c r="C85" s="14" t="s">
        <v>106</v>
      </c>
      <c r="D85" s="10" t="s">
        <v>359</v>
      </c>
      <c r="E85" s="11">
        <f t="shared" si="24"/>
        <v>0</v>
      </c>
      <c r="F85" s="11"/>
      <c r="G85" s="11"/>
      <c r="H85" s="11"/>
      <c r="I85" s="11"/>
      <c r="J85" s="11">
        <f t="shared" si="25"/>
        <v>7220800</v>
      </c>
      <c r="K85" s="11"/>
      <c r="L85" s="11">
        <v>7220800</v>
      </c>
      <c r="M85" s="11"/>
      <c r="N85" s="11"/>
      <c r="O85" s="11"/>
      <c r="P85" s="11">
        <f t="shared" si="0"/>
        <v>7220800</v>
      </c>
    </row>
    <row r="86" spans="1:16" ht="141.75">
      <c r="A86" s="14" t="s">
        <v>427</v>
      </c>
      <c r="B86" s="14" t="s">
        <v>428</v>
      </c>
      <c r="C86" s="14" t="s">
        <v>106</v>
      </c>
      <c r="D86" s="10" t="s">
        <v>429</v>
      </c>
      <c r="E86" s="35">
        <f t="shared" si="24"/>
        <v>0</v>
      </c>
      <c r="F86" s="35"/>
      <c r="G86" s="35"/>
      <c r="H86" s="35"/>
      <c r="I86" s="35"/>
      <c r="J86" s="35">
        <f t="shared" si="25"/>
        <v>254500</v>
      </c>
      <c r="K86" s="35"/>
      <c r="L86" s="35">
        <v>254500</v>
      </c>
      <c r="M86" s="35"/>
      <c r="N86" s="35"/>
      <c r="O86" s="35"/>
      <c r="P86" s="35">
        <f t="shared" si="0"/>
        <v>254500</v>
      </c>
    </row>
    <row r="87" spans="1:16" ht="90" customHeight="1">
      <c r="A87" s="14" t="s">
        <v>350</v>
      </c>
      <c r="B87" s="14" t="s">
        <v>355</v>
      </c>
      <c r="C87" s="14" t="s">
        <v>106</v>
      </c>
      <c r="D87" s="10" t="s">
        <v>360</v>
      </c>
      <c r="E87" s="11">
        <f t="shared" si="24"/>
        <v>17981800</v>
      </c>
      <c r="F87" s="11">
        <f>7051000+781800+10149000</f>
        <v>17981800</v>
      </c>
      <c r="G87" s="11">
        <f>7051000+781800+10149000</f>
        <v>17981800</v>
      </c>
      <c r="H87" s="11"/>
      <c r="I87" s="11"/>
      <c r="J87" s="11">
        <f t="shared" si="25"/>
        <v>0</v>
      </c>
      <c r="K87" s="11"/>
      <c r="L87" s="11"/>
      <c r="M87" s="11"/>
      <c r="N87" s="11"/>
      <c r="O87" s="11"/>
      <c r="P87" s="11">
        <f t="shared" si="0"/>
        <v>17981800</v>
      </c>
    </row>
    <row r="88" spans="1:16" s="34" customFormat="1" ht="94.5">
      <c r="A88" s="14" t="s">
        <v>430</v>
      </c>
      <c r="B88" s="6">
        <v>1700</v>
      </c>
      <c r="C88" s="6" t="s">
        <v>106</v>
      </c>
      <c r="D88" s="33" t="s">
        <v>431</v>
      </c>
      <c r="E88" s="35">
        <f t="shared" si="24"/>
        <v>0</v>
      </c>
      <c r="F88" s="36"/>
      <c r="G88" s="36"/>
      <c r="H88" s="36"/>
      <c r="I88" s="36"/>
      <c r="J88" s="36">
        <f>L88+O88</f>
        <v>2893400</v>
      </c>
      <c r="K88" s="36"/>
      <c r="L88" s="36">
        <f>1446700+1446700</f>
        <v>2893400</v>
      </c>
      <c r="M88" s="36"/>
      <c r="N88" s="36"/>
      <c r="O88" s="36"/>
      <c r="P88" s="36">
        <f t="shared" ref="P88:P89" si="27">E88+J88</f>
        <v>2893400</v>
      </c>
    </row>
    <row r="89" spans="1:16" s="43" customFormat="1" ht="63">
      <c r="A89" s="40" t="s">
        <v>434</v>
      </c>
      <c r="B89" s="38">
        <v>1702</v>
      </c>
      <c r="C89" s="38" t="s">
        <v>106</v>
      </c>
      <c r="D89" s="42" t="s">
        <v>435</v>
      </c>
      <c r="E89" s="44">
        <v>12957600</v>
      </c>
      <c r="F89" s="45">
        <v>12957600</v>
      </c>
      <c r="G89" s="45"/>
      <c r="H89" s="45"/>
      <c r="I89" s="45"/>
      <c r="J89" s="45">
        <f>L89+O89</f>
        <v>0</v>
      </c>
      <c r="K89" s="45"/>
      <c r="L89" s="45"/>
      <c r="M89" s="45"/>
      <c r="N89" s="45"/>
      <c r="O89" s="45"/>
      <c r="P89" s="45">
        <f t="shared" si="27"/>
        <v>12957600</v>
      </c>
    </row>
    <row r="90" spans="1:16" ht="100.5" customHeight="1">
      <c r="A90" s="6" t="s">
        <v>114</v>
      </c>
      <c r="B90" s="6" t="s">
        <v>115</v>
      </c>
      <c r="C90" s="6" t="s">
        <v>116</v>
      </c>
      <c r="D90" s="10" t="s">
        <v>117</v>
      </c>
      <c r="E90" s="11">
        <f t="shared" si="24"/>
        <v>2184645.3199999998</v>
      </c>
      <c r="F90" s="11">
        <f>4638400-500000-1152400-630000-66834.68-104520</f>
        <v>2184645.3199999998</v>
      </c>
      <c r="G90" s="11">
        <v>0</v>
      </c>
      <c r="H90" s="11">
        <v>0</v>
      </c>
      <c r="I90" s="11">
        <v>0</v>
      </c>
      <c r="J90" s="11">
        <f t="shared" si="25"/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f t="shared" si="0"/>
        <v>2184645.3199999998</v>
      </c>
    </row>
    <row r="91" spans="1:16" ht="37.5" customHeight="1">
      <c r="A91" s="6" t="s">
        <v>118</v>
      </c>
      <c r="B91" s="6" t="s">
        <v>51</v>
      </c>
      <c r="C91" s="6" t="s">
        <v>52</v>
      </c>
      <c r="D91" s="10" t="s">
        <v>53</v>
      </c>
      <c r="E91" s="11">
        <f t="shared" si="24"/>
        <v>4101000</v>
      </c>
      <c r="F91" s="11">
        <v>4101000</v>
      </c>
      <c r="G91" s="11">
        <v>0</v>
      </c>
      <c r="H91" s="11">
        <v>0</v>
      </c>
      <c r="I91" s="11">
        <v>0</v>
      </c>
      <c r="J91" s="11">
        <f t="shared" si="25"/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f t="shared" si="0"/>
        <v>4101000</v>
      </c>
    </row>
    <row r="92" spans="1:16" ht="74.25" customHeight="1">
      <c r="A92" s="6" t="s">
        <v>119</v>
      </c>
      <c r="B92" s="6" t="s">
        <v>120</v>
      </c>
      <c r="C92" s="6" t="s">
        <v>121</v>
      </c>
      <c r="D92" s="10" t="s">
        <v>340</v>
      </c>
      <c r="E92" s="11">
        <f t="shared" si="24"/>
        <v>11528197.68</v>
      </c>
      <c r="F92" s="11">
        <f>12646800+12000+473000+248000-310000+500000-176300-65302.32-1800000</f>
        <v>11528197.68</v>
      </c>
      <c r="G92" s="11">
        <f>8709600+1916100-1800000</f>
        <v>8825700</v>
      </c>
      <c r="H92" s="11">
        <f>657600+21600+127000+14900+33997.68</f>
        <v>855097.68</v>
      </c>
      <c r="I92" s="11">
        <v>0</v>
      </c>
      <c r="J92" s="11">
        <f t="shared" si="25"/>
        <v>846270</v>
      </c>
      <c r="K92" s="11">
        <f>310000+444270+92000</f>
        <v>846270</v>
      </c>
      <c r="L92" s="11">
        <v>0</v>
      </c>
      <c r="M92" s="11">
        <v>0</v>
      </c>
      <c r="N92" s="11">
        <v>0</v>
      </c>
      <c r="O92" s="11">
        <f>310000+444270+92000</f>
        <v>846270</v>
      </c>
      <c r="P92" s="11">
        <f t="shared" ref="P92:P132" si="28">E92 + J92</f>
        <v>12374467.68</v>
      </c>
    </row>
    <row r="93" spans="1:16" ht="35.25" customHeight="1">
      <c r="A93" s="14" t="s">
        <v>288</v>
      </c>
      <c r="B93" s="14" t="s">
        <v>283</v>
      </c>
      <c r="C93" s="14" t="s">
        <v>285</v>
      </c>
      <c r="D93" s="10" t="s">
        <v>284</v>
      </c>
      <c r="E93" s="11">
        <f t="shared" si="24"/>
        <v>1273000</v>
      </c>
      <c r="F93" s="11">
        <f>500000+600000+173000</f>
        <v>1273000</v>
      </c>
      <c r="G93" s="11"/>
      <c r="H93" s="11"/>
      <c r="I93" s="11"/>
      <c r="J93" s="11">
        <f t="shared" si="25"/>
        <v>0</v>
      </c>
      <c r="K93" s="11"/>
      <c r="L93" s="11"/>
      <c r="M93" s="11"/>
      <c r="N93" s="11"/>
      <c r="O93" s="11"/>
      <c r="P93" s="11">
        <f t="shared" si="28"/>
        <v>1273000</v>
      </c>
    </row>
    <row r="94" spans="1:16" ht="54.75" customHeight="1">
      <c r="A94" s="14" t="s">
        <v>289</v>
      </c>
      <c r="B94" s="14">
        <v>8110</v>
      </c>
      <c r="C94" s="14" t="s">
        <v>238</v>
      </c>
      <c r="D94" s="10" t="s">
        <v>239</v>
      </c>
      <c r="E94" s="11">
        <f>F94+I94</f>
        <v>591615</v>
      </c>
      <c r="F94" s="11">
        <f>780000+20000-208385</f>
        <v>591615</v>
      </c>
      <c r="G94" s="11"/>
      <c r="H94" s="11"/>
      <c r="I94" s="11"/>
      <c r="J94" s="11">
        <f t="shared" si="25"/>
        <v>9811544</v>
      </c>
      <c r="K94" s="11">
        <f>200000+6894650+200000-37590-211300+780000-130000+295784+1820000</f>
        <v>9811544</v>
      </c>
      <c r="L94" s="11"/>
      <c r="M94" s="11"/>
      <c r="N94" s="11"/>
      <c r="O94" s="11">
        <f>200000+6894650+200000-37590-211300+780000-130000+295784+1820000</f>
        <v>9811544</v>
      </c>
      <c r="P94" s="11">
        <f>E94 + J94</f>
        <v>10403159</v>
      </c>
    </row>
    <row r="95" spans="1:16" ht="58.5" customHeight="1">
      <c r="A95" s="7" t="s">
        <v>122</v>
      </c>
      <c r="B95" s="7" t="s">
        <v>19</v>
      </c>
      <c r="C95" s="7" t="s">
        <v>19</v>
      </c>
      <c r="D95" s="8" t="s">
        <v>123</v>
      </c>
      <c r="E95" s="9">
        <f>F95+I95</f>
        <v>121086447.87</v>
      </c>
      <c r="F95" s="9">
        <f>F96</f>
        <v>121086447.87</v>
      </c>
      <c r="G95" s="9">
        <f>G96</f>
        <v>47973542.870000005</v>
      </c>
      <c r="H95" s="9">
        <f>H96</f>
        <v>1477200</v>
      </c>
      <c r="I95" s="9">
        <f>I96</f>
        <v>0</v>
      </c>
      <c r="J95" s="9">
        <f>L95+O95</f>
        <v>7822299</v>
      </c>
      <c r="K95" s="9">
        <f>K96</f>
        <v>7640299</v>
      </c>
      <c r="L95" s="9">
        <f t="shared" ref="L95:O95" si="29">L96</f>
        <v>57000</v>
      </c>
      <c r="M95" s="9">
        <f t="shared" si="29"/>
        <v>0</v>
      </c>
      <c r="N95" s="9">
        <f t="shared" si="29"/>
        <v>0</v>
      </c>
      <c r="O95" s="9">
        <f t="shared" si="29"/>
        <v>7765299</v>
      </c>
      <c r="P95" s="9">
        <f t="shared" si="28"/>
        <v>128908746.87</v>
      </c>
    </row>
    <row r="96" spans="1:16" ht="60.75" customHeight="1">
      <c r="A96" s="7" t="s">
        <v>124</v>
      </c>
      <c r="B96" s="7" t="s">
        <v>19</v>
      </c>
      <c r="C96" s="7" t="s">
        <v>19</v>
      </c>
      <c r="D96" s="8" t="s">
        <v>123</v>
      </c>
      <c r="E96" s="9">
        <f>F96+I96</f>
        <v>121086447.87</v>
      </c>
      <c r="F96" s="9">
        <f>SUM(F97:F115)</f>
        <v>121086447.87</v>
      </c>
      <c r="G96" s="9">
        <f t="shared" ref="G96:K96" si="30">SUM(G97:G115)</f>
        <v>47973542.870000005</v>
      </c>
      <c r="H96" s="9">
        <f t="shared" si="30"/>
        <v>1477200</v>
      </c>
      <c r="I96" s="9">
        <f t="shared" si="30"/>
        <v>0</v>
      </c>
      <c r="J96" s="9">
        <f>L96+O96</f>
        <v>7822299</v>
      </c>
      <c r="K96" s="9">
        <f t="shared" si="30"/>
        <v>7640299</v>
      </c>
      <c r="L96" s="9">
        <f t="shared" ref="L96" si="31">SUM(L97:L115)</f>
        <v>57000</v>
      </c>
      <c r="M96" s="9">
        <f t="shared" ref="M96" si="32">SUM(M97:M115)</f>
        <v>0</v>
      </c>
      <c r="N96" s="9">
        <f t="shared" ref="N96" si="33">SUM(N97:N115)</f>
        <v>0</v>
      </c>
      <c r="O96" s="9">
        <f t="shared" ref="O96" si="34">SUM(O97:O115)</f>
        <v>7765299</v>
      </c>
      <c r="P96" s="9">
        <f t="shared" si="28"/>
        <v>128908746.87</v>
      </c>
    </row>
    <row r="97" spans="1:16" ht="69.75" customHeight="1">
      <c r="A97" s="6" t="s">
        <v>125</v>
      </c>
      <c r="B97" s="6" t="s">
        <v>76</v>
      </c>
      <c r="C97" s="6" t="s">
        <v>24</v>
      </c>
      <c r="D97" s="10" t="s">
        <v>77</v>
      </c>
      <c r="E97" s="11">
        <f>F97+I97</f>
        <v>22512700</v>
      </c>
      <c r="F97" s="11">
        <v>22512700</v>
      </c>
      <c r="G97" s="11">
        <f>17437500+3836200</f>
        <v>21273700</v>
      </c>
      <c r="H97" s="11">
        <f>500000+20000+300000</f>
        <v>820000</v>
      </c>
      <c r="I97" s="11">
        <v>0</v>
      </c>
      <c r="J97" s="11">
        <f>L97+O97</f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f t="shared" si="28"/>
        <v>22512700</v>
      </c>
    </row>
    <row r="98" spans="1:16" ht="42.75" customHeight="1">
      <c r="A98" s="6" t="s">
        <v>126</v>
      </c>
      <c r="B98" s="6" t="s">
        <v>31</v>
      </c>
      <c r="C98" s="6" t="s">
        <v>32</v>
      </c>
      <c r="D98" s="10" t="s">
        <v>33</v>
      </c>
      <c r="E98" s="11">
        <f t="shared" ref="E98:E118" si="35">F98+I98</f>
        <v>155200</v>
      </c>
      <c r="F98" s="11">
        <f>50000+55000+50200</f>
        <v>155200</v>
      </c>
      <c r="G98" s="11">
        <v>0</v>
      </c>
      <c r="H98" s="11">
        <v>0</v>
      </c>
      <c r="I98" s="11">
        <v>0</v>
      </c>
      <c r="J98" s="11">
        <f t="shared" ref="J98:J195" si="36">L98+O98</f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28"/>
        <v>155200</v>
      </c>
    </row>
    <row r="99" spans="1:16" ht="47.25">
      <c r="A99" s="6" t="s">
        <v>127</v>
      </c>
      <c r="B99" s="6" t="s">
        <v>128</v>
      </c>
      <c r="C99" s="6" t="s">
        <v>129</v>
      </c>
      <c r="D99" s="10" t="s">
        <v>130</v>
      </c>
      <c r="E99" s="11">
        <f t="shared" si="35"/>
        <v>2915000</v>
      </c>
      <c r="F99" s="11">
        <f>3161000-246000</f>
        <v>2915000</v>
      </c>
      <c r="G99" s="11">
        <v>0</v>
      </c>
      <c r="H99" s="11">
        <v>0</v>
      </c>
      <c r="I99" s="11">
        <v>0</v>
      </c>
      <c r="J99" s="11">
        <f t="shared" si="36"/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f t="shared" si="28"/>
        <v>2915000</v>
      </c>
    </row>
    <row r="100" spans="1:16" ht="37.5" customHeight="1">
      <c r="A100" s="6" t="s">
        <v>131</v>
      </c>
      <c r="B100" s="6" t="s">
        <v>132</v>
      </c>
      <c r="C100" s="6" t="s">
        <v>97</v>
      </c>
      <c r="D100" s="10" t="s">
        <v>133</v>
      </c>
      <c r="E100" s="11">
        <f t="shared" si="35"/>
        <v>5000</v>
      </c>
      <c r="F100" s="11">
        <v>5000</v>
      </c>
      <c r="G100" s="11">
        <v>0</v>
      </c>
      <c r="H100" s="11">
        <v>0</v>
      </c>
      <c r="I100" s="11">
        <v>0</v>
      </c>
      <c r="J100" s="11">
        <f t="shared" si="36"/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28"/>
        <v>5000</v>
      </c>
    </row>
    <row r="101" spans="1:16" s="18" customFormat="1" ht="57" customHeight="1">
      <c r="A101" s="6" t="s">
        <v>134</v>
      </c>
      <c r="B101" s="6" t="s">
        <v>135</v>
      </c>
      <c r="C101" s="6" t="s">
        <v>97</v>
      </c>
      <c r="D101" s="10" t="s">
        <v>136</v>
      </c>
      <c r="E101" s="11">
        <f t="shared" si="35"/>
        <v>444119</v>
      </c>
      <c r="F101" s="11">
        <v>444119</v>
      </c>
      <c r="G101" s="11">
        <v>0</v>
      </c>
      <c r="H101" s="11">
        <v>0</v>
      </c>
      <c r="I101" s="11">
        <v>0</v>
      </c>
      <c r="J101" s="11">
        <f t="shared" si="36"/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f t="shared" si="28"/>
        <v>444119</v>
      </c>
    </row>
    <row r="102" spans="1:16" s="18" customFormat="1" ht="57" customHeight="1">
      <c r="A102" s="6" t="s">
        <v>137</v>
      </c>
      <c r="B102" s="6" t="s">
        <v>138</v>
      </c>
      <c r="C102" s="6" t="s">
        <v>129</v>
      </c>
      <c r="D102" s="10" t="s">
        <v>139</v>
      </c>
      <c r="E102" s="11">
        <f t="shared" si="35"/>
        <v>139516</v>
      </c>
      <c r="F102" s="11">
        <f>83516+56000</f>
        <v>139516</v>
      </c>
      <c r="G102" s="11">
        <v>0</v>
      </c>
      <c r="H102" s="11">
        <v>0</v>
      </c>
      <c r="I102" s="11">
        <v>0</v>
      </c>
      <c r="J102" s="11">
        <f t="shared" si="36"/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28"/>
        <v>139516</v>
      </c>
    </row>
    <row r="103" spans="1:16" ht="84.75" customHeight="1">
      <c r="A103" s="6" t="s">
        <v>140</v>
      </c>
      <c r="B103" s="6" t="s">
        <v>141</v>
      </c>
      <c r="C103" s="6" t="s">
        <v>142</v>
      </c>
      <c r="D103" s="10" t="s">
        <v>143</v>
      </c>
      <c r="E103" s="11">
        <f t="shared" si="35"/>
        <v>18855774.870000001</v>
      </c>
      <c r="F103" s="11">
        <f>17480300+1200000+175474.87</f>
        <v>18855774.870000001</v>
      </c>
      <c r="G103" s="11">
        <f>13304500+2932600+1200000+175474.87</f>
        <v>17612574.870000001</v>
      </c>
      <c r="H103" s="11">
        <f>190000+6000+140000</f>
        <v>336000</v>
      </c>
      <c r="I103" s="11">
        <v>0</v>
      </c>
      <c r="J103" s="11">
        <f t="shared" si="36"/>
        <v>182000</v>
      </c>
      <c r="K103" s="11">
        <v>0</v>
      </c>
      <c r="L103" s="11">
        <v>57000</v>
      </c>
      <c r="M103" s="11">
        <v>0</v>
      </c>
      <c r="N103" s="11">
        <v>0</v>
      </c>
      <c r="O103" s="11">
        <v>125000</v>
      </c>
      <c r="P103" s="11">
        <f t="shared" si="28"/>
        <v>19037774.870000001</v>
      </c>
    </row>
    <row r="104" spans="1:16" ht="126.75" customHeight="1">
      <c r="A104" s="6" t="s">
        <v>144</v>
      </c>
      <c r="B104" s="6" t="s">
        <v>145</v>
      </c>
      <c r="C104" s="6" t="s">
        <v>116</v>
      </c>
      <c r="D104" s="10" t="s">
        <v>338</v>
      </c>
      <c r="E104" s="11">
        <f t="shared" si="35"/>
        <v>10922500</v>
      </c>
      <c r="F104" s="11">
        <f>9208500+93000+98000+894700+35000+347300+246000</f>
        <v>10922500</v>
      </c>
      <c r="G104" s="11">
        <f>6040000+1344700+334650+517300+246000</f>
        <v>8482650</v>
      </c>
      <c r="H104" s="11">
        <f>123600+18800+178800</f>
        <v>321200</v>
      </c>
      <c r="I104" s="11">
        <v>0</v>
      </c>
      <c r="J104" s="11">
        <f t="shared" si="36"/>
        <v>991625</v>
      </c>
      <c r="K104" s="11">
        <v>991625</v>
      </c>
      <c r="L104" s="11">
        <v>0</v>
      </c>
      <c r="M104" s="11">
        <v>0</v>
      </c>
      <c r="N104" s="11">
        <v>0</v>
      </c>
      <c r="O104" s="11">
        <v>991625</v>
      </c>
      <c r="P104" s="11">
        <f t="shared" si="28"/>
        <v>11914125</v>
      </c>
    </row>
    <row r="105" spans="1:16" ht="44.25" customHeight="1">
      <c r="A105" s="6" t="s">
        <v>146</v>
      </c>
      <c r="B105" s="6" t="s">
        <v>147</v>
      </c>
      <c r="C105" s="6" t="s">
        <v>116</v>
      </c>
      <c r="D105" s="10" t="s">
        <v>148</v>
      </c>
      <c r="E105" s="11">
        <f t="shared" si="35"/>
        <v>652500</v>
      </c>
      <c r="F105" s="11">
        <f>707500-55000</f>
        <v>652500</v>
      </c>
      <c r="G105" s="11">
        <v>0</v>
      </c>
      <c r="H105" s="11">
        <v>0</v>
      </c>
      <c r="I105" s="11">
        <v>0</v>
      </c>
      <c r="J105" s="11">
        <f t="shared" si="36"/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28"/>
        <v>652500</v>
      </c>
    </row>
    <row r="106" spans="1:16" ht="106.9" hidden="1" customHeight="1">
      <c r="A106" s="14" t="s">
        <v>290</v>
      </c>
      <c r="B106" s="6" t="s">
        <v>115</v>
      </c>
      <c r="C106" s="6" t="s">
        <v>116</v>
      </c>
      <c r="D106" s="10" t="s">
        <v>117</v>
      </c>
      <c r="E106" s="11">
        <f t="shared" si="35"/>
        <v>0</v>
      </c>
      <c r="F106" s="11">
        <f>200000+1000000-287300-912700</f>
        <v>0</v>
      </c>
      <c r="G106" s="11">
        <v>0</v>
      </c>
      <c r="H106" s="11">
        <v>0</v>
      </c>
      <c r="I106" s="11">
        <v>0</v>
      </c>
      <c r="J106" s="11">
        <f t="shared" si="36"/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28"/>
        <v>0</v>
      </c>
    </row>
    <row r="107" spans="1:16" ht="121.5" customHeight="1">
      <c r="A107" s="6" t="s">
        <v>149</v>
      </c>
      <c r="B107" s="6" t="s">
        <v>150</v>
      </c>
      <c r="C107" s="6" t="s">
        <v>79</v>
      </c>
      <c r="D107" s="10" t="s">
        <v>151</v>
      </c>
      <c r="E107" s="11">
        <f t="shared" si="35"/>
        <v>2950000</v>
      </c>
      <c r="F107" s="11">
        <f>3300000-350000</f>
        <v>2950000</v>
      </c>
      <c r="G107" s="11">
        <v>0</v>
      </c>
      <c r="H107" s="11">
        <v>0</v>
      </c>
      <c r="I107" s="11">
        <v>0</v>
      </c>
      <c r="J107" s="11">
        <f t="shared" si="36"/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f t="shared" si="28"/>
        <v>2950000</v>
      </c>
    </row>
    <row r="108" spans="1:16" s="18" customFormat="1" ht="86.25" customHeight="1">
      <c r="A108" s="6" t="s">
        <v>152</v>
      </c>
      <c r="B108" s="6" t="s">
        <v>153</v>
      </c>
      <c r="C108" s="6" t="s">
        <v>79</v>
      </c>
      <c r="D108" s="10" t="s">
        <v>154</v>
      </c>
      <c r="E108" s="11">
        <f t="shared" si="35"/>
        <v>28720</v>
      </c>
      <c r="F108" s="11">
        <v>28720</v>
      </c>
      <c r="G108" s="11">
        <v>0</v>
      </c>
      <c r="H108" s="11">
        <v>0</v>
      </c>
      <c r="I108" s="11">
        <v>0</v>
      </c>
      <c r="J108" s="11">
        <f t="shared" si="36"/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28"/>
        <v>28720</v>
      </c>
    </row>
    <row r="109" spans="1:16" ht="94.5">
      <c r="A109" s="6" t="s">
        <v>155</v>
      </c>
      <c r="B109" s="6" t="s">
        <v>156</v>
      </c>
      <c r="C109" s="6" t="s">
        <v>157</v>
      </c>
      <c r="D109" s="10" t="s">
        <v>158</v>
      </c>
      <c r="E109" s="11">
        <f t="shared" si="35"/>
        <v>1000000</v>
      </c>
      <c r="F109" s="11">
        <v>1000000</v>
      </c>
      <c r="G109" s="11">
        <v>0</v>
      </c>
      <c r="H109" s="11">
        <v>0</v>
      </c>
      <c r="I109" s="11">
        <v>0</v>
      </c>
      <c r="J109" s="11">
        <f t="shared" si="36"/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f t="shared" si="28"/>
        <v>1000000</v>
      </c>
    </row>
    <row r="110" spans="1:16" ht="74.25" customHeight="1">
      <c r="A110" s="6" t="s">
        <v>159</v>
      </c>
      <c r="B110" s="6" t="s">
        <v>160</v>
      </c>
      <c r="C110" s="6" t="s">
        <v>129</v>
      </c>
      <c r="D110" s="10" t="s">
        <v>161</v>
      </c>
      <c r="E110" s="11">
        <f t="shared" si="35"/>
        <v>71000</v>
      </c>
      <c r="F110" s="11">
        <v>71000</v>
      </c>
      <c r="G110" s="11">
        <v>0</v>
      </c>
      <c r="H110" s="11">
        <v>0</v>
      </c>
      <c r="I110" s="11">
        <v>0</v>
      </c>
      <c r="J110" s="11">
        <f t="shared" si="36"/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f t="shared" si="28"/>
        <v>71000</v>
      </c>
    </row>
    <row r="111" spans="1:16" ht="100.5" customHeight="1">
      <c r="A111" s="14" t="s">
        <v>389</v>
      </c>
      <c r="B111" s="6">
        <v>3193</v>
      </c>
      <c r="C111" s="6">
        <v>1030</v>
      </c>
      <c r="D111" s="10" t="s">
        <v>388</v>
      </c>
      <c r="E111" s="11">
        <f t="shared" si="35"/>
        <v>604618</v>
      </c>
      <c r="F111" s="11">
        <v>604618</v>
      </c>
      <c r="G111" s="11">
        <v>604618</v>
      </c>
      <c r="H111" s="11"/>
      <c r="I111" s="11"/>
      <c r="J111" s="11">
        <f t="shared" si="36"/>
        <v>0</v>
      </c>
      <c r="K111" s="11"/>
      <c r="L111" s="11"/>
      <c r="M111" s="11"/>
      <c r="N111" s="11"/>
      <c r="O111" s="11"/>
      <c r="P111" s="11">
        <f t="shared" si="28"/>
        <v>604618</v>
      </c>
    </row>
    <row r="112" spans="1:16" s="18" customFormat="1" ht="409.5">
      <c r="A112" s="14" t="s">
        <v>413</v>
      </c>
      <c r="B112" s="6">
        <v>3225</v>
      </c>
      <c r="C112" s="6">
        <v>1060</v>
      </c>
      <c r="D112" s="10" t="s">
        <v>414</v>
      </c>
      <c r="E112" s="11">
        <f t="shared" si="35"/>
        <v>0</v>
      </c>
      <c r="F112" s="11"/>
      <c r="G112" s="11"/>
      <c r="H112" s="11"/>
      <c r="I112" s="11"/>
      <c r="J112" s="11">
        <f t="shared" si="36"/>
        <v>6648674</v>
      </c>
      <c r="K112" s="11">
        <v>6648674</v>
      </c>
      <c r="L112" s="11"/>
      <c r="M112" s="11"/>
      <c r="N112" s="11"/>
      <c r="O112" s="11">
        <v>6648674</v>
      </c>
      <c r="P112" s="11">
        <f t="shared" si="28"/>
        <v>6648674</v>
      </c>
    </row>
    <row r="113" spans="1:16" ht="72.75" customHeight="1">
      <c r="A113" s="6" t="s">
        <v>162</v>
      </c>
      <c r="B113" s="6" t="s">
        <v>163</v>
      </c>
      <c r="C113" s="6" t="s">
        <v>97</v>
      </c>
      <c r="D113" s="10" t="s">
        <v>164</v>
      </c>
      <c r="E113" s="11">
        <f t="shared" si="35"/>
        <v>697600</v>
      </c>
      <c r="F113" s="11">
        <f>497600+200000</f>
        <v>697600</v>
      </c>
      <c r="G113" s="11">
        <v>0</v>
      </c>
      <c r="H113" s="11">
        <v>0</v>
      </c>
      <c r="I113" s="11">
        <v>0</v>
      </c>
      <c r="J113" s="11">
        <f t="shared" si="36"/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f t="shared" si="28"/>
        <v>697600</v>
      </c>
    </row>
    <row r="114" spans="1:16" ht="41.25" customHeight="1">
      <c r="A114" s="6" t="s">
        <v>165</v>
      </c>
      <c r="B114" s="6" t="s">
        <v>51</v>
      </c>
      <c r="C114" s="6" t="s">
        <v>52</v>
      </c>
      <c r="D114" s="10" t="s">
        <v>53</v>
      </c>
      <c r="E114" s="11">
        <f t="shared" si="35"/>
        <v>58748400</v>
      </c>
      <c r="F114" s="11">
        <f>57048400-35000000+1000000+35000000-1000000+600000+1000000+100000</f>
        <v>58748400</v>
      </c>
      <c r="G114" s="11">
        <v>0</v>
      </c>
      <c r="H114" s="11">
        <v>0</v>
      </c>
      <c r="I114" s="11">
        <v>0</v>
      </c>
      <c r="J114" s="11">
        <f t="shared" si="36"/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 t="shared" si="28"/>
        <v>58748400</v>
      </c>
    </row>
    <row r="115" spans="1:16" ht="31.5">
      <c r="A115" s="14" t="s">
        <v>291</v>
      </c>
      <c r="B115" s="14" t="s">
        <v>283</v>
      </c>
      <c r="C115" s="14" t="s">
        <v>285</v>
      </c>
      <c r="D115" s="10" t="s">
        <v>284</v>
      </c>
      <c r="E115" s="11">
        <f t="shared" si="35"/>
        <v>383800</v>
      </c>
      <c r="F115" s="11">
        <f>SUM(F116:F118)</f>
        <v>383800</v>
      </c>
      <c r="G115" s="11"/>
      <c r="H115" s="11"/>
      <c r="I115" s="11"/>
      <c r="J115" s="11">
        <f t="shared" si="36"/>
        <v>0</v>
      </c>
      <c r="K115" s="11"/>
      <c r="L115" s="11"/>
      <c r="M115" s="11"/>
      <c r="N115" s="11"/>
      <c r="O115" s="11"/>
      <c r="P115" s="11">
        <f t="shared" ref="P115:P118" si="37">E115 + J115</f>
        <v>383800</v>
      </c>
    </row>
    <row r="116" spans="1:16" s="5" customFormat="1" ht="47.25">
      <c r="A116" s="17"/>
      <c r="B116" s="17"/>
      <c r="C116" s="17"/>
      <c r="D116" s="1" t="s">
        <v>307</v>
      </c>
      <c r="E116" s="13">
        <f t="shared" si="35"/>
        <v>96200</v>
      </c>
      <c r="F116" s="13">
        <v>96200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>
        <f t="shared" si="37"/>
        <v>96200</v>
      </c>
    </row>
    <row r="117" spans="1:16" s="5" customFormat="1" ht="63">
      <c r="A117" s="17"/>
      <c r="B117" s="17"/>
      <c r="C117" s="17"/>
      <c r="D117" s="1" t="s">
        <v>312</v>
      </c>
      <c r="E117" s="13">
        <f t="shared" si="35"/>
        <v>232200</v>
      </c>
      <c r="F117" s="13">
        <f>126900+105300</f>
        <v>232200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>
        <f t="shared" si="37"/>
        <v>232200</v>
      </c>
    </row>
    <row r="118" spans="1:16" s="5" customFormat="1" ht="78.75">
      <c r="A118" s="17"/>
      <c r="B118" s="17"/>
      <c r="C118" s="17"/>
      <c r="D118" s="1" t="s">
        <v>311</v>
      </c>
      <c r="E118" s="13">
        <f t="shared" si="35"/>
        <v>55400</v>
      </c>
      <c r="F118" s="13">
        <v>55400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>
        <f t="shared" si="37"/>
        <v>55400</v>
      </c>
    </row>
    <row r="119" spans="1:16" ht="47.25">
      <c r="A119" s="7" t="s">
        <v>166</v>
      </c>
      <c r="B119" s="7" t="s">
        <v>19</v>
      </c>
      <c r="C119" s="7" t="s">
        <v>19</v>
      </c>
      <c r="D119" s="8" t="s">
        <v>167</v>
      </c>
      <c r="E119" s="9">
        <f t="shared" ref="E119:E127" si="38">F119+I119</f>
        <v>3769800</v>
      </c>
      <c r="F119" s="9">
        <f>F120</f>
        <v>3769800</v>
      </c>
      <c r="G119" s="9">
        <f t="shared" ref="G119:I119" si="39">G120</f>
        <v>3224300</v>
      </c>
      <c r="H119" s="9">
        <f t="shared" si="39"/>
        <v>0</v>
      </c>
      <c r="I119" s="9">
        <f t="shared" si="39"/>
        <v>0</v>
      </c>
      <c r="J119" s="9">
        <f t="shared" si="36"/>
        <v>0</v>
      </c>
      <c r="K119" s="9">
        <f>K120</f>
        <v>0</v>
      </c>
      <c r="L119" s="9">
        <f t="shared" ref="L119:O119" si="40">L120</f>
        <v>0</v>
      </c>
      <c r="M119" s="9">
        <f t="shared" si="40"/>
        <v>0</v>
      </c>
      <c r="N119" s="9">
        <f t="shared" si="40"/>
        <v>0</v>
      </c>
      <c r="O119" s="9">
        <f t="shared" si="40"/>
        <v>0</v>
      </c>
      <c r="P119" s="9">
        <f t="shared" si="28"/>
        <v>3769800</v>
      </c>
    </row>
    <row r="120" spans="1:16" ht="47.25">
      <c r="A120" s="7" t="s">
        <v>168</v>
      </c>
      <c r="B120" s="7" t="s">
        <v>19</v>
      </c>
      <c r="C120" s="7" t="s">
        <v>19</v>
      </c>
      <c r="D120" s="8" t="s">
        <v>167</v>
      </c>
      <c r="E120" s="9">
        <f t="shared" si="38"/>
        <v>3769800</v>
      </c>
      <c r="F120" s="9">
        <f>SUM(F121:F124)</f>
        <v>3769800</v>
      </c>
      <c r="G120" s="9">
        <f t="shared" ref="G120:K120" si="41">SUM(G121:G124)</f>
        <v>3224300</v>
      </c>
      <c r="H120" s="9">
        <f t="shared" si="41"/>
        <v>0</v>
      </c>
      <c r="I120" s="9">
        <f t="shared" si="41"/>
        <v>0</v>
      </c>
      <c r="J120" s="9">
        <f t="shared" si="36"/>
        <v>0</v>
      </c>
      <c r="K120" s="9">
        <f t="shared" si="41"/>
        <v>0</v>
      </c>
      <c r="L120" s="9">
        <f t="shared" ref="L120" si="42">SUM(L121:L124)</f>
        <v>0</v>
      </c>
      <c r="M120" s="9">
        <f t="shared" ref="M120" si="43">SUM(M121:M124)</f>
        <v>0</v>
      </c>
      <c r="N120" s="9">
        <f t="shared" ref="N120" si="44">SUM(N121:N124)</f>
        <v>0</v>
      </c>
      <c r="O120" s="9">
        <f t="shared" ref="O120" si="45">SUM(O121:O124)</f>
        <v>0</v>
      </c>
      <c r="P120" s="9">
        <f t="shared" si="28"/>
        <v>3769800</v>
      </c>
    </row>
    <row r="121" spans="1:16" ht="66" customHeight="1">
      <c r="A121" s="6" t="s">
        <v>169</v>
      </c>
      <c r="B121" s="6" t="s">
        <v>76</v>
      </c>
      <c r="C121" s="6" t="s">
        <v>24</v>
      </c>
      <c r="D121" s="10" t="s">
        <v>77</v>
      </c>
      <c r="E121" s="11">
        <f t="shared" si="38"/>
        <v>3342500</v>
      </c>
      <c r="F121" s="11">
        <v>3342500</v>
      </c>
      <c r="G121" s="11">
        <f>2642900+581400</f>
        <v>3224300</v>
      </c>
      <c r="H121" s="11">
        <v>0</v>
      </c>
      <c r="I121" s="11">
        <v>0</v>
      </c>
      <c r="J121" s="11">
        <f t="shared" si="36"/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f t="shared" si="28"/>
        <v>3342500</v>
      </c>
    </row>
    <row r="122" spans="1:16" ht="31.5">
      <c r="A122" s="14" t="s">
        <v>422</v>
      </c>
      <c r="B122" s="14" t="s">
        <v>31</v>
      </c>
      <c r="C122" s="6" t="s">
        <v>24</v>
      </c>
      <c r="D122" s="10" t="s">
        <v>33</v>
      </c>
      <c r="E122" s="11">
        <f t="shared" si="38"/>
        <v>49000</v>
      </c>
      <c r="F122" s="11">
        <v>49000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>
        <f t="shared" si="28"/>
        <v>49000</v>
      </c>
    </row>
    <row r="123" spans="1:16" ht="31.5">
      <c r="A123" s="6" t="s">
        <v>170</v>
      </c>
      <c r="B123" s="6" t="s">
        <v>171</v>
      </c>
      <c r="C123" s="6" t="s">
        <v>116</v>
      </c>
      <c r="D123" s="10" t="s">
        <v>172</v>
      </c>
      <c r="E123" s="11">
        <f t="shared" si="38"/>
        <v>278000</v>
      </c>
      <c r="F123" s="11">
        <v>278000</v>
      </c>
      <c r="G123" s="11">
        <v>0</v>
      </c>
      <c r="H123" s="11">
        <v>0</v>
      </c>
      <c r="I123" s="11">
        <v>0</v>
      </c>
      <c r="J123" s="11">
        <f t="shared" si="36"/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f t="shared" si="28"/>
        <v>278000</v>
      </c>
    </row>
    <row r="124" spans="1:16" ht="31.5">
      <c r="A124" s="14" t="s">
        <v>292</v>
      </c>
      <c r="B124" s="14" t="s">
        <v>283</v>
      </c>
      <c r="C124" s="14" t="s">
        <v>285</v>
      </c>
      <c r="D124" s="10" t="s">
        <v>284</v>
      </c>
      <c r="E124" s="11">
        <f t="shared" si="38"/>
        <v>100300</v>
      </c>
      <c r="F124" s="11">
        <v>100300</v>
      </c>
      <c r="G124" s="11"/>
      <c r="H124" s="11"/>
      <c r="I124" s="11"/>
      <c r="J124" s="11">
        <f t="shared" ref="J124" si="46">L124+O124</f>
        <v>0</v>
      </c>
      <c r="K124" s="11"/>
      <c r="L124" s="11"/>
      <c r="M124" s="11"/>
      <c r="N124" s="11"/>
      <c r="O124" s="11"/>
      <c r="P124" s="11">
        <f t="shared" si="28"/>
        <v>100300</v>
      </c>
    </row>
    <row r="125" spans="1:16" ht="47.25">
      <c r="A125" s="7" t="s">
        <v>173</v>
      </c>
      <c r="B125" s="7" t="s">
        <v>19</v>
      </c>
      <c r="C125" s="7" t="s">
        <v>19</v>
      </c>
      <c r="D125" s="8" t="s">
        <v>174</v>
      </c>
      <c r="E125" s="9">
        <f t="shared" si="38"/>
        <v>58057800</v>
      </c>
      <c r="F125" s="9">
        <f>F126</f>
        <v>58057800</v>
      </c>
      <c r="G125" s="9">
        <f t="shared" ref="G125:I125" si="47">G126</f>
        <v>48245700</v>
      </c>
      <c r="H125" s="9">
        <f t="shared" si="47"/>
        <v>3687100</v>
      </c>
      <c r="I125" s="9">
        <f t="shared" si="47"/>
        <v>0</v>
      </c>
      <c r="J125" s="9">
        <f t="shared" si="36"/>
        <v>1866100</v>
      </c>
      <c r="K125" s="9">
        <f>K126</f>
        <v>500100</v>
      </c>
      <c r="L125" s="9">
        <f t="shared" ref="L125:O125" si="48">L126</f>
        <v>1136000</v>
      </c>
      <c r="M125" s="9">
        <f t="shared" si="48"/>
        <v>507100</v>
      </c>
      <c r="N125" s="9">
        <f t="shared" si="48"/>
        <v>0</v>
      </c>
      <c r="O125" s="9">
        <f t="shared" si="48"/>
        <v>730100</v>
      </c>
      <c r="P125" s="9">
        <f t="shared" si="28"/>
        <v>59923900</v>
      </c>
    </row>
    <row r="126" spans="1:16" ht="47.25">
      <c r="A126" s="7" t="s">
        <v>175</v>
      </c>
      <c r="B126" s="7" t="s">
        <v>19</v>
      </c>
      <c r="C126" s="7" t="s">
        <v>19</v>
      </c>
      <c r="D126" s="8" t="s">
        <v>174</v>
      </c>
      <c r="E126" s="9">
        <f t="shared" si="38"/>
        <v>58057800</v>
      </c>
      <c r="F126" s="9">
        <f>SUM(F127:F135)</f>
        <v>58057800</v>
      </c>
      <c r="G126" s="9">
        <f t="shared" ref="G126:K126" si="49">SUM(G127:G135)</f>
        <v>48245700</v>
      </c>
      <c r="H126" s="9">
        <f t="shared" si="49"/>
        <v>3687100</v>
      </c>
      <c r="I126" s="9">
        <f t="shared" si="49"/>
        <v>0</v>
      </c>
      <c r="J126" s="9">
        <f t="shared" si="36"/>
        <v>1866100</v>
      </c>
      <c r="K126" s="9">
        <f t="shared" si="49"/>
        <v>500100</v>
      </c>
      <c r="L126" s="9">
        <f t="shared" ref="L126" si="50">SUM(L127:L135)</f>
        <v>1136000</v>
      </c>
      <c r="M126" s="9">
        <f t="shared" ref="M126" si="51">SUM(M127:M135)</f>
        <v>507100</v>
      </c>
      <c r="N126" s="9">
        <f t="shared" ref="N126" si="52">SUM(N127:N135)</f>
        <v>0</v>
      </c>
      <c r="O126" s="9">
        <f t="shared" ref="O126" si="53">SUM(O127:O135)</f>
        <v>730100</v>
      </c>
      <c r="P126" s="9">
        <f t="shared" si="28"/>
        <v>59923900</v>
      </c>
    </row>
    <row r="127" spans="1:16" ht="73.5" customHeight="1">
      <c r="A127" s="6" t="s">
        <v>176</v>
      </c>
      <c r="B127" s="6" t="s">
        <v>76</v>
      </c>
      <c r="C127" s="6" t="s">
        <v>24</v>
      </c>
      <c r="D127" s="10" t="s">
        <v>77</v>
      </c>
      <c r="E127" s="11">
        <f t="shared" si="38"/>
        <v>1352500</v>
      </c>
      <c r="F127" s="11">
        <v>1352500</v>
      </c>
      <c r="G127" s="11">
        <f>1085700+238900</f>
        <v>1324600</v>
      </c>
      <c r="H127" s="11">
        <v>0</v>
      </c>
      <c r="I127" s="11">
        <v>0</v>
      </c>
      <c r="J127" s="11">
        <f t="shared" si="36"/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f t="shared" si="28"/>
        <v>1352500</v>
      </c>
    </row>
    <row r="128" spans="1:16" ht="31.5">
      <c r="A128" s="6" t="s">
        <v>177</v>
      </c>
      <c r="B128" s="6" t="s">
        <v>178</v>
      </c>
      <c r="C128" s="6" t="s">
        <v>98</v>
      </c>
      <c r="D128" s="10" t="s">
        <v>179</v>
      </c>
      <c r="E128" s="11">
        <f t="shared" ref="E128:E135" si="54">F128+I128</f>
        <v>25436400</v>
      </c>
      <c r="F128" s="11">
        <f>25258300+587600-9500-200000-200000</f>
        <v>25436400</v>
      </c>
      <c r="G128" s="11">
        <f>19980300+4395600-9500-200000-285000</f>
        <v>23881400</v>
      </c>
      <c r="H128" s="11">
        <f>24500+399000+292900+34000-24000</f>
        <v>726400</v>
      </c>
      <c r="I128" s="11">
        <v>0</v>
      </c>
      <c r="J128" s="11">
        <f t="shared" si="36"/>
        <v>1086000</v>
      </c>
      <c r="K128" s="11">
        <v>0</v>
      </c>
      <c r="L128" s="11">
        <v>886000</v>
      </c>
      <c r="M128" s="11">
        <f>405800+89300</f>
        <v>495100</v>
      </c>
      <c r="N128" s="11">
        <v>0</v>
      </c>
      <c r="O128" s="11">
        <v>200000</v>
      </c>
      <c r="P128" s="11">
        <f t="shared" si="28"/>
        <v>26522400</v>
      </c>
    </row>
    <row r="129" spans="1:16" ht="113.25" customHeight="1">
      <c r="A129" s="6" t="s">
        <v>180</v>
      </c>
      <c r="B129" s="6" t="s">
        <v>115</v>
      </c>
      <c r="C129" s="6" t="s">
        <v>116</v>
      </c>
      <c r="D129" s="10" t="s">
        <v>117</v>
      </c>
      <c r="E129" s="11">
        <f t="shared" si="54"/>
        <v>150000</v>
      </c>
      <c r="F129" s="11">
        <v>150000</v>
      </c>
      <c r="G129" s="11">
        <v>0</v>
      </c>
      <c r="H129" s="11">
        <v>0</v>
      </c>
      <c r="I129" s="11">
        <v>0</v>
      </c>
      <c r="J129" s="11">
        <f t="shared" si="36"/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f t="shared" si="28"/>
        <v>150000</v>
      </c>
    </row>
    <row r="130" spans="1:16">
      <c r="A130" s="6" t="s">
        <v>181</v>
      </c>
      <c r="B130" s="6" t="s">
        <v>182</v>
      </c>
      <c r="C130" s="6" t="s">
        <v>183</v>
      </c>
      <c r="D130" s="10" t="s">
        <v>184</v>
      </c>
      <c r="E130" s="11">
        <f t="shared" si="54"/>
        <v>9465700</v>
      </c>
      <c r="F130" s="11">
        <f>9205700+260000</f>
        <v>9465700</v>
      </c>
      <c r="G130" s="11">
        <f>6059000+1332900-120000</f>
        <v>7271900</v>
      </c>
      <c r="H130" s="11">
        <f>741700+20200+410400+36800+4700</f>
        <v>1213800</v>
      </c>
      <c r="I130" s="11">
        <v>0</v>
      </c>
      <c r="J130" s="11">
        <f t="shared" si="36"/>
        <v>80000</v>
      </c>
      <c r="K130" s="11">
        <v>0</v>
      </c>
      <c r="L130" s="11">
        <f>80000</f>
        <v>80000</v>
      </c>
      <c r="M130" s="11">
        <v>0</v>
      </c>
      <c r="N130" s="11">
        <v>0</v>
      </c>
      <c r="O130" s="11">
        <v>0</v>
      </c>
      <c r="P130" s="11">
        <f t="shared" si="28"/>
        <v>9545700</v>
      </c>
    </row>
    <row r="131" spans="1:16" ht="31.5">
      <c r="A131" s="6" t="s">
        <v>185</v>
      </c>
      <c r="B131" s="6" t="s">
        <v>186</v>
      </c>
      <c r="C131" s="6" t="s">
        <v>183</v>
      </c>
      <c r="D131" s="10" t="s">
        <v>187</v>
      </c>
      <c r="E131" s="11">
        <f t="shared" si="54"/>
        <v>4328000</v>
      </c>
      <c r="F131" s="11">
        <f>3595900+136500+195600+200000+200000</f>
        <v>4328000</v>
      </c>
      <c r="G131" s="11">
        <f>2170200+477400-30000</f>
        <v>2617600</v>
      </c>
      <c r="H131" s="11">
        <f>370700+10100+125400+3100</f>
        <v>509300</v>
      </c>
      <c r="I131" s="11">
        <v>0</v>
      </c>
      <c r="J131" s="11">
        <f t="shared" si="36"/>
        <v>40000</v>
      </c>
      <c r="K131" s="11">
        <v>0</v>
      </c>
      <c r="L131" s="11">
        <v>40000</v>
      </c>
      <c r="M131" s="11">
        <v>0</v>
      </c>
      <c r="N131" s="11">
        <v>0</v>
      </c>
      <c r="O131" s="11">
        <v>0</v>
      </c>
      <c r="P131" s="11">
        <f t="shared" si="28"/>
        <v>4368000</v>
      </c>
    </row>
    <row r="132" spans="1:16" ht="47.25">
      <c r="A132" s="6" t="s">
        <v>188</v>
      </c>
      <c r="B132" s="6" t="s">
        <v>189</v>
      </c>
      <c r="C132" s="6" t="s">
        <v>190</v>
      </c>
      <c r="D132" s="10" t="s">
        <v>191</v>
      </c>
      <c r="E132" s="11">
        <f t="shared" si="54"/>
        <v>13721900</v>
      </c>
      <c r="F132" s="11">
        <f>13136300+515900+30000-30000+29900+130800-91000</f>
        <v>13721900</v>
      </c>
      <c r="G132" s="11">
        <f>8756500+1926400-91000</f>
        <v>10591900</v>
      </c>
      <c r="H132" s="11">
        <f>44400+535800+392900+241000-48000</f>
        <v>1166100</v>
      </c>
      <c r="I132" s="11">
        <v>0</v>
      </c>
      <c r="J132" s="11">
        <f t="shared" si="36"/>
        <v>580100</v>
      </c>
      <c r="K132" s="11">
        <f>200000+30000+300000-109900</f>
        <v>420100</v>
      </c>
      <c r="L132" s="11">
        <v>130000</v>
      </c>
      <c r="M132" s="11">
        <f>10000+2000</f>
        <v>12000</v>
      </c>
      <c r="N132" s="11">
        <v>0</v>
      </c>
      <c r="O132" s="11">
        <f>30000+200000+30000+300000-109900</f>
        <v>450100</v>
      </c>
      <c r="P132" s="11">
        <f t="shared" si="28"/>
        <v>14302000</v>
      </c>
    </row>
    <row r="133" spans="1:16" ht="31.5">
      <c r="A133" s="6" t="s">
        <v>192</v>
      </c>
      <c r="B133" s="6" t="s">
        <v>193</v>
      </c>
      <c r="C133" s="6" t="s">
        <v>194</v>
      </c>
      <c r="D133" s="10" t="s">
        <v>195</v>
      </c>
      <c r="E133" s="11">
        <f t="shared" si="54"/>
        <v>2686800</v>
      </c>
      <c r="F133" s="11">
        <f>2595800+91000</f>
        <v>2686800</v>
      </c>
      <c r="G133" s="11">
        <f>2022400+444900+91000</f>
        <v>2558300</v>
      </c>
      <c r="H133" s="11">
        <f>24400+1500+45600</f>
        <v>71500</v>
      </c>
      <c r="I133" s="11">
        <v>0</v>
      </c>
      <c r="J133" s="11">
        <f t="shared" si="36"/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f t="shared" ref="P133:P192" si="55">E133 + J133</f>
        <v>2686800</v>
      </c>
    </row>
    <row r="134" spans="1:16" ht="31.5">
      <c r="A134" s="6" t="s">
        <v>196</v>
      </c>
      <c r="B134" s="6" t="s">
        <v>197</v>
      </c>
      <c r="C134" s="6" t="s">
        <v>194</v>
      </c>
      <c r="D134" s="10" t="s">
        <v>198</v>
      </c>
      <c r="E134" s="11">
        <f t="shared" si="54"/>
        <v>740000</v>
      </c>
      <c r="F134" s="11">
        <f>600000+80000+60000</f>
        <v>740000</v>
      </c>
      <c r="G134" s="11">
        <v>0</v>
      </c>
      <c r="H134" s="11">
        <v>0</v>
      </c>
      <c r="I134" s="11">
        <v>0</v>
      </c>
      <c r="J134" s="11">
        <f t="shared" si="36"/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f t="shared" si="55"/>
        <v>740000</v>
      </c>
    </row>
    <row r="135" spans="1:16" ht="31.5">
      <c r="A135" s="14" t="s">
        <v>293</v>
      </c>
      <c r="B135" s="14" t="s">
        <v>283</v>
      </c>
      <c r="C135" s="14" t="s">
        <v>285</v>
      </c>
      <c r="D135" s="10" t="s">
        <v>284</v>
      </c>
      <c r="E135" s="11">
        <f t="shared" si="54"/>
        <v>176500</v>
      </c>
      <c r="F135" s="11">
        <f>167000+9500</f>
        <v>176500</v>
      </c>
      <c r="G135" s="11"/>
      <c r="H135" s="11"/>
      <c r="I135" s="11"/>
      <c r="J135" s="11">
        <f t="shared" si="36"/>
        <v>80000</v>
      </c>
      <c r="K135" s="11">
        <v>80000</v>
      </c>
      <c r="L135" s="11"/>
      <c r="M135" s="11"/>
      <c r="N135" s="11"/>
      <c r="O135" s="11">
        <v>80000</v>
      </c>
      <c r="P135" s="11">
        <f t="shared" si="55"/>
        <v>256500</v>
      </c>
    </row>
    <row r="136" spans="1:16" ht="47.25">
      <c r="A136" s="7" t="s">
        <v>199</v>
      </c>
      <c r="B136" s="7" t="s">
        <v>19</v>
      </c>
      <c r="C136" s="7" t="s">
        <v>19</v>
      </c>
      <c r="D136" s="8" t="s">
        <v>200</v>
      </c>
      <c r="E136" s="9">
        <f t="shared" ref="E136:E149" si="56">F136+I136</f>
        <v>10616756</v>
      </c>
      <c r="F136" s="9">
        <f>F137</f>
        <v>10616756</v>
      </c>
      <c r="G136" s="9">
        <f t="shared" ref="G136:I136" si="57">G137</f>
        <v>3356700</v>
      </c>
      <c r="H136" s="9">
        <f t="shared" si="57"/>
        <v>70800</v>
      </c>
      <c r="I136" s="9">
        <f t="shared" si="57"/>
        <v>0</v>
      </c>
      <c r="J136" s="9">
        <f t="shared" si="36"/>
        <v>4393135</v>
      </c>
      <c r="K136" s="9">
        <f>K137</f>
        <v>35000</v>
      </c>
      <c r="L136" s="9">
        <f t="shared" ref="L136:O136" si="58">L137</f>
        <v>0</v>
      </c>
      <c r="M136" s="9">
        <f t="shared" si="58"/>
        <v>0</v>
      </c>
      <c r="N136" s="9">
        <f t="shared" si="58"/>
        <v>0</v>
      </c>
      <c r="O136" s="9">
        <f t="shared" si="58"/>
        <v>4393135</v>
      </c>
      <c r="P136" s="9">
        <f t="shared" si="55"/>
        <v>15009891</v>
      </c>
    </row>
    <row r="137" spans="1:16" ht="47.25">
      <c r="A137" s="7" t="s">
        <v>201</v>
      </c>
      <c r="B137" s="7" t="s">
        <v>19</v>
      </c>
      <c r="C137" s="7" t="s">
        <v>19</v>
      </c>
      <c r="D137" s="8" t="s">
        <v>200</v>
      </c>
      <c r="E137" s="9">
        <f t="shared" si="56"/>
        <v>10616756</v>
      </c>
      <c r="F137" s="9">
        <f>SUM(F138:F146)</f>
        <v>10616756</v>
      </c>
      <c r="G137" s="9">
        <f t="shared" ref="G137:K137" si="59">SUM(G138:G146)</f>
        <v>3356700</v>
      </c>
      <c r="H137" s="9">
        <f t="shared" si="59"/>
        <v>70800</v>
      </c>
      <c r="I137" s="9">
        <f t="shared" si="59"/>
        <v>0</v>
      </c>
      <c r="J137" s="9">
        <f t="shared" si="36"/>
        <v>4393135</v>
      </c>
      <c r="K137" s="9">
        <f t="shared" si="59"/>
        <v>35000</v>
      </c>
      <c r="L137" s="9">
        <f t="shared" ref="L137" si="60">SUM(L138:L146)</f>
        <v>0</v>
      </c>
      <c r="M137" s="9">
        <f t="shared" ref="M137" si="61">SUM(M138:M146)</f>
        <v>0</v>
      </c>
      <c r="N137" s="9">
        <f t="shared" ref="N137" si="62">SUM(N138:N146)</f>
        <v>0</v>
      </c>
      <c r="O137" s="9">
        <f t="shared" ref="O137" si="63">SUM(O138:O146)</f>
        <v>4393135</v>
      </c>
      <c r="P137" s="9">
        <f t="shared" si="55"/>
        <v>15009891</v>
      </c>
    </row>
    <row r="138" spans="1:16" ht="71.25" customHeight="1">
      <c r="A138" s="6" t="s">
        <v>202</v>
      </c>
      <c r="B138" s="6" t="s">
        <v>76</v>
      </c>
      <c r="C138" s="6" t="s">
        <v>24</v>
      </c>
      <c r="D138" s="10" t="s">
        <v>77</v>
      </c>
      <c r="E138" s="11">
        <f t="shared" si="56"/>
        <v>2771100</v>
      </c>
      <c r="F138" s="11">
        <f>2778600-7500</f>
        <v>2771100</v>
      </c>
      <c r="G138" s="11">
        <f>2183700+480400</f>
        <v>2664100</v>
      </c>
      <c r="H138" s="11">
        <v>0</v>
      </c>
      <c r="I138" s="11">
        <v>0</v>
      </c>
      <c r="J138" s="11">
        <f t="shared" si="36"/>
        <v>35000</v>
      </c>
      <c r="K138" s="11">
        <v>35000</v>
      </c>
      <c r="L138" s="11">
        <v>0</v>
      </c>
      <c r="M138" s="11">
        <v>0</v>
      </c>
      <c r="N138" s="11">
        <v>0</v>
      </c>
      <c r="O138" s="11">
        <v>35000</v>
      </c>
      <c r="P138" s="11">
        <f t="shared" si="55"/>
        <v>2806100</v>
      </c>
    </row>
    <row r="139" spans="1:16" ht="63">
      <c r="A139" s="6" t="s">
        <v>203</v>
      </c>
      <c r="B139" s="6" t="s">
        <v>204</v>
      </c>
      <c r="C139" s="6" t="s">
        <v>116</v>
      </c>
      <c r="D139" s="10" t="s">
        <v>339</v>
      </c>
      <c r="E139" s="11">
        <f t="shared" si="56"/>
        <v>2036600</v>
      </c>
      <c r="F139" s="11">
        <f>1956300-35000+115300</f>
        <v>2036600</v>
      </c>
      <c r="G139" s="11">
        <f>473200+104100+115300</f>
        <v>692600</v>
      </c>
      <c r="H139" s="11">
        <f>54600+1600+14600</f>
        <v>70800</v>
      </c>
      <c r="I139" s="11">
        <v>0</v>
      </c>
      <c r="J139" s="11">
        <f t="shared" si="36"/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f t="shared" si="55"/>
        <v>2036600</v>
      </c>
    </row>
    <row r="140" spans="1:16" ht="47.25">
      <c r="A140" s="6" t="s">
        <v>205</v>
      </c>
      <c r="B140" s="6" t="s">
        <v>206</v>
      </c>
      <c r="C140" s="6" t="s">
        <v>121</v>
      </c>
      <c r="D140" s="10" t="s">
        <v>207</v>
      </c>
      <c r="E140" s="11">
        <f t="shared" si="56"/>
        <v>1498900</v>
      </c>
      <c r="F140" s="11">
        <f>1400000+49000+49900</f>
        <v>1498900</v>
      </c>
      <c r="G140" s="11">
        <v>0</v>
      </c>
      <c r="H140" s="11">
        <v>0</v>
      </c>
      <c r="I140" s="11">
        <v>0</v>
      </c>
      <c r="J140" s="11">
        <f t="shared" si="36"/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55"/>
        <v>1498900</v>
      </c>
    </row>
    <row r="141" spans="1:16" ht="47.25">
      <c r="A141" s="6" t="s">
        <v>208</v>
      </c>
      <c r="B141" s="6" t="s">
        <v>209</v>
      </c>
      <c r="C141" s="6" t="s">
        <v>121</v>
      </c>
      <c r="D141" s="10" t="s">
        <v>210</v>
      </c>
      <c r="E141" s="11">
        <f t="shared" si="56"/>
        <v>1193600</v>
      </c>
      <c r="F141" s="11">
        <f>990000+49000+49900-115300+220000</f>
        <v>1193600</v>
      </c>
      <c r="G141" s="11">
        <v>0</v>
      </c>
      <c r="H141" s="11">
        <v>0</v>
      </c>
      <c r="I141" s="11">
        <v>0</v>
      </c>
      <c r="J141" s="11">
        <f t="shared" si="36"/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f t="shared" si="55"/>
        <v>1193600</v>
      </c>
    </row>
    <row r="142" spans="1:16" ht="71.25" customHeight="1">
      <c r="A142" s="6">
        <v>1115049</v>
      </c>
      <c r="B142" s="6">
        <v>5049</v>
      </c>
      <c r="C142" s="6" t="s">
        <v>121</v>
      </c>
      <c r="D142" s="10" t="s">
        <v>396</v>
      </c>
      <c r="E142" s="11">
        <f t="shared" si="56"/>
        <v>114192</v>
      </c>
      <c r="F142" s="11">
        <f>35136+79056</f>
        <v>114192</v>
      </c>
      <c r="G142" s="11"/>
      <c r="H142" s="11"/>
      <c r="I142" s="11">
        <v>0</v>
      </c>
      <c r="J142" s="11"/>
      <c r="K142" s="11"/>
      <c r="L142" s="11"/>
      <c r="M142" s="11"/>
      <c r="N142" s="11"/>
      <c r="O142" s="11"/>
      <c r="P142" s="11">
        <f t="shared" si="55"/>
        <v>114192</v>
      </c>
    </row>
    <row r="143" spans="1:16" ht="84" customHeight="1">
      <c r="A143" s="6" t="s">
        <v>211</v>
      </c>
      <c r="B143" s="6" t="s">
        <v>212</v>
      </c>
      <c r="C143" s="6" t="s">
        <v>121</v>
      </c>
      <c r="D143" s="10" t="s">
        <v>407</v>
      </c>
      <c r="E143" s="11">
        <f t="shared" si="56"/>
        <v>2749864</v>
      </c>
      <c r="F143" s="11">
        <f>3185000-35136-180000-340000+120000</f>
        <v>2749864</v>
      </c>
      <c r="G143" s="11">
        <v>0</v>
      </c>
      <c r="H143" s="11">
        <v>0</v>
      </c>
      <c r="I143" s="11">
        <v>0</v>
      </c>
      <c r="J143" s="11">
        <f t="shared" si="36"/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f t="shared" si="55"/>
        <v>2749864</v>
      </c>
    </row>
    <row r="144" spans="1:16" ht="84" customHeight="1">
      <c r="A144" s="6">
        <v>1115062</v>
      </c>
      <c r="B144" s="6">
        <v>5062</v>
      </c>
      <c r="C144" s="14" t="s">
        <v>121</v>
      </c>
      <c r="D144" s="10" t="s">
        <v>418</v>
      </c>
      <c r="E144" s="11">
        <f t="shared" si="56"/>
        <v>180000</v>
      </c>
      <c r="F144" s="11">
        <v>180000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>
        <f t="shared" si="55"/>
        <v>180000</v>
      </c>
    </row>
    <row r="145" spans="1:16" ht="31.5">
      <c r="A145" s="14" t="s">
        <v>294</v>
      </c>
      <c r="B145" s="14" t="s">
        <v>283</v>
      </c>
      <c r="C145" s="14" t="s">
        <v>285</v>
      </c>
      <c r="D145" s="10" t="s">
        <v>284</v>
      </c>
      <c r="E145" s="11">
        <f t="shared" si="56"/>
        <v>72500</v>
      </c>
      <c r="F145" s="11">
        <f>65000+7500</f>
        <v>72500</v>
      </c>
      <c r="G145" s="11"/>
      <c r="H145" s="11"/>
      <c r="I145" s="11"/>
      <c r="J145" s="11">
        <f t="shared" ref="J145:J146" si="64">L145+O145</f>
        <v>0</v>
      </c>
      <c r="K145" s="11"/>
      <c r="L145" s="11"/>
      <c r="M145" s="11"/>
      <c r="N145" s="11"/>
      <c r="O145" s="11"/>
      <c r="P145" s="11">
        <f t="shared" ref="P145:P146" si="65">E145 + J145</f>
        <v>72500</v>
      </c>
    </row>
    <row r="146" spans="1:16" ht="141.75">
      <c r="A146" s="14" t="s">
        <v>432</v>
      </c>
      <c r="B146" s="14" t="s">
        <v>370</v>
      </c>
      <c r="C146" s="14" t="s">
        <v>60</v>
      </c>
      <c r="D146" s="10" t="s">
        <v>371</v>
      </c>
      <c r="E146" s="11">
        <f t="shared" si="56"/>
        <v>0</v>
      </c>
      <c r="F146" s="11"/>
      <c r="G146" s="11"/>
      <c r="H146" s="11"/>
      <c r="I146" s="11"/>
      <c r="J146" s="11">
        <f t="shared" si="64"/>
        <v>4358135</v>
      </c>
      <c r="K146" s="11"/>
      <c r="L146" s="11"/>
      <c r="M146" s="11"/>
      <c r="N146" s="11"/>
      <c r="O146" s="11">
        <v>4358135</v>
      </c>
      <c r="P146" s="11">
        <f t="shared" si="65"/>
        <v>4358135</v>
      </c>
    </row>
    <row r="147" spans="1:16" ht="63">
      <c r="A147" s="7" t="s">
        <v>213</v>
      </c>
      <c r="B147" s="7" t="s">
        <v>19</v>
      </c>
      <c r="C147" s="7" t="s">
        <v>19</v>
      </c>
      <c r="D147" s="8" t="s">
        <v>214</v>
      </c>
      <c r="E147" s="9">
        <f t="shared" si="56"/>
        <v>192702127</v>
      </c>
      <c r="F147" s="9">
        <f>F148</f>
        <v>62421359</v>
      </c>
      <c r="G147" s="9">
        <f t="shared" ref="G147:I147" si="66">G148</f>
        <v>5315400</v>
      </c>
      <c r="H147" s="9">
        <f t="shared" si="66"/>
        <v>15700</v>
      </c>
      <c r="I147" s="9">
        <f t="shared" si="66"/>
        <v>130280768</v>
      </c>
      <c r="J147" s="9">
        <f t="shared" si="36"/>
        <v>34412002.609999999</v>
      </c>
      <c r="K147" s="9">
        <f>K148</f>
        <v>29577432</v>
      </c>
      <c r="L147" s="9">
        <f t="shared" ref="L147:O147" si="67">L148</f>
        <v>1133700</v>
      </c>
      <c r="M147" s="9">
        <f t="shared" si="67"/>
        <v>0</v>
      </c>
      <c r="N147" s="9">
        <f t="shared" si="67"/>
        <v>0</v>
      </c>
      <c r="O147" s="9">
        <f t="shared" si="67"/>
        <v>33278302.609999999</v>
      </c>
      <c r="P147" s="9">
        <f t="shared" si="55"/>
        <v>227114129.61000001</v>
      </c>
    </row>
    <row r="148" spans="1:16" ht="63">
      <c r="A148" s="7" t="s">
        <v>215</v>
      </c>
      <c r="B148" s="7" t="s">
        <v>19</v>
      </c>
      <c r="C148" s="7" t="s">
        <v>19</v>
      </c>
      <c r="D148" s="8" t="s">
        <v>214</v>
      </c>
      <c r="E148" s="9">
        <f t="shared" si="56"/>
        <v>192702127</v>
      </c>
      <c r="F148" s="9">
        <f>SUM(F149:F172)</f>
        <v>62421359</v>
      </c>
      <c r="G148" s="9">
        <f t="shared" ref="G148:I148" si="68">SUM(G149:G172)</f>
        <v>5315400</v>
      </c>
      <c r="H148" s="9">
        <f t="shared" si="68"/>
        <v>15700</v>
      </c>
      <c r="I148" s="9">
        <f t="shared" si="68"/>
        <v>130280768</v>
      </c>
      <c r="J148" s="9">
        <f t="shared" si="36"/>
        <v>34412002.609999999</v>
      </c>
      <c r="K148" s="9">
        <f>SUM(K149:K172)</f>
        <v>29577432</v>
      </c>
      <c r="L148" s="9">
        <f t="shared" ref="L148" si="69">SUM(L149:L172)</f>
        <v>1133700</v>
      </c>
      <c r="M148" s="9">
        <f t="shared" ref="M148" si="70">SUM(M149:M172)</f>
        <v>0</v>
      </c>
      <c r="N148" s="9">
        <f t="shared" ref="N148" si="71">SUM(N149:N172)</f>
        <v>0</v>
      </c>
      <c r="O148" s="9">
        <f t="shared" ref="O148" si="72">SUM(O149:O172)</f>
        <v>33278302.609999999</v>
      </c>
      <c r="P148" s="9">
        <f>E148 + J148</f>
        <v>227114129.61000001</v>
      </c>
    </row>
    <row r="149" spans="1:16" ht="47.25">
      <c r="A149" s="6" t="s">
        <v>216</v>
      </c>
      <c r="B149" s="6" t="s">
        <v>76</v>
      </c>
      <c r="C149" s="6" t="s">
        <v>24</v>
      </c>
      <c r="D149" s="10" t="s">
        <v>77</v>
      </c>
      <c r="E149" s="11">
        <f t="shared" si="56"/>
        <v>5665100</v>
      </c>
      <c r="F149" s="11">
        <v>5665100</v>
      </c>
      <c r="G149" s="11">
        <f>4356900+958500</f>
        <v>5315400</v>
      </c>
      <c r="H149" s="11">
        <f>7200+900+7600</f>
        <v>15700</v>
      </c>
      <c r="I149" s="11">
        <v>0</v>
      </c>
      <c r="J149" s="11">
        <f t="shared" si="36"/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f t="shared" si="55"/>
        <v>5665100</v>
      </c>
    </row>
    <row r="150" spans="1:16" ht="47.25">
      <c r="A150" s="6" t="s">
        <v>217</v>
      </c>
      <c r="B150" s="6" t="s">
        <v>27</v>
      </c>
      <c r="C150" s="6" t="s">
        <v>28</v>
      </c>
      <c r="D150" s="10" t="s">
        <v>29</v>
      </c>
      <c r="E150" s="11">
        <f t="shared" ref="E150:E172" si="73">F150+I150</f>
        <v>10000</v>
      </c>
      <c r="F150" s="11">
        <v>10000</v>
      </c>
      <c r="G150" s="11">
        <v>0</v>
      </c>
      <c r="H150" s="11">
        <v>0</v>
      </c>
      <c r="I150" s="11">
        <v>0</v>
      </c>
      <c r="J150" s="11">
        <f t="shared" si="36"/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f t="shared" si="55"/>
        <v>10000</v>
      </c>
    </row>
    <row r="151" spans="1:16" ht="31.5">
      <c r="A151" s="6" t="s">
        <v>218</v>
      </c>
      <c r="B151" s="6" t="s">
        <v>219</v>
      </c>
      <c r="C151" s="6" t="s">
        <v>220</v>
      </c>
      <c r="D151" s="10" t="s">
        <v>221</v>
      </c>
      <c r="E151" s="11">
        <f t="shared" si="73"/>
        <v>30000</v>
      </c>
      <c r="F151" s="11">
        <f>50000-20000</f>
        <v>30000</v>
      </c>
      <c r="G151" s="11">
        <v>0</v>
      </c>
      <c r="H151" s="11">
        <v>0</v>
      </c>
      <c r="I151" s="11">
        <v>0</v>
      </c>
      <c r="J151" s="11">
        <f t="shared" si="36"/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f t="shared" si="55"/>
        <v>30000</v>
      </c>
    </row>
    <row r="152" spans="1:16" ht="31.5">
      <c r="A152" s="6">
        <v>1216011</v>
      </c>
      <c r="B152" s="6">
        <v>6011</v>
      </c>
      <c r="C152" s="14" t="s">
        <v>365</v>
      </c>
      <c r="D152" s="10" t="s">
        <v>364</v>
      </c>
      <c r="E152" s="11">
        <f t="shared" si="73"/>
        <v>227819</v>
      </c>
      <c r="F152" s="11"/>
      <c r="G152" s="11"/>
      <c r="H152" s="11"/>
      <c r="I152" s="11">
        <f>319069-91250</f>
        <v>227819</v>
      </c>
      <c r="J152" s="11">
        <f t="shared" si="36"/>
        <v>5367594.75</v>
      </c>
      <c r="K152" s="11">
        <f>1660017+43200+600000+94300+1400000+27908+1413000+84762.75+15300+25406+3701</f>
        <v>5367594.75</v>
      </c>
      <c r="L152" s="11"/>
      <c r="M152" s="11"/>
      <c r="N152" s="11"/>
      <c r="O152" s="11">
        <f>1660017+43200+600000+94300+1400000+27908+1413000+84762.75+15300+25406+3701</f>
        <v>5367594.75</v>
      </c>
      <c r="P152" s="11">
        <f t="shared" si="55"/>
        <v>5595413.75</v>
      </c>
    </row>
    <row r="153" spans="1:16" ht="31.5">
      <c r="A153" s="6">
        <v>1216013</v>
      </c>
      <c r="B153" s="6">
        <v>6013</v>
      </c>
      <c r="C153" s="14" t="s">
        <v>56</v>
      </c>
      <c r="D153" s="10" t="s">
        <v>419</v>
      </c>
      <c r="E153" s="11">
        <f t="shared" si="73"/>
        <v>4148102</v>
      </c>
      <c r="F153" s="11"/>
      <c r="G153" s="11"/>
      <c r="H153" s="11"/>
      <c r="I153" s="11">
        <v>4148102</v>
      </c>
      <c r="J153" s="11">
        <f t="shared" si="36"/>
        <v>0</v>
      </c>
      <c r="K153" s="11"/>
      <c r="L153" s="11"/>
      <c r="M153" s="11"/>
      <c r="N153" s="11"/>
      <c r="O153" s="11"/>
      <c r="P153" s="11">
        <f t="shared" si="55"/>
        <v>4148102</v>
      </c>
    </row>
    <row r="154" spans="1:16" ht="31.5">
      <c r="A154" s="6" t="s">
        <v>222</v>
      </c>
      <c r="B154" s="6" t="s">
        <v>223</v>
      </c>
      <c r="C154" s="6" t="s">
        <v>56</v>
      </c>
      <c r="D154" s="10" t="s">
        <v>224</v>
      </c>
      <c r="E154" s="11">
        <f t="shared" si="73"/>
        <v>149899</v>
      </c>
      <c r="F154" s="11">
        <v>0</v>
      </c>
      <c r="G154" s="11">
        <v>0</v>
      </c>
      <c r="H154" s="11">
        <v>0</v>
      </c>
      <c r="I154" s="11">
        <f>300000-150101</f>
        <v>149899</v>
      </c>
      <c r="J154" s="11">
        <f t="shared" si="36"/>
        <v>6802335.25</v>
      </c>
      <c r="K154" s="11">
        <f>7215287-321984+6487.25-15300-78454-3701</f>
        <v>6802335.25</v>
      </c>
      <c r="L154" s="11">
        <v>0</v>
      </c>
      <c r="M154" s="11">
        <v>0</v>
      </c>
      <c r="N154" s="11">
        <v>0</v>
      </c>
      <c r="O154" s="11">
        <f>7215287-321984+6487.25-15300-78454-3701</f>
        <v>6802335.25</v>
      </c>
      <c r="P154" s="11">
        <f t="shared" si="55"/>
        <v>6952234.25</v>
      </c>
    </row>
    <row r="155" spans="1:16" ht="47.25">
      <c r="A155" s="6" t="s">
        <v>225</v>
      </c>
      <c r="B155" s="6" t="s">
        <v>226</v>
      </c>
      <c r="C155" s="6" t="s">
        <v>56</v>
      </c>
      <c r="D155" s="10" t="s">
        <v>227</v>
      </c>
      <c r="E155" s="11">
        <f t="shared" si="73"/>
        <v>2051830</v>
      </c>
      <c r="F155" s="11">
        <v>0</v>
      </c>
      <c r="G155" s="11">
        <v>0</v>
      </c>
      <c r="H155" s="11">
        <v>0</v>
      </c>
      <c r="I155" s="11">
        <f>1720000+331830</f>
        <v>2051830</v>
      </c>
      <c r="J155" s="11">
        <f t="shared" si="36"/>
        <v>1095000</v>
      </c>
      <c r="K155" s="11">
        <v>1095000</v>
      </c>
      <c r="L155" s="11">
        <v>0</v>
      </c>
      <c r="M155" s="11">
        <v>0</v>
      </c>
      <c r="N155" s="11">
        <v>0</v>
      </c>
      <c r="O155" s="11">
        <v>1095000</v>
      </c>
      <c r="P155" s="11">
        <f t="shared" si="55"/>
        <v>3146830</v>
      </c>
    </row>
    <row r="156" spans="1:16" ht="31.5">
      <c r="A156" s="6" t="s">
        <v>228</v>
      </c>
      <c r="B156" s="6" t="s">
        <v>55</v>
      </c>
      <c r="C156" s="6" t="s">
        <v>56</v>
      </c>
      <c r="D156" s="10" t="s">
        <v>57</v>
      </c>
      <c r="E156" s="11">
        <f t="shared" si="73"/>
        <v>86738453</v>
      </c>
      <c r="F156" s="11">
        <f>12500000+11000000+15000-500000+195000-200000+500000-300000-224000</f>
        <v>22986000</v>
      </c>
      <c r="G156" s="11">
        <v>0</v>
      </c>
      <c r="H156" s="11">
        <v>0</v>
      </c>
      <c r="I156" s="11">
        <f>60450000+195000+601000-195000+9490+200000+20000+758464-34000+224000+1523499</f>
        <v>63752453</v>
      </c>
      <c r="J156" s="11">
        <f t="shared" si="36"/>
        <v>1125500</v>
      </c>
      <c r="K156" s="11">
        <f>839500+252000+34000</f>
        <v>1125500</v>
      </c>
      <c r="L156" s="11">
        <v>0</v>
      </c>
      <c r="M156" s="11">
        <v>0</v>
      </c>
      <c r="N156" s="11">
        <v>0</v>
      </c>
      <c r="O156" s="11">
        <f>839500+252000+34000</f>
        <v>1125500</v>
      </c>
      <c r="P156" s="11">
        <f t="shared" si="55"/>
        <v>87863953</v>
      </c>
    </row>
    <row r="157" spans="1:16" ht="31.5">
      <c r="A157" s="6">
        <v>1216091</v>
      </c>
      <c r="B157" s="6">
        <v>6091</v>
      </c>
      <c r="C157" s="14" t="s">
        <v>309</v>
      </c>
      <c r="D157" s="10" t="s">
        <v>380</v>
      </c>
      <c r="E157" s="11">
        <f t="shared" si="73"/>
        <v>0</v>
      </c>
      <c r="F157" s="11"/>
      <c r="G157" s="11"/>
      <c r="H157" s="11"/>
      <c r="I157" s="11"/>
      <c r="J157" s="11">
        <f t="shared" si="36"/>
        <v>6859841</v>
      </c>
      <c r="K157" s="11">
        <f>5800000+600000+171000+300000-11159</f>
        <v>6859841</v>
      </c>
      <c r="L157" s="11"/>
      <c r="M157" s="11"/>
      <c r="N157" s="11"/>
      <c r="O157" s="11">
        <f>5800000+600000+171000+300000-11159</f>
        <v>6859841</v>
      </c>
      <c r="P157" s="11">
        <f t="shared" si="55"/>
        <v>6859841</v>
      </c>
    </row>
    <row r="158" spans="1:16" ht="94.5">
      <c r="A158" s="6">
        <v>1216093</v>
      </c>
      <c r="B158" s="6">
        <v>6093</v>
      </c>
      <c r="C158" s="14" t="s">
        <v>309</v>
      </c>
      <c r="D158" s="10" t="s">
        <v>366</v>
      </c>
      <c r="E158" s="11">
        <f t="shared" si="73"/>
        <v>37755</v>
      </c>
      <c r="F158" s="11"/>
      <c r="G158" s="11"/>
      <c r="H158" s="11"/>
      <c r="I158" s="11">
        <f>47400-9645</f>
        <v>37755</v>
      </c>
      <c r="J158" s="11">
        <f t="shared" si="36"/>
        <v>0</v>
      </c>
      <c r="K158" s="11"/>
      <c r="L158" s="11"/>
      <c r="M158" s="11"/>
      <c r="N158" s="11"/>
      <c r="O158" s="11"/>
      <c r="P158" s="11">
        <f t="shared" si="55"/>
        <v>37755</v>
      </c>
    </row>
    <row r="159" spans="1:16">
      <c r="A159" s="6">
        <v>1217130</v>
      </c>
      <c r="B159" s="6">
        <v>7130</v>
      </c>
      <c r="C159" s="14" t="s">
        <v>252</v>
      </c>
      <c r="D159" s="10" t="s">
        <v>253</v>
      </c>
      <c r="E159" s="11">
        <f t="shared" si="73"/>
        <v>180000</v>
      </c>
      <c r="F159" s="11"/>
      <c r="G159" s="11"/>
      <c r="H159" s="11"/>
      <c r="I159" s="11">
        <v>180000</v>
      </c>
      <c r="J159" s="11">
        <f t="shared" si="36"/>
        <v>0</v>
      </c>
      <c r="K159" s="11"/>
      <c r="L159" s="11"/>
      <c r="M159" s="11"/>
      <c r="N159" s="11"/>
      <c r="O159" s="11"/>
      <c r="P159" s="11">
        <f t="shared" si="55"/>
        <v>180000</v>
      </c>
    </row>
    <row r="160" spans="1:16" ht="47.25">
      <c r="A160" s="6" t="s">
        <v>229</v>
      </c>
      <c r="B160" s="6" t="s">
        <v>230</v>
      </c>
      <c r="C160" s="6" t="s">
        <v>231</v>
      </c>
      <c r="D160" s="10" t="s">
        <v>232</v>
      </c>
      <c r="E160" s="11">
        <f t="shared" si="73"/>
        <v>30000000</v>
      </c>
      <c r="F160" s="11">
        <v>30000000</v>
      </c>
      <c r="G160" s="11">
        <v>0</v>
      </c>
      <c r="H160" s="11">
        <v>0</v>
      </c>
      <c r="I160" s="11">
        <v>0</v>
      </c>
      <c r="J160" s="11">
        <f t="shared" si="36"/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f t="shared" si="55"/>
        <v>30000000</v>
      </c>
    </row>
    <row r="161" spans="1:16" ht="31.5">
      <c r="A161" s="14" t="s">
        <v>295</v>
      </c>
      <c r="B161" s="14" t="s">
        <v>283</v>
      </c>
      <c r="C161" s="14" t="s">
        <v>285</v>
      </c>
      <c r="D161" s="10" t="s">
        <v>284</v>
      </c>
      <c r="E161" s="11">
        <f t="shared" si="73"/>
        <v>488300</v>
      </c>
      <c r="F161" s="11">
        <v>488300</v>
      </c>
      <c r="G161" s="11"/>
      <c r="H161" s="11"/>
      <c r="I161" s="11"/>
      <c r="J161" s="11">
        <f t="shared" si="36"/>
        <v>36000</v>
      </c>
      <c r="K161" s="11">
        <v>36000</v>
      </c>
      <c r="L161" s="11"/>
      <c r="M161" s="11"/>
      <c r="N161" s="11"/>
      <c r="O161" s="11">
        <v>36000</v>
      </c>
      <c r="P161" s="11">
        <f t="shared" si="55"/>
        <v>524300</v>
      </c>
    </row>
    <row r="162" spans="1:16">
      <c r="A162" s="14" t="s">
        <v>406</v>
      </c>
      <c r="B162" s="14" t="s">
        <v>334</v>
      </c>
      <c r="C162" s="14" t="s">
        <v>335</v>
      </c>
      <c r="D162" s="10" t="s">
        <v>336</v>
      </c>
      <c r="E162" s="11">
        <f t="shared" si="73"/>
        <v>0</v>
      </c>
      <c r="F162" s="11"/>
      <c r="G162" s="11"/>
      <c r="H162" s="11"/>
      <c r="I162" s="11"/>
      <c r="J162" s="11">
        <f t="shared" si="36"/>
        <v>522900</v>
      </c>
      <c r="K162" s="11">
        <f>360000+162900</f>
        <v>522900</v>
      </c>
      <c r="L162" s="11"/>
      <c r="M162" s="11"/>
      <c r="N162" s="11"/>
      <c r="O162" s="11">
        <f>360000+162900</f>
        <v>522900</v>
      </c>
      <c r="P162" s="11">
        <f t="shared" si="55"/>
        <v>522900</v>
      </c>
    </row>
    <row r="163" spans="1:16" ht="46.5" customHeight="1">
      <c r="A163" s="14" t="s">
        <v>367</v>
      </c>
      <c r="B163" s="14" t="s">
        <v>368</v>
      </c>
      <c r="C163" s="14" t="s">
        <v>60</v>
      </c>
      <c r="D163" s="10" t="s">
        <v>369</v>
      </c>
      <c r="E163" s="11">
        <f t="shared" si="73"/>
        <v>0</v>
      </c>
      <c r="F163" s="11"/>
      <c r="G163" s="11"/>
      <c r="H163" s="11"/>
      <c r="I163" s="11"/>
      <c r="J163" s="11">
        <f t="shared" si="36"/>
        <v>2650510</v>
      </c>
      <c r="K163" s="11">
        <f>2060000-9490+600000</f>
        <v>2650510</v>
      </c>
      <c r="L163" s="11"/>
      <c r="M163" s="11"/>
      <c r="N163" s="11"/>
      <c r="O163" s="11">
        <f>2060000-9490+600000</f>
        <v>2650510</v>
      </c>
      <c r="P163" s="11">
        <f t="shared" si="55"/>
        <v>2650510</v>
      </c>
    </row>
    <row r="164" spans="1:16" ht="173.25" customHeight="1">
      <c r="A164" s="14" t="s">
        <v>386</v>
      </c>
      <c r="B164" s="14" t="s">
        <v>370</v>
      </c>
      <c r="C164" s="14" t="s">
        <v>60</v>
      </c>
      <c r="D164" s="10" t="s">
        <v>371</v>
      </c>
      <c r="E164" s="11">
        <f t="shared" si="73"/>
        <v>0</v>
      </c>
      <c r="F164" s="11"/>
      <c r="G164" s="11"/>
      <c r="H164" s="11"/>
      <c r="I164" s="11"/>
      <c r="J164" s="11">
        <f t="shared" si="36"/>
        <v>3600870.61</v>
      </c>
      <c r="K164" s="11"/>
      <c r="L164" s="11"/>
      <c r="M164" s="11"/>
      <c r="N164" s="11"/>
      <c r="O164" s="11">
        <f>384374.18+216000+1700+10712.87+2987672.36+411.2</f>
        <v>3600870.61</v>
      </c>
      <c r="P164" s="11">
        <f t="shared" si="55"/>
        <v>3600870.61</v>
      </c>
    </row>
    <row r="165" spans="1:16" ht="31.5">
      <c r="A165" s="6" t="s">
        <v>233</v>
      </c>
      <c r="B165" s="6" t="s">
        <v>234</v>
      </c>
      <c r="C165" s="6" t="s">
        <v>60</v>
      </c>
      <c r="D165" s="10" t="s">
        <v>235</v>
      </c>
      <c r="E165" s="11">
        <f t="shared" si="73"/>
        <v>58708910</v>
      </c>
      <c r="F165" s="11">
        <v>0</v>
      </c>
      <c r="G165" s="11">
        <v>0</v>
      </c>
      <c r="H165" s="11">
        <v>0</v>
      </c>
      <c r="I165" s="11">
        <f>43320000+4300000+100800+8400000+2588110</f>
        <v>58708910</v>
      </c>
      <c r="J165" s="11">
        <f t="shared" si="36"/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f t="shared" si="55"/>
        <v>58708910</v>
      </c>
    </row>
    <row r="166" spans="1:16" ht="47.25">
      <c r="A166" s="6" t="s">
        <v>236</v>
      </c>
      <c r="B166" s="6" t="s">
        <v>237</v>
      </c>
      <c r="C166" s="6" t="s">
        <v>238</v>
      </c>
      <c r="D166" s="10" t="s">
        <v>239</v>
      </c>
      <c r="E166" s="11">
        <f t="shared" si="73"/>
        <v>3118300</v>
      </c>
      <c r="F166" s="11">
        <f>2527200+91100+500000</f>
        <v>3118300</v>
      </c>
      <c r="G166" s="11">
        <v>0</v>
      </c>
      <c r="H166" s="11">
        <v>0</v>
      </c>
      <c r="I166" s="11">
        <v>0</v>
      </c>
      <c r="J166" s="11">
        <f t="shared" si="36"/>
        <v>328365</v>
      </c>
      <c r="K166" s="11">
        <f>378921-50556</f>
        <v>328365</v>
      </c>
      <c r="L166" s="11">
        <v>0</v>
      </c>
      <c r="M166" s="11">
        <v>0</v>
      </c>
      <c r="N166" s="11">
        <v>0</v>
      </c>
      <c r="O166" s="11">
        <f>378921-50556</f>
        <v>328365</v>
      </c>
      <c r="P166" s="11">
        <f t="shared" si="55"/>
        <v>3446665</v>
      </c>
    </row>
    <row r="167" spans="1:16" ht="31.5">
      <c r="A167" s="14" t="s">
        <v>387</v>
      </c>
      <c r="B167" s="6">
        <v>8240</v>
      </c>
      <c r="C167" s="14" t="s">
        <v>64</v>
      </c>
      <c r="D167" s="10" t="s">
        <v>260</v>
      </c>
      <c r="E167" s="11">
        <f t="shared" si="73"/>
        <v>0</v>
      </c>
      <c r="F167" s="11"/>
      <c r="G167" s="11"/>
      <c r="H167" s="11"/>
      <c r="I167" s="11"/>
      <c r="J167" s="11">
        <f t="shared" si="36"/>
        <v>94000</v>
      </c>
      <c r="K167" s="11">
        <f>200000-106000</f>
        <v>94000</v>
      </c>
      <c r="L167" s="11"/>
      <c r="M167" s="11"/>
      <c r="N167" s="11"/>
      <c r="O167" s="11">
        <f>200000-106000</f>
        <v>94000</v>
      </c>
      <c r="P167" s="11">
        <f t="shared" si="55"/>
        <v>94000</v>
      </c>
    </row>
    <row r="168" spans="1:16" ht="31.5">
      <c r="A168" s="14" t="s">
        <v>423</v>
      </c>
      <c r="B168" s="6">
        <v>8340</v>
      </c>
      <c r="C168" s="6" t="s">
        <v>273</v>
      </c>
      <c r="D168" s="10" t="s">
        <v>274</v>
      </c>
      <c r="E168" s="11">
        <f t="shared" si="73"/>
        <v>0</v>
      </c>
      <c r="F168" s="11"/>
      <c r="G168" s="11"/>
      <c r="H168" s="11"/>
      <c r="I168" s="11"/>
      <c r="J168" s="11">
        <f t="shared" si="36"/>
        <v>1233700</v>
      </c>
      <c r="K168" s="11"/>
      <c r="L168" s="11">
        <v>1133700</v>
      </c>
      <c r="M168" s="11"/>
      <c r="N168" s="11"/>
      <c r="O168" s="11">
        <v>100000</v>
      </c>
      <c r="P168" s="11">
        <f t="shared" si="55"/>
        <v>1233700</v>
      </c>
    </row>
    <row r="169" spans="1:16" ht="78.75">
      <c r="A169" s="14" t="s">
        <v>397</v>
      </c>
      <c r="B169" s="6">
        <v>8733</v>
      </c>
      <c r="C169" s="14" t="s">
        <v>231</v>
      </c>
      <c r="D169" s="10" t="s">
        <v>399</v>
      </c>
      <c r="E169" s="11">
        <f t="shared" si="73"/>
        <v>123659</v>
      </c>
      <c r="F169" s="11">
        <v>123659</v>
      </c>
      <c r="G169" s="11"/>
      <c r="H169" s="11"/>
      <c r="I169" s="11"/>
      <c r="J169" s="11">
        <f t="shared" si="36"/>
        <v>0</v>
      </c>
      <c r="K169" s="11"/>
      <c r="L169" s="11"/>
      <c r="M169" s="11"/>
      <c r="N169" s="11"/>
      <c r="O169" s="11"/>
      <c r="P169" s="11">
        <f t="shared" si="55"/>
        <v>123659</v>
      </c>
    </row>
    <row r="170" spans="1:16" ht="78.75">
      <c r="A170" s="14" t="s">
        <v>398</v>
      </c>
      <c r="B170" s="6">
        <v>8741</v>
      </c>
      <c r="C170" s="14" t="s">
        <v>365</v>
      </c>
      <c r="D170" s="10" t="s">
        <v>400</v>
      </c>
      <c r="E170" s="11">
        <f t="shared" si="73"/>
        <v>400000</v>
      </c>
      <c r="F170" s="11"/>
      <c r="G170" s="11"/>
      <c r="H170" s="11"/>
      <c r="I170" s="11">
        <v>400000</v>
      </c>
      <c r="J170" s="11">
        <f t="shared" si="36"/>
        <v>0</v>
      </c>
      <c r="K170" s="11"/>
      <c r="L170" s="11"/>
      <c r="M170" s="11"/>
      <c r="N170" s="11"/>
      <c r="O170" s="11"/>
      <c r="P170" s="11">
        <f t="shared" si="55"/>
        <v>400000</v>
      </c>
    </row>
    <row r="171" spans="1:16" ht="78.75">
      <c r="A171" s="40" t="s">
        <v>436</v>
      </c>
      <c r="B171" s="38">
        <v>8742</v>
      </c>
      <c r="C171" s="40" t="s">
        <v>56</v>
      </c>
      <c r="D171" s="10" t="s">
        <v>437</v>
      </c>
      <c r="E171" s="11">
        <f t="shared" si="73"/>
        <v>0</v>
      </c>
      <c r="F171" s="11"/>
      <c r="G171" s="11"/>
      <c r="H171" s="11"/>
      <c r="I171" s="11"/>
      <c r="J171" s="11">
        <f t="shared" si="36"/>
        <v>4695386</v>
      </c>
      <c r="K171" s="11">
        <v>4695386</v>
      </c>
      <c r="L171" s="11"/>
      <c r="M171" s="11"/>
      <c r="N171" s="11"/>
      <c r="O171" s="11">
        <v>4695386</v>
      </c>
      <c r="P171" s="11">
        <f t="shared" si="55"/>
        <v>4695386</v>
      </c>
    </row>
    <row r="172" spans="1:16" ht="78.75">
      <c r="A172" s="14" t="s">
        <v>420</v>
      </c>
      <c r="B172" s="6">
        <v>8745</v>
      </c>
      <c r="C172" s="14" t="s">
        <v>309</v>
      </c>
      <c r="D172" s="10" t="s">
        <v>421</v>
      </c>
      <c r="E172" s="11">
        <f t="shared" si="73"/>
        <v>624000</v>
      </c>
      <c r="F172" s="11"/>
      <c r="G172" s="11"/>
      <c r="H172" s="11"/>
      <c r="I172" s="11">
        <v>624000</v>
      </c>
      <c r="J172" s="11"/>
      <c r="K172" s="11"/>
      <c r="L172" s="11"/>
      <c r="M172" s="11"/>
      <c r="N172" s="11"/>
      <c r="O172" s="11"/>
      <c r="P172" s="11">
        <f t="shared" si="55"/>
        <v>624000</v>
      </c>
    </row>
    <row r="173" spans="1:16" ht="63">
      <c r="A173" s="7" t="s">
        <v>240</v>
      </c>
      <c r="B173" s="7" t="s">
        <v>19</v>
      </c>
      <c r="C173" s="7" t="s">
        <v>19</v>
      </c>
      <c r="D173" s="8" t="s">
        <v>241</v>
      </c>
      <c r="E173" s="9">
        <f t="shared" ref="E173:E187" si="74">F173+I173</f>
        <v>6507684</v>
      </c>
      <c r="F173" s="9">
        <f>F174</f>
        <v>6507684</v>
      </c>
      <c r="G173" s="9">
        <f t="shared" ref="G173:I173" si="75">G174</f>
        <v>6211800</v>
      </c>
      <c r="H173" s="9">
        <f t="shared" si="75"/>
        <v>0</v>
      </c>
      <c r="I173" s="9">
        <f t="shared" si="75"/>
        <v>0</v>
      </c>
      <c r="J173" s="9">
        <f t="shared" si="36"/>
        <v>166382461.63</v>
      </c>
      <c r="K173" s="9">
        <f>K174</f>
        <v>166382461.63</v>
      </c>
      <c r="L173" s="9">
        <f t="shared" ref="L173:O173" si="76">L174</f>
        <v>0</v>
      </c>
      <c r="M173" s="9">
        <f t="shared" si="76"/>
        <v>0</v>
      </c>
      <c r="N173" s="9">
        <f t="shared" si="76"/>
        <v>0</v>
      </c>
      <c r="O173" s="9">
        <f t="shared" si="76"/>
        <v>166382461.63</v>
      </c>
      <c r="P173" s="9">
        <f t="shared" si="55"/>
        <v>172890145.63</v>
      </c>
    </row>
    <row r="174" spans="1:16" ht="63">
      <c r="A174" s="7" t="s">
        <v>242</v>
      </c>
      <c r="B174" s="7" t="s">
        <v>19</v>
      </c>
      <c r="C174" s="7" t="s">
        <v>19</v>
      </c>
      <c r="D174" s="8" t="s">
        <v>241</v>
      </c>
      <c r="E174" s="9">
        <f t="shared" si="74"/>
        <v>6507684</v>
      </c>
      <c r="F174" s="9">
        <f>SUM(F175:F184)</f>
        <v>6507684</v>
      </c>
      <c r="G174" s="9">
        <f t="shared" ref="G174:K174" si="77">SUM(G175:G184)</f>
        <v>6211800</v>
      </c>
      <c r="H174" s="9">
        <f t="shared" si="77"/>
        <v>0</v>
      </c>
      <c r="I174" s="9">
        <f t="shared" si="77"/>
        <v>0</v>
      </c>
      <c r="J174" s="9">
        <f t="shared" si="36"/>
        <v>166382461.63</v>
      </c>
      <c r="K174" s="9">
        <f t="shared" si="77"/>
        <v>166382461.63</v>
      </c>
      <c r="L174" s="9">
        <f t="shared" ref="L174" si="78">SUM(L175:L184)</f>
        <v>0</v>
      </c>
      <c r="M174" s="9">
        <f t="shared" ref="M174" si="79">SUM(M175:M184)</f>
        <v>0</v>
      </c>
      <c r="N174" s="9">
        <f t="shared" ref="N174" si="80">SUM(N175:N184)</f>
        <v>0</v>
      </c>
      <c r="O174" s="9">
        <f t="shared" ref="O174" si="81">SUM(O175:O184)</f>
        <v>166382461.63</v>
      </c>
      <c r="P174" s="9">
        <f t="shared" si="55"/>
        <v>172890145.63</v>
      </c>
    </row>
    <row r="175" spans="1:16" ht="94.5">
      <c r="A175" s="6">
        <v>1510150</v>
      </c>
      <c r="B175" s="14" t="s">
        <v>23</v>
      </c>
      <c r="C175" s="14" t="s">
        <v>24</v>
      </c>
      <c r="D175" s="10" t="s">
        <v>25</v>
      </c>
      <c r="E175" s="11">
        <f t="shared" si="74"/>
        <v>0</v>
      </c>
      <c r="F175" s="11"/>
      <c r="G175" s="11"/>
      <c r="H175" s="11"/>
      <c r="I175" s="11"/>
      <c r="J175" s="11">
        <f t="shared" si="36"/>
        <v>1220000</v>
      </c>
      <c r="K175" s="11">
        <f>590000+630000</f>
        <v>1220000</v>
      </c>
      <c r="L175" s="11"/>
      <c r="M175" s="11"/>
      <c r="N175" s="11"/>
      <c r="O175" s="11">
        <f>590000+630000</f>
        <v>1220000</v>
      </c>
      <c r="P175" s="11">
        <f t="shared" si="55"/>
        <v>1220000</v>
      </c>
    </row>
    <row r="176" spans="1:16" ht="47.25">
      <c r="A176" s="6" t="s">
        <v>243</v>
      </c>
      <c r="B176" s="6" t="s">
        <v>76</v>
      </c>
      <c r="C176" s="6" t="s">
        <v>24</v>
      </c>
      <c r="D176" s="10" t="s">
        <v>77</v>
      </c>
      <c r="E176" s="11">
        <f t="shared" si="74"/>
        <v>6437384</v>
      </c>
      <c r="F176" s="11">
        <f>6327300+26000+14084+70000</f>
        <v>6437384</v>
      </c>
      <c r="G176" s="11">
        <f>5091700+1120100</f>
        <v>6211800</v>
      </c>
      <c r="H176" s="11">
        <v>0</v>
      </c>
      <c r="I176" s="11">
        <v>0</v>
      </c>
      <c r="J176" s="11">
        <f t="shared" si="36"/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f t="shared" si="55"/>
        <v>6437384</v>
      </c>
    </row>
    <row r="177" spans="1:16" ht="31.5">
      <c r="A177" s="6">
        <v>1511300</v>
      </c>
      <c r="B177" s="14" t="s">
        <v>372</v>
      </c>
      <c r="C177" s="14" t="s">
        <v>106</v>
      </c>
      <c r="D177" s="10" t="s">
        <v>378</v>
      </c>
      <c r="E177" s="11">
        <f t="shared" si="74"/>
        <v>0</v>
      </c>
      <c r="F177" s="11"/>
      <c r="G177" s="11"/>
      <c r="H177" s="11"/>
      <c r="I177" s="11"/>
      <c r="J177" s="11">
        <f t="shared" si="36"/>
        <v>92684716</v>
      </c>
      <c r="K177" s="11">
        <f>83518800+3500000+100000-250000+100000-14084+2800000-70000+3000000</f>
        <v>92684716</v>
      </c>
      <c r="L177" s="11"/>
      <c r="M177" s="11"/>
      <c r="N177" s="11"/>
      <c r="O177" s="11">
        <f>83518800+3500000+100000-250000+100000-14084+2800000-70000+3000000</f>
        <v>92684716</v>
      </c>
      <c r="P177" s="11">
        <f t="shared" si="55"/>
        <v>92684716</v>
      </c>
    </row>
    <row r="178" spans="1:16" ht="78.75">
      <c r="A178" s="6">
        <v>1512171</v>
      </c>
      <c r="B178" s="14" t="s">
        <v>373</v>
      </c>
      <c r="C178" s="14" t="s">
        <v>48</v>
      </c>
      <c r="D178" s="10" t="s">
        <v>379</v>
      </c>
      <c r="E178" s="11">
        <f t="shared" si="74"/>
        <v>0</v>
      </c>
      <c r="F178" s="11"/>
      <c r="G178" s="11"/>
      <c r="H178" s="11"/>
      <c r="I178" s="11"/>
      <c r="J178" s="11">
        <f t="shared" si="36"/>
        <v>7550000</v>
      </c>
      <c r="K178" s="11">
        <f>550000+2000000+5000000</f>
        <v>7550000</v>
      </c>
      <c r="L178" s="11"/>
      <c r="M178" s="11"/>
      <c r="N178" s="11"/>
      <c r="O178" s="11">
        <f>550000+2000000+5000000</f>
        <v>7550000</v>
      </c>
      <c r="P178" s="11">
        <f t="shared" si="55"/>
        <v>7550000</v>
      </c>
    </row>
    <row r="179" spans="1:16" ht="31.5">
      <c r="A179" s="6">
        <v>1516015</v>
      </c>
      <c r="B179" s="14" t="s">
        <v>223</v>
      </c>
      <c r="C179" s="14" t="s">
        <v>56</v>
      </c>
      <c r="D179" s="10" t="s">
        <v>224</v>
      </c>
      <c r="E179" s="11">
        <f t="shared" si="74"/>
        <v>0</v>
      </c>
      <c r="F179" s="11"/>
      <c r="G179" s="11"/>
      <c r="H179" s="11"/>
      <c r="I179" s="11"/>
      <c r="J179" s="11">
        <f t="shared" si="36"/>
        <v>1122000</v>
      </c>
      <c r="K179" s="11">
        <f>486000+636000</f>
        <v>1122000</v>
      </c>
      <c r="L179" s="11"/>
      <c r="M179" s="11"/>
      <c r="N179" s="11"/>
      <c r="O179" s="11">
        <f>486000+636000</f>
        <v>1122000</v>
      </c>
      <c r="P179" s="11">
        <f t="shared" si="55"/>
        <v>1122000</v>
      </c>
    </row>
    <row r="180" spans="1:16" ht="31.5">
      <c r="A180" s="6">
        <v>1516091</v>
      </c>
      <c r="B180" s="14" t="s">
        <v>374</v>
      </c>
      <c r="C180" s="14" t="s">
        <v>309</v>
      </c>
      <c r="D180" s="10" t="s">
        <v>380</v>
      </c>
      <c r="E180" s="11">
        <f t="shared" si="74"/>
        <v>0</v>
      </c>
      <c r="F180" s="11"/>
      <c r="G180" s="11"/>
      <c r="H180" s="11"/>
      <c r="I180" s="11"/>
      <c r="J180" s="11">
        <f t="shared" si="36"/>
        <v>26078130.009999998</v>
      </c>
      <c r="K180" s="11">
        <f>14033601.01+10981383+4148102+926970+136176-4148102</f>
        <v>26078130.009999998</v>
      </c>
      <c r="L180" s="11"/>
      <c r="M180" s="11"/>
      <c r="N180" s="11"/>
      <c r="O180" s="11">
        <f>14033601.01+10981383+4148102+926970+136176-4148102</f>
        <v>26078130.009999998</v>
      </c>
      <c r="P180" s="11">
        <f t="shared" si="55"/>
        <v>26078130.009999998</v>
      </c>
    </row>
    <row r="181" spans="1:16" ht="31.5">
      <c r="A181" s="6">
        <v>1517368</v>
      </c>
      <c r="B181" s="14" t="s">
        <v>375</v>
      </c>
      <c r="C181" s="14" t="s">
        <v>60</v>
      </c>
      <c r="D181" s="10" t="s">
        <v>381</v>
      </c>
      <c r="E181" s="11">
        <f t="shared" si="74"/>
        <v>0</v>
      </c>
      <c r="F181" s="11"/>
      <c r="G181" s="11"/>
      <c r="H181" s="11"/>
      <c r="I181" s="11"/>
      <c r="J181" s="11">
        <f t="shared" si="36"/>
        <v>15815727.619999999</v>
      </c>
      <c r="K181" s="11">
        <v>15815727.619999999</v>
      </c>
      <c r="L181" s="11"/>
      <c r="M181" s="11"/>
      <c r="N181" s="11"/>
      <c r="O181" s="11">
        <v>15815727.619999999</v>
      </c>
      <c r="P181" s="11">
        <f t="shared" si="55"/>
        <v>15815727.619999999</v>
      </c>
    </row>
    <row r="182" spans="1:16" ht="31.5">
      <c r="A182" s="6">
        <v>1517370</v>
      </c>
      <c r="B182" s="14" t="s">
        <v>376</v>
      </c>
      <c r="C182" s="14" t="s">
        <v>60</v>
      </c>
      <c r="D182" s="10" t="s">
        <v>382</v>
      </c>
      <c r="E182" s="11">
        <f t="shared" si="74"/>
        <v>0</v>
      </c>
      <c r="F182" s="11"/>
      <c r="G182" s="11"/>
      <c r="H182" s="11"/>
      <c r="I182" s="11"/>
      <c r="J182" s="11">
        <f t="shared" si="36"/>
        <v>19920588</v>
      </c>
      <c r="K182" s="11">
        <v>19920588</v>
      </c>
      <c r="L182" s="11"/>
      <c r="M182" s="11"/>
      <c r="N182" s="11"/>
      <c r="O182" s="11">
        <v>19920588</v>
      </c>
      <c r="P182" s="11">
        <f t="shared" si="55"/>
        <v>19920588</v>
      </c>
    </row>
    <row r="183" spans="1:16" ht="31.5">
      <c r="A183" s="14" t="s">
        <v>296</v>
      </c>
      <c r="B183" s="14" t="s">
        <v>283</v>
      </c>
      <c r="C183" s="14" t="s">
        <v>285</v>
      </c>
      <c r="D183" s="10" t="s">
        <v>284</v>
      </c>
      <c r="E183" s="11">
        <f t="shared" si="74"/>
        <v>70300</v>
      </c>
      <c r="F183" s="11">
        <f>46300+24000</f>
        <v>70300</v>
      </c>
      <c r="G183" s="11"/>
      <c r="H183" s="11"/>
      <c r="I183" s="11"/>
      <c r="J183" s="11">
        <f t="shared" si="36"/>
        <v>0</v>
      </c>
      <c r="K183" s="11"/>
      <c r="L183" s="11"/>
      <c r="M183" s="11"/>
      <c r="N183" s="11"/>
      <c r="O183" s="11"/>
      <c r="P183" s="11">
        <f t="shared" si="55"/>
        <v>70300</v>
      </c>
    </row>
    <row r="184" spans="1:16" ht="47.25">
      <c r="A184" s="14" t="s">
        <v>377</v>
      </c>
      <c r="B184" s="14" t="s">
        <v>237</v>
      </c>
      <c r="C184" s="14" t="s">
        <v>238</v>
      </c>
      <c r="D184" s="10" t="s">
        <v>239</v>
      </c>
      <c r="E184" s="11">
        <f t="shared" si="74"/>
        <v>0</v>
      </c>
      <c r="F184" s="11"/>
      <c r="G184" s="11"/>
      <c r="H184" s="11"/>
      <c r="I184" s="11"/>
      <c r="J184" s="11">
        <f t="shared" si="36"/>
        <v>1991300</v>
      </c>
      <c r="K184" s="11">
        <f>5000000+1791300-2000000-2800000</f>
        <v>1991300</v>
      </c>
      <c r="L184" s="11"/>
      <c r="M184" s="11"/>
      <c r="N184" s="11"/>
      <c r="O184" s="11">
        <f>5000000+1791300-2000000-2800000</f>
        <v>1991300</v>
      </c>
      <c r="P184" s="11">
        <f t="shared" si="55"/>
        <v>1991300</v>
      </c>
    </row>
    <row r="185" spans="1:16" ht="78" customHeight="1">
      <c r="A185" s="7" t="s">
        <v>244</v>
      </c>
      <c r="B185" s="7" t="s">
        <v>19</v>
      </c>
      <c r="C185" s="7" t="s">
        <v>19</v>
      </c>
      <c r="D185" s="8" t="s">
        <v>245</v>
      </c>
      <c r="E185" s="9">
        <f t="shared" si="74"/>
        <v>28929400</v>
      </c>
      <c r="F185" s="9">
        <f>F186</f>
        <v>6970300</v>
      </c>
      <c r="G185" s="9">
        <f t="shared" ref="G185:I185" si="82">G186</f>
        <v>5521700</v>
      </c>
      <c r="H185" s="9">
        <f t="shared" si="82"/>
        <v>0</v>
      </c>
      <c r="I185" s="9">
        <f t="shared" si="82"/>
        <v>21959100</v>
      </c>
      <c r="J185" s="9">
        <f t="shared" si="36"/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f t="shared" si="55"/>
        <v>28929400</v>
      </c>
    </row>
    <row r="186" spans="1:16" ht="78" customHeight="1">
      <c r="A186" s="7" t="s">
        <v>246</v>
      </c>
      <c r="B186" s="7" t="s">
        <v>19</v>
      </c>
      <c r="C186" s="7" t="s">
        <v>19</v>
      </c>
      <c r="D186" s="8" t="s">
        <v>245</v>
      </c>
      <c r="E186" s="9">
        <f t="shared" si="74"/>
        <v>28929400</v>
      </c>
      <c r="F186" s="9">
        <f>SUM(F187:F194)</f>
        <v>6970300</v>
      </c>
      <c r="G186" s="9">
        <f t="shared" ref="G186:K186" si="83">SUM(G187:G194)</f>
        <v>5521700</v>
      </c>
      <c r="H186" s="9">
        <f t="shared" si="83"/>
        <v>0</v>
      </c>
      <c r="I186" s="9">
        <f t="shared" si="83"/>
        <v>21959100</v>
      </c>
      <c r="J186" s="9">
        <f t="shared" si="36"/>
        <v>0</v>
      </c>
      <c r="K186" s="9">
        <f t="shared" si="83"/>
        <v>0</v>
      </c>
      <c r="L186" s="9">
        <f t="shared" ref="L186" si="84">SUM(L187:L194)</f>
        <v>0</v>
      </c>
      <c r="M186" s="9">
        <f t="shared" ref="M186" si="85">SUM(M187:M194)</f>
        <v>0</v>
      </c>
      <c r="N186" s="9">
        <f t="shared" ref="N186" si="86">SUM(N187:N194)</f>
        <v>0</v>
      </c>
      <c r="O186" s="9">
        <f t="shared" ref="O186" si="87">SUM(O187:O194)</f>
        <v>0</v>
      </c>
      <c r="P186" s="9">
        <f t="shared" si="55"/>
        <v>28929400</v>
      </c>
    </row>
    <row r="187" spans="1:16" ht="81" customHeight="1">
      <c r="A187" s="6" t="s">
        <v>247</v>
      </c>
      <c r="B187" s="6" t="s">
        <v>76</v>
      </c>
      <c r="C187" s="6" t="s">
        <v>24</v>
      </c>
      <c r="D187" s="10" t="s">
        <v>77</v>
      </c>
      <c r="E187" s="11">
        <f t="shared" si="74"/>
        <v>5601700</v>
      </c>
      <c r="F187" s="11">
        <v>5601700</v>
      </c>
      <c r="G187" s="11">
        <f>4526000+995700</f>
        <v>5521700</v>
      </c>
      <c r="H187" s="11">
        <v>0</v>
      </c>
      <c r="I187" s="11">
        <v>0</v>
      </c>
      <c r="J187" s="11">
        <f t="shared" si="36"/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f t="shared" si="55"/>
        <v>5601700</v>
      </c>
    </row>
    <row r="188" spans="1:16" ht="44.25" customHeight="1">
      <c r="A188" s="6" t="s">
        <v>248</v>
      </c>
      <c r="B188" s="6" t="s">
        <v>31</v>
      </c>
      <c r="C188" s="6" t="s">
        <v>32</v>
      </c>
      <c r="D188" s="10" t="s">
        <v>33</v>
      </c>
      <c r="E188" s="11">
        <f t="shared" ref="E188:E194" si="88">F188+I188</f>
        <v>115000</v>
      </c>
      <c r="F188" s="11">
        <f>65000+50000</f>
        <v>115000</v>
      </c>
      <c r="G188" s="11">
        <v>0</v>
      </c>
      <c r="H188" s="11">
        <v>0</v>
      </c>
      <c r="I188" s="11">
        <v>0</v>
      </c>
      <c r="J188" s="11">
        <f t="shared" si="36"/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55"/>
        <v>115000</v>
      </c>
    </row>
    <row r="189" spans="1:16" ht="56.25" customHeight="1">
      <c r="A189" s="6" t="s">
        <v>249</v>
      </c>
      <c r="B189" s="6" t="s">
        <v>226</v>
      </c>
      <c r="C189" s="6" t="s">
        <v>56</v>
      </c>
      <c r="D189" s="10" t="s">
        <v>227</v>
      </c>
      <c r="E189" s="11">
        <f t="shared" si="88"/>
        <v>200000</v>
      </c>
      <c r="F189" s="11">
        <v>200000</v>
      </c>
      <c r="G189" s="11">
        <v>0</v>
      </c>
      <c r="H189" s="11">
        <v>0</v>
      </c>
      <c r="I189" s="11">
        <v>0</v>
      </c>
      <c r="J189" s="11">
        <f t="shared" si="36"/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f t="shared" si="55"/>
        <v>200000</v>
      </c>
    </row>
    <row r="190" spans="1:16" s="18" customFormat="1" ht="42.75" customHeight="1">
      <c r="A190" s="14" t="s">
        <v>310</v>
      </c>
      <c r="B190" s="6">
        <v>6090</v>
      </c>
      <c r="C190" s="14" t="s">
        <v>309</v>
      </c>
      <c r="D190" s="10" t="s">
        <v>308</v>
      </c>
      <c r="E190" s="11">
        <f t="shared" ref="E190" si="89">F190+I190</f>
        <v>1500000</v>
      </c>
      <c r="F190" s="11"/>
      <c r="G190" s="11">
        <v>0</v>
      </c>
      <c r="H190" s="11">
        <v>0</v>
      </c>
      <c r="I190" s="11">
        <v>1500000</v>
      </c>
      <c r="J190" s="11">
        <f t="shared" ref="J190" si="90">L190+O190</f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55"/>
        <v>1500000</v>
      </c>
    </row>
    <row r="191" spans="1:16">
      <c r="A191" s="6" t="s">
        <v>250</v>
      </c>
      <c r="B191" s="6" t="s">
        <v>251</v>
      </c>
      <c r="C191" s="6" t="s">
        <v>252</v>
      </c>
      <c r="D191" s="10" t="s">
        <v>253</v>
      </c>
      <c r="E191" s="11">
        <f t="shared" si="88"/>
        <v>960000</v>
      </c>
      <c r="F191" s="11">
        <f>1160000-100000-200000</f>
        <v>860000</v>
      </c>
      <c r="G191" s="11">
        <v>0</v>
      </c>
      <c r="H191" s="11">
        <v>0</v>
      </c>
      <c r="I191" s="11">
        <v>100000</v>
      </c>
      <c r="J191" s="11">
        <f t="shared" si="36"/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f t="shared" si="55"/>
        <v>960000</v>
      </c>
    </row>
    <row r="192" spans="1:16" ht="41.25" customHeight="1">
      <c r="A192" s="14" t="s">
        <v>297</v>
      </c>
      <c r="B192" s="14" t="s">
        <v>283</v>
      </c>
      <c r="C192" s="14" t="s">
        <v>285</v>
      </c>
      <c r="D192" s="10" t="s">
        <v>284</v>
      </c>
      <c r="E192" s="11">
        <f t="shared" si="88"/>
        <v>48600</v>
      </c>
      <c r="F192" s="11">
        <f>8600+40000</f>
        <v>48600</v>
      </c>
      <c r="G192" s="11"/>
      <c r="H192" s="11"/>
      <c r="I192" s="11"/>
      <c r="J192" s="11">
        <f t="shared" si="36"/>
        <v>0</v>
      </c>
      <c r="K192" s="11"/>
      <c r="L192" s="11"/>
      <c r="M192" s="11"/>
      <c r="N192" s="11"/>
      <c r="O192" s="11"/>
      <c r="P192" s="11">
        <f t="shared" si="55"/>
        <v>48600</v>
      </c>
    </row>
    <row r="193" spans="1:16" ht="40.5" customHeight="1">
      <c r="A193" s="6" t="s">
        <v>257</v>
      </c>
      <c r="B193" s="6" t="s">
        <v>234</v>
      </c>
      <c r="C193" s="6" t="s">
        <v>60</v>
      </c>
      <c r="D193" s="10" t="s">
        <v>235</v>
      </c>
      <c r="E193" s="11">
        <f t="shared" si="88"/>
        <v>20359100</v>
      </c>
      <c r="F193" s="11">
        <v>0</v>
      </c>
      <c r="G193" s="11">
        <v>0</v>
      </c>
      <c r="H193" s="11">
        <v>0</v>
      </c>
      <c r="I193" s="11">
        <f>20021000+200000+138100</f>
        <v>20359100</v>
      </c>
      <c r="J193" s="11">
        <f t="shared" si="36"/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f t="shared" ref="P193:P215" si="91">E193 + J193</f>
        <v>20359100</v>
      </c>
    </row>
    <row r="194" spans="1:16" ht="40.5" customHeight="1">
      <c r="A194" s="6" t="s">
        <v>258</v>
      </c>
      <c r="B194" s="6" t="s">
        <v>259</v>
      </c>
      <c r="C194" s="6" t="s">
        <v>64</v>
      </c>
      <c r="D194" s="10" t="s">
        <v>260</v>
      </c>
      <c r="E194" s="11">
        <f t="shared" si="88"/>
        <v>145000</v>
      </c>
      <c r="F194" s="11">
        <v>145000</v>
      </c>
      <c r="G194" s="11">
        <v>0</v>
      </c>
      <c r="H194" s="11">
        <v>0</v>
      </c>
      <c r="I194" s="11">
        <v>0</v>
      </c>
      <c r="J194" s="11">
        <f t="shared" si="36"/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f t="shared" si="91"/>
        <v>145000</v>
      </c>
    </row>
    <row r="195" spans="1:16" ht="60.75" customHeight="1">
      <c r="A195" s="7" t="s">
        <v>261</v>
      </c>
      <c r="B195" s="7" t="s">
        <v>19</v>
      </c>
      <c r="C195" s="7" t="s">
        <v>19</v>
      </c>
      <c r="D195" s="8" t="s">
        <v>262</v>
      </c>
      <c r="E195" s="9">
        <f>E196</f>
        <v>143581905</v>
      </c>
      <c r="F195" s="9">
        <f>F196</f>
        <v>141609930</v>
      </c>
      <c r="G195" s="9">
        <f t="shared" ref="G195:I195" si="92">G196</f>
        <v>7756900</v>
      </c>
      <c r="H195" s="9">
        <f t="shared" si="92"/>
        <v>0</v>
      </c>
      <c r="I195" s="9">
        <f t="shared" si="92"/>
        <v>0</v>
      </c>
      <c r="J195" s="9">
        <f t="shared" si="36"/>
        <v>44180782</v>
      </c>
      <c r="K195" s="9">
        <f>K196</f>
        <v>44180782</v>
      </c>
      <c r="L195" s="9">
        <f t="shared" ref="L195:O195" si="93">L196</f>
        <v>0</v>
      </c>
      <c r="M195" s="9">
        <f t="shared" si="93"/>
        <v>0</v>
      </c>
      <c r="N195" s="9">
        <f t="shared" si="93"/>
        <v>0</v>
      </c>
      <c r="O195" s="9">
        <f t="shared" si="93"/>
        <v>44180782</v>
      </c>
      <c r="P195" s="9">
        <f t="shared" si="91"/>
        <v>187762687</v>
      </c>
    </row>
    <row r="196" spans="1:16" ht="60" customHeight="1">
      <c r="A196" s="7" t="s">
        <v>263</v>
      </c>
      <c r="B196" s="7" t="s">
        <v>19</v>
      </c>
      <c r="C196" s="7" t="s">
        <v>19</v>
      </c>
      <c r="D196" s="8" t="s">
        <v>262</v>
      </c>
      <c r="E196" s="9">
        <f>F196+I196+E199</f>
        <v>143581905</v>
      </c>
      <c r="F196" s="9">
        <f>F197+F198+F199+F200+F201+F208</f>
        <v>141609930</v>
      </c>
      <c r="G196" s="9">
        <f t="shared" ref="G196:I196" si="94">G197+G198+G199+G200+G201+G208</f>
        <v>7756900</v>
      </c>
      <c r="H196" s="9">
        <f t="shared" si="94"/>
        <v>0</v>
      </c>
      <c r="I196" s="9">
        <f t="shared" si="94"/>
        <v>0</v>
      </c>
      <c r="J196" s="9">
        <f t="shared" ref="J196:J207" si="95">L196+O196</f>
        <v>44180782</v>
      </c>
      <c r="K196" s="9">
        <f>K197+K198+K199+K200+K201+K208</f>
        <v>44180782</v>
      </c>
      <c r="L196" s="9">
        <f t="shared" ref="L196" si="96">L197+L198+L199+L200+L201+L208</f>
        <v>0</v>
      </c>
      <c r="M196" s="9">
        <f t="shared" ref="M196" si="97">M197+M198+M199+M200+M201+M208</f>
        <v>0</v>
      </c>
      <c r="N196" s="9">
        <f t="shared" ref="N196" si="98">N197+N198+N199+N200+N201+N208</f>
        <v>0</v>
      </c>
      <c r="O196" s="9">
        <f t="shared" ref="O196" si="99">O197+O198+O199+O200+O201+O208</f>
        <v>44180782</v>
      </c>
      <c r="P196" s="9">
        <f t="shared" si="91"/>
        <v>187762687</v>
      </c>
    </row>
    <row r="197" spans="1:16" ht="70.5" customHeight="1">
      <c r="A197" s="6" t="s">
        <v>264</v>
      </c>
      <c r="B197" s="6" t="s">
        <v>76</v>
      </c>
      <c r="C197" s="6" t="s">
        <v>24</v>
      </c>
      <c r="D197" s="10" t="s">
        <v>77</v>
      </c>
      <c r="E197" s="11">
        <f>F197+I197</f>
        <v>8035900</v>
      </c>
      <c r="F197" s="11">
        <f>8035900</f>
        <v>8035900</v>
      </c>
      <c r="G197" s="11">
        <f>6358000+1398900</f>
        <v>7756900</v>
      </c>
      <c r="H197" s="11">
        <v>0</v>
      </c>
      <c r="I197" s="11">
        <v>0</v>
      </c>
      <c r="J197" s="11">
        <f t="shared" si="95"/>
        <v>0</v>
      </c>
      <c r="K197" s="11"/>
      <c r="L197" s="11">
        <v>0</v>
      </c>
      <c r="M197" s="11">
        <v>0</v>
      </c>
      <c r="N197" s="11">
        <v>0</v>
      </c>
      <c r="O197" s="11"/>
      <c r="P197" s="11">
        <f t="shared" si="91"/>
        <v>8035900</v>
      </c>
    </row>
    <row r="198" spans="1:16" ht="31.5">
      <c r="A198" s="14" t="s">
        <v>298</v>
      </c>
      <c r="B198" s="14" t="s">
        <v>283</v>
      </c>
      <c r="C198" s="14" t="s">
        <v>285</v>
      </c>
      <c r="D198" s="10" t="s">
        <v>284</v>
      </c>
      <c r="E198" s="11">
        <f t="shared" ref="E198" si="100">F198+I198</f>
        <v>67500</v>
      </c>
      <c r="F198" s="11">
        <f>92500-25000</f>
        <v>67500</v>
      </c>
      <c r="G198" s="11"/>
      <c r="H198" s="11"/>
      <c r="I198" s="11"/>
      <c r="J198" s="11">
        <f t="shared" si="95"/>
        <v>25000</v>
      </c>
      <c r="K198" s="11">
        <v>25000</v>
      </c>
      <c r="L198" s="11"/>
      <c r="M198" s="11"/>
      <c r="N198" s="11"/>
      <c r="O198" s="11">
        <v>25000</v>
      </c>
      <c r="P198" s="11">
        <f t="shared" si="91"/>
        <v>92500</v>
      </c>
    </row>
    <row r="199" spans="1:16" ht="23.45" customHeight="1">
      <c r="A199" s="6" t="s">
        <v>265</v>
      </c>
      <c r="B199" s="6" t="s">
        <v>266</v>
      </c>
      <c r="C199" s="6" t="s">
        <v>32</v>
      </c>
      <c r="D199" s="10" t="s">
        <v>267</v>
      </c>
      <c r="E199" s="11">
        <f>10000000-523659-500000-1700000-936480-107500-541000-624000-4695386+1600000</f>
        <v>1971975</v>
      </c>
      <c r="F199" s="11">
        <v>0</v>
      </c>
      <c r="G199" s="11">
        <v>0</v>
      </c>
      <c r="H199" s="11">
        <v>0</v>
      </c>
      <c r="I199" s="11">
        <v>0</v>
      </c>
      <c r="J199" s="11">
        <f t="shared" si="95"/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f t="shared" si="91"/>
        <v>1971975</v>
      </c>
    </row>
    <row r="200" spans="1:16" ht="23.45" customHeight="1">
      <c r="A200" s="6">
        <v>3719110</v>
      </c>
      <c r="B200" s="6">
        <v>9110</v>
      </c>
      <c r="C200" s="14" t="s">
        <v>31</v>
      </c>
      <c r="D200" s="10" t="s">
        <v>299</v>
      </c>
      <c r="E200" s="11">
        <f>F200+I200</f>
        <v>63874800</v>
      </c>
      <c r="F200" s="11">
        <v>63874800</v>
      </c>
      <c r="G200" s="11"/>
      <c r="H200" s="11"/>
      <c r="I200" s="11"/>
      <c r="J200" s="11">
        <f t="shared" si="95"/>
        <v>0</v>
      </c>
      <c r="K200" s="11"/>
      <c r="L200" s="11"/>
      <c r="M200" s="11"/>
      <c r="N200" s="11"/>
      <c r="O200" s="11"/>
      <c r="P200" s="11">
        <f t="shared" si="91"/>
        <v>63874800</v>
      </c>
    </row>
    <row r="201" spans="1:16" ht="23.45" customHeight="1">
      <c r="A201" s="6" t="s">
        <v>268</v>
      </c>
      <c r="B201" s="6" t="s">
        <v>269</v>
      </c>
      <c r="C201" s="6" t="s">
        <v>31</v>
      </c>
      <c r="D201" s="10" t="s">
        <v>270</v>
      </c>
      <c r="E201" s="11">
        <f>F201+I201</f>
        <v>17396912</v>
      </c>
      <c r="F201" s="11">
        <f>SUM(F202:F207)</f>
        <v>17396912</v>
      </c>
      <c r="G201" s="11">
        <f t="shared" ref="G201:K201" si="101">SUM(G202:G207)</f>
        <v>0</v>
      </c>
      <c r="H201" s="11">
        <f t="shared" si="101"/>
        <v>0</v>
      </c>
      <c r="I201" s="11">
        <f t="shared" si="101"/>
        <v>0</v>
      </c>
      <c r="J201" s="11">
        <f t="shared" si="95"/>
        <v>1041300</v>
      </c>
      <c r="K201" s="11">
        <f t="shared" si="101"/>
        <v>1041300</v>
      </c>
      <c r="L201" s="11">
        <f t="shared" ref="L201" si="102">SUM(L202:L207)</f>
        <v>0</v>
      </c>
      <c r="M201" s="11">
        <f t="shared" ref="M201" si="103">SUM(M202:M207)</f>
        <v>0</v>
      </c>
      <c r="N201" s="11">
        <f t="shared" ref="N201" si="104">SUM(N202:N207)</f>
        <v>0</v>
      </c>
      <c r="O201" s="11">
        <f t="shared" ref="O201" si="105">SUM(O202:O207)</f>
        <v>1041300</v>
      </c>
      <c r="P201" s="11">
        <f t="shared" si="91"/>
        <v>18438212</v>
      </c>
    </row>
    <row r="202" spans="1:16" s="5" customFormat="1" ht="142.5" customHeight="1">
      <c r="A202" s="12"/>
      <c r="B202" s="12"/>
      <c r="C202" s="12"/>
      <c r="D202" s="16" t="s">
        <v>301</v>
      </c>
      <c r="E202" s="13">
        <f>F202+I202</f>
        <v>2053700</v>
      </c>
      <c r="F202" s="13">
        <f>1760700+198000+95000</f>
        <v>2053700</v>
      </c>
      <c r="G202" s="13"/>
      <c r="H202" s="13"/>
      <c r="I202" s="13"/>
      <c r="J202" s="13">
        <f t="shared" si="95"/>
        <v>0</v>
      </c>
      <c r="K202" s="13"/>
      <c r="L202" s="13"/>
      <c r="M202" s="13"/>
      <c r="N202" s="13"/>
      <c r="O202" s="13"/>
      <c r="P202" s="13">
        <f t="shared" si="91"/>
        <v>2053700</v>
      </c>
    </row>
    <row r="203" spans="1:16" s="5" customFormat="1" ht="63">
      <c r="A203" s="12"/>
      <c r="B203" s="12"/>
      <c r="C203" s="12"/>
      <c r="D203" s="1" t="s">
        <v>302</v>
      </c>
      <c r="E203" s="13">
        <f t="shared" ref="E203:E207" si="106">F203+I203</f>
        <v>500000</v>
      </c>
      <c r="F203" s="13">
        <v>500000</v>
      </c>
      <c r="G203" s="13"/>
      <c r="H203" s="13"/>
      <c r="I203" s="13"/>
      <c r="J203" s="13">
        <f t="shared" si="95"/>
        <v>0</v>
      </c>
      <c r="K203" s="13"/>
      <c r="L203" s="13"/>
      <c r="M203" s="13"/>
      <c r="N203" s="13"/>
      <c r="O203" s="13"/>
      <c r="P203" s="13">
        <f t="shared" si="91"/>
        <v>500000</v>
      </c>
    </row>
    <row r="204" spans="1:16" s="5" customFormat="1" ht="78.75">
      <c r="A204" s="12"/>
      <c r="B204" s="12"/>
      <c r="C204" s="12"/>
      <c r="D204" s="16" t="s">
        <v>300</v>
      </c>
      <c r="E204" s="13">
        <f t="shared" si="106"/>
        <v>2241100</v>
      </c>
      <c r="F204" s="13">
        <f>2237000+14200-10100</f>
        <v>2241100</v>
      </c>
      <c r="G204" s="13"/>
      <c r="H204" s="13"/>
      <c r="I204" s="13"/>
      <c r="J204" s="13">
        <f t="shared" si="95"/>
        <v>0</v>
      </c>
      <c r="K204" s="13"/>
      <c r="L204" s="13"/>
      <c r="M204" s="13"/>
      <c r="N204" s="13"/>
      <c r="O204" s="13"/>
      <c r="P204" s="13">
        <f t="shared" si="91"/>
        <v>2241100</v>
      </c>
    </row>
    <row r="205" spans="1:16" s="5" customFormat="1" ht="94.5">
      <c r="A205" s="12"/>
      <c r="B205" s="12"/>
      <c r="C205" s="12"/>
      <c r="D205" s="16" t="s">
        <v>384</v>
      </c>
      <c r="E205" s="13">
        <f t="shared" si="106"/>
        <v>12370300</v>
      </c>
      <c r="F205" s="13">
        <f>10000000+2370300</f>
        <v>12370300</v>
      </c>
      <c r="G205" s="13"/>
      <c r="H205" s="13"/>
      <c r="I205" s="13"/>
      <c r="J205" s="13">
        <f t="shared" si="95"/>
        <v>0</v>
      </c>
      <c r="K205" s="13"/>
      <c r="L205" s="13"/>
      <c r="M205" s="13"/>
      <c r="N205" s="13"/>
      <c r="O205" s="13"/>
      <c r="P205" s="13">
        <f t="shared" si="91"/>
        <v>12370300</v>
      </c>
    </row>
    <row r="206" spans="1:16" s="5" customFormat="1" ht="47.25">
      <c r="A206" s="12"/>
      <c r="B206" s="12"/>
      <c r="C206" s="12"/>
      <c r="D206" s="16" t="s">
        <v>401</v>
      </c>
      <c r="E206" s="13">
        <f t="shared" si="106"/>
        <v>0</v>
      </c>
      <c r="F206" s="13"/>
      <c r="G206" s="13"/>
      <c r="H206" s="13"/>
      <c r="I206" s="13"/>
      <c r="J206" s="13">
        <f t="shared" si="95"/>
        <v>1041300</v>
      </c>
      <c r="K206" s="13">
        <v>1041300</v>
      </c>
      <c r="L206" s="13"/>
      <c r="M206" s="13"/>
      <c r="N206" s="13"/>
      <c r="O206" s="13">
        <v>1041300</v>
      </c>
      <c r="P206" s="13">
        <f t="shared" si="91"/>
        <v>1041300</v>
      </c>
    </row>
    <row r="207" spans="1:16" s="30" customFormat="1" ht="207.75" customHeight="1">
      <c r="A207" s="12"/>
      <c r="B207" s="12"/>
      <c r="C207" s="12"/>
      <c r="D207" s="16" t="s">
        <v>417</v>
      </c>
      <c r="E207" s="13">
        <f t="shared" si="106"/>
        <v>231812</v>
      </c>
      <c r="F207" s="13">
        <v>231812</v>
      </c>
      <c r="G207" s="13"/>
      <c r="H207" s="13"/>
      <c r="I207" s="13"/>
      <c r="J207" s="13">
        <f t="shared" si="95"/>
        <v>0</v>
      </c>
      <c r="K207" s="13"/>
      <c r="L207" s="13"/>
      <c r="M207" s="13"/>
      <c r="N207" s="13"/>
      <c r="O207" s="13"/>
      <c r="P207" s="13">
        <f t="shared" si="91"/>
        <v>231812</v>
      </c>
    </row>
    <row r="208" spans="1:16" ht="63">
      <c r="A208" s="6">
        <v>3719800</v>
      </c>
      <c r="B208" s="6">
        <v>9800</v>
      </c>
      <c r="C208" s="14" t="s">
        <v>31</v>
      </c>
      <c r="D208" s="31" t="s">
        <v>383</v>
      </c>
      <c r="E208" s="11">
        <f t="shared" ref="E208:E214" si="107">F208+I208</f>
        <v>52234818</v>
      </c>
      <c r="F208" s="11">
        <f>SUM(F209:F214)</f>
        <v>52234818</v>
      </c>
      <c r="G208" s="11">
        <f t="shared" ref="G208:K208" si="108">SUM(G209:G214)</f>
        <v>0</v>
      </c>
      <c r="H208" s="11">
        <f t="shared" si="108"/>
        <v>0</v>
      </c>
      <c r="I208" s="11">
        <f t="shared" si="108"/>
        <v>0</v>
      </c>
      <c r="J208" s="11">
        <f>L208+O208</f>
        <v>43114482</v>
      </c>
      <c r="K208" s="11">
        <f t="shared" si="108"/>
        <v>43114482</v>
      </c>
      <c r="L208" s="11">
        <f t="shared" ref="L208" si="109">SUM(L209:L214)</f>
        <v>0</v>
      </c>
      <c r="M208" s="11">
        <f t="shared" ref="M208" si="110">SUM(M209:M214)</f>
        <v>0</v>
      </c>
      <c r="N208" s="11">
        <f t="shared" ref="N208" si="111">SUM(N209:N214)</f>
        <v>0</v>
      </c>
      <c r="O208" s="11">
        <f t="shared" ref="O208" si="112">SUM(O209:O214)</f>
        <v>43114482</v>
      </c>
      <c r="P208" s="11">
        <f t="shared" si="91"/>
        <v>95349300</v>
      </c>
    </row>
    <row r="209" spans="1:16" s="5" customFormat="1" ht="94.5">
      <c r="A209" s="12"/>
      <c r="B209" s="12"/>
      <c r="C209" s="12"/>
      <c r="D209" s="16" t="s">
        <v>384</v>
      </c>
      <c r="E209" s="13">
        <f t="shared" si="107"/>
        <v>47940218</v>
      </c>
      <c r="F209" s="13">
        <f>1690000+14000000+77500000-15874082-7500000+1500000-2000000-4300000+2000000-5500000-1500000-1000000-4490300-4085400-2500000</f>
        <v>47940218</v>
      </c>
      <c r="G209" s="13"/>
      <c r="H209" s="13"/>
      <c r="I209" s="13"/>
      <c r="J209" s="13">
        <f t="shared" ref="J209:J214" si="113">L209+O209</f>
        <v>39689482</v>
      </c>
      <c r="K209" s="13">
        <f>2310000+4500000+5874082+6000000+2000000+4300000-2000000+5500000+1500000+1000000+2120000+4085400+2500000</f>
        <v>39689482</v>
      </c>
      <c r="L209" s="13"/>
      <c r="M209" s="13"/>
      <c r="N209" s="13"/>
      <c r="O209" s="13">
        <f>2310000+4500000+5874082+6000000+2000000+4300000-2000000+5500000+1500000+1000000+2120000+4085400+2500000</f>
        <v>39689482</v>
      </c>
      <c r="P209" s="13">
        <f>E209 + J209</f>
        <v>87629700</v>
      </c>
    </row>
    <row r="210" spans="1:16" s="5" customFormat="1" ht="63">
      <c r="A210" s="12"/>
      <c r="B210" s="12"/>
      <c r="C210" s="12"/>
      <c r="D210" s="16" t="s">
        <v>385</v>
      </c>
      <c r="E210" s="13">
        <f t="shared" si="107"/>
        <v>1970000</v>
      </c>
      <c r="F210" s="13">
        <f>2000000-130000+100000</f>
        <v>1970000</v>
      </c>
      <c r="G210" s="13"/>
      <c r="H210" s="13"/>
      <c r="I210" s="13"/>
      <c r="J210" s="13">
        <f t="shared" si="113"/>
        <v>1030000</v>
      </c>
      <c r="K210" s="13">
        <f>1000000+130000-100000</f>
        <v>1030000</v>
      </c>
      <c r="L210" s="13"/>
      <c r="M210" s="13"/>
      <c r="N210" s="13"/>
      <c r="O210" s="13">
        <f>1000000+130000-100000</f>
        <v>1030000</v>
      </c>
      <c r="P210" s="13">
        <f t="shared" si="91"/>
        <v>3000000</v>
      </c>
    </row>
    <row r="211" spans="1:16" s="5" customFormat="1" ht="78.75">
      <c r="A211" s="12"/>
      <c r="B211" s="12"/>
      <c r="C211" s="12"/>
      <c r="D211" s="16" t="s">
        <v>390</v>
      </c>
      <c r="E211" s="13">
        <f t="shared" si="107"/>
        <v>2000000</v>
      </c>
      <c r="F211" s="13">
        <v>2000000</v>
      </c>
      <c r="G211" s="13"/>
      <c r="H211" s="13"/>
      <c r="I211" s="13"/>
      <c r="J211" s="13">
        <f t="shared" si="113"/>
        <v>0</v>
      </c>
      <c r="K211" s="13"/>
      <c r="L211" s="13"/>
      <c r="M211" s="13"/>
      <c r="N211" s="13"/>
      <c r="O211" s="13"/>
      <c r="P211" s="13">
        <f t="shared" si="91"/>
        <v>2000000</v>
      </c>
    </row>
    <row r="212" spans="1:16" s="5" customFormat="1" ht="47.25">
      <c r="A212" s="12"/>
      <c r="B212" s="12"/>
      <c r="C212" s="12"/>
      <c r="D212" s="16" t="s">
        <v>391</v>
      </c>
      <c r="E212" s="13">
        <f t="shared" si="107"/>
        <v>200000</v>
      </c>
      <c r="F212" s="13">
        <v>200000</v>
      </c>
      <c r="G212" s="13"/>
      <c r="H212" s="13"/>
      <c r="I212" s="13"/>
      <c r="J212" s="13">
        <f t="shared" si="113"/>
        <v>0</v>
      </c>
      <c r="K212" s="13"/>
      <c r="L212" s="13"/>
      <c r="M212" s="13"/>
      <c r="N212" s="13"/>
      <c r="O212" s="13"/>
      <c r="P212" s="13">
        <f t="shared" si="91"/>
        <v>200000</v>
      </c>
    </row>
    <row r="213" spans="1:16" s="5" customFormat="1" ht="72" customHeight="1">
      <c r="A213" s="12"/>
      <c r="B213" s="12"/>
      <c r="C213" s="12"/>
      <c r="D213" s="16" t="s">
        <v>392</v>
      </c>
      <c r="E213" s="13">
        <f t="shared" si="107"/>
        <v>124600</v>
      </c>
      <c r="F213" s="13">
        <v>124600</v>
      </c>
      <c r="G213" s="13"/>
      <c r="H213" s="13"/>
      <c r="I213" s="13"/>
      <c r="J213" s="13">
        <f t="shared" si="113"/>
        <v>1295000</v>
      </c>
      <c r="K213" s="13">
        <v>1295000</v>
      </c>
      <c r="L213" s="13"/>
      <c r="M213" s="13"/>
      <c r="N213" s="13"/>
      <c r="O213" s="13">
        <v>1295000</v>
      </c>
      <c r="P213" s="13">
        <f t="shared" si="91"/>
        <v>1419600</v>
      </c>
    </row>
    <row r="214" spans="1:16" s="5" customFormat="1" ht="94.5">
      <c r="A214" s="12"/>
      <c r="B214" s="12"/>
      <c r="C214" s="12"/>
      <c r="D214" s="16" t="s">
        <v>433</v>
      </c>
      <c r="E214" s="13">
        <f t="shared" si="107"/>
        <v>0</v>
      </c>
      <c r="F214" s="13"/>
      <c r="G214" s="13"/>
      <c r="H214" s="13"/>
      <c r="I214" s="13"/>
      <c r="J214" s="13">
        <f t="shared" si="113"/>
        <v>1100000</v>
      </c>
      <c r="K214" s="13">
        <v>1100000</v>
      </c>
      <c r="L214" s="13"/>
      <c r="M214" s="13"/>
      <c r="N214" s="13"/>
      <c r="O214" s="13">
        <v>1100000</v>
      </c>
      <c r="P214" s="13">
        <f t="shared" si="91"/>
        <v>1100000</v>
      </c>
    </row>
    <row r="215" spans="1:16" ht="19.899999999999999" customHeight="1">
      <c r="A215" s="7" t="s">
        <v>272</v>
      </c>
      <c r="B215" s="7" t="s">
        <v>272</v>
      </c>
      <c r="C215" s="7" t="s">
        <v>272</v>
      </c>
      <c r="D215" s="15" t="s">
        <v>271</v>
      </c>
      <c r="E215" s="9">
        <f>E18+E63+E95+E119+E125+E136+E147+E173+E185+E195</f>
        <v>1272529271.8699999</v>
      </c>
      <c r="F215" s="9">
        <f>F18+F63+F95+F119+F125+F136+F147+F173+F185+F195</f>
        <v>1118175428.8699999</v>
      </c>
      <c r="G215" s="9">
        <f>G18+G63+G95+G119+G125+G136+G147+G173+G185+G195</f>
        <v>607972729.87</v>
      </c>
      <c r="H215" s="9">
        <f>H18+H63+H95+H119+H125+H136+H147+H173+H185+H195</f>
        <v>47866897.68</v>
      </c>
      <c r="I215" s="9">
        <f>I18+I63+I95+I119+I125+I136+I147+I173+I185+I195</f>
        <v>152381868</v>
      </c>
      <c r="J215" s="9">
        <f>L215+O215</f>
        <v>331886145.45999998</v>
      </c>
      <c r="K215" s="9">
        <f>K18+K63+K95+K119+K125+K136+K147+K173+K185+K195</f>
        <v>293492184.63</v>
      </c>
      <c r="L215" s="9">
        <f>L18+L63+L95+L119+L125+L136+L147+L173+L185+L195</f>
        <v>27775800</v>
      </c>
      <c r="M215" s="9">
        <f>M18+M63+M95+M119+M125+M136+M147+M173+M185+M195</f>
        <v>507100</v>
      </c>
      <c r="N215" s="9">
        <f>N18+N63+N95+N119+N125+N136+N147+N173+N185+N195</f>
        <v>0</v>
      </c>
      <c r="O215" s="9">
        <f>O18+O63+O95+O119+O125+O136+O147+O173+O185+O195</f>
        <v>304110345.45999998</v>
      </c>
      <c r="P215" s="9">
        <f t="shared" si="91"/>
        <v>1604415417.3299999</v>
      </c>
    </row>
    <row r="216" spans="1:16" ht="9" customHeight="1">
      <c r="A216" s="19"/>
      <c r="B216" s="19"/>
      <c r="C216" s="19"/>
      <c r="D216" s="20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</row>
    <row r="217" spans="1:16" s="26" customFormat="1" ht="18.75">
      <c r="A217" s="22"/>
      <c r="B217" s="22"/>
      <c r="C217" s="23" t="s">
        <v>313</v>
      </c>
      <c r="D217" s="24" t="s">
        <v>314</v>
      </c>
      <c r="E217" s="25">
        <f t="shared" ref="E217:O217" si="114">E20+E25+E26+E65+E97+E98+E121+E122+E127+E138+E149+E150+E175+E176+E187+E188+E197</f>
        <v>168793144</v>
      </c>
      <c r="F217" s="25">
        <f t="shared" si="114"/>
        <v>168793144</v>
      </c>
      <c r="G217" s="25">
        <f t="shared" si="114"/>
        <v>152590900</v>
      </c>
      <c r="H217" s="25">
        <f t="shared" si="114"/>
        <v>6078500</v>
      </c>
      <c r="I217" s="25">
        <f t="shared" si="114"/>
        <v>0</v>
      </c>
      <c r="J217" s="25">
        <f t="shared" si="114"/>
        <v>1424600</v>
      </c>
      <c r="K217" s="25">
        <f t="shared" si="114"/>
        <v>1307000</v>
      </c>
      <c r="L217" s="25">
        <f t="shared" si="114"/>
        <v>117600</v>
      </c>
      <c r="M217" s="25">
        <f t="shared" si="114"/>
        <v>0</v>
      </c>
      <c r="N217" s="25">
        <f t="shared" si="114"/>
        <v>0</v>
      </c>
      <c r="O217" s="25">
        <f t="shared" si="114"/>
        <v>1307000</v>
      </c>
      <c r="P217" s="25">
        <f>E217+J217</f>
        <v>170217744</v>
      </c>
    </row>
    <row r="218" spans="1:16" s="26" customFormat="1" ht="18.75">
      <c r="A218" s="22"/>
      <c r="B218" s="22"/>
      <c r="C218" s="23" t="s">
        <v>315</v>
      </c>
      <c r="D218" s="24" t="s">
        <v>316</v>
      </c>
      <c r="E218" s="25">
        <f>E66+E67+E68+E69+E73+E74+E75+E76+E77+E78+E79+E80+E81+E82+E83+E84+E85+E86+E87+E88+E89+E128+E177</f>
        <v>479575439</v>
      </c>
      <c r="F218" s="41">
        <f t="shared" ref="F218:O218" si="115">F66+F67+F68+F69+F73+F74+F75+F76+F77+F78+F79+F80+F81+F82+F83+F84+F85+F86+F87+F88+F89+F128+F177</f>
        <v>479575439</v>
      </c>
      <c r="G218" s="41">
        <f t="shared" si="115"/>
        <v>370322337</v>
      </c>
      <c r="H218" s="41">
        <f t="shared" si="115"/>
        <v>37182100</v>
      </c>
      <c r="I218" s="41">
        <f t="shared" si="115"/>
        <v>0</v>
      </c>
      <c r="J218" s="41">
        <f t="shared" si="115"/>
        <v>131496979</v>
      </c>
      <c r="K218" s="41">
        <f t="shared" si="115"/>
        <v>105749479</v>
      </c>
      <c r="L218" s="41">
        <f t="shared" si="115"/>
        <v>25547500</v>
      </c>
      <c r="M218" s="41">
        <f t="shared" si="115"/>
        <v>495100</v>
      </c>
      <c r="N218" s="41">
        <f t="shared" si="115"/>
        <v>0</v>
      </c>
      <c r="O218" s="41">
        <f t="shared" si="115"/>
        <v>105949479</v>
      </c>
      <c r="P218" s="25">
        <f>E218+J218</f>
        <v>611072418</v>
      </c>
    </row>
    <row r="219" spans="1:16" s="26" customFormat="1" ht="18.75">
      <c r="A219" s="22"/>
      <c r="B219" s="22"/>
      <c r="C219" s="23" t="s">
        <v>317</v>
      </c>
      <c r="D219" s="24" t="s">
        <v>318</v>
      </c>
      <c r="E219" s="25">
        <f t="shared" ref="E219:O219" si="116">E27+E28+E29+E30+E34+E178</f>
        <v>66037240</v>
      </c>
      <c r="F219" s="25">
        <f t="shared" si="116"/>
        <v>66037240</v>
      </c>
      <c r="G219" s="25">
        <f t="shared" si="116"/>
        <v>0</v>
      </c>
      <c r="H219" s="25">
        <f t="shared" si="116"/>
        <v>0</v>
      </c>
      <c r="I219" s="25">
        <f t="shared" si="116"/>
        <v>0</v>
      </c>
      <c r="J219" s="25">
        <f t="shared" si="116"/>
        <v>21106210</v>
      </c>
      <c r="K219" s="25">
        <f t="shared" si="116"/>
        <v>21106210</v>
      </c>
      <c r="L219" s="25">
        <f t="shared" si="116"/>
        <v>0</v>
      </c>
      <c r="M219" s="25">
        <f t="shared" si="116"/>
        <v>0</v>
      </c>
      <c r="N219" s="25">
        <f t="shared" si="116"/>
        <v>0</v>
      </c>
      <c r="O219" s="25">
        <f t="shared" si="116"/>
        <v>21106210</v>
      </c>
      <c r="P219" s="25">
        <f t="shared" ref="P219:P227" si="117">E219+J219</f>
        <v>87143450</v>
      </c>
    </row>
    <row r="220" spans="1:16" s="26" customFormat="1" ht="32.25">
      <c r="A220" s="22"/>
      <c r="B220" s="22"/>
      <c r="C220" s="23" t="s">
        <v>319</v>
      </c>
      <c r="D220" s="24" t="s">
        <v>320</v>
      </c>
      <c r="E220" s="25">
        <f t="shared" ref="E220:O220" si="118">E35+E90+E91+E99+E100+E101+E102+E103+E104+E105+E106+E107+E108+E109+E110+E111+E112+E113+E114+E123+E129+E139+E151</f>
        <v>110314993.19</v>
      </c>
      <c r="F220" s="25">
        <f t="shared" si="118"/>
        <v>110314993.19</v>
      </c>
      <c r="G220" s="25">
        <f t="shared" si="118"/>
        <v>27392442.870000001</v>
      </c>
      <c r="H220" s="25">
        <f t="shared" si="118"/>
        <v>728000</v>
      </c>
      <c r="I220" s="25">
        <f t="shared" si="118"/>
        <v>0</v>
      </c>
      <c r="J220" s="25">
        <f t="shared" si="118"/>
        <v>7822299</v>
      </c>
      <c r="K220" s="25">
        <f t="shared" si="118"/>
        <v>7640299</v>
      </c>
      <c r="L220" s="25">
        <f t="shared" si="118"/>
        <v>57000</v>
      </c>
      <c r="M220" s="25">
        <f t="shared" si="118"/>
        <v>0</v>
      </c>
      <c r="N220" s="25">
        <f t="shared" si="118"/>
        <v>0</v>
      </c>
      <c r="O220" s="25">
        <f t="shared" si="118"/>
        <v>7765299</v>
      </c>
      <c r="P220" s="25">
        <f t="shared" si="117"/>
        <v>118137292.19</v>
      </c>
    </row>
    <row r="221" spans="1:16" s="26" customFormat="1" ht="18.75">
      <c r="A221" s="22"/>
      <c r="B221" s="22"/>
      <c r="C221" s="23" t="s">
        <v>321</v>
      </c>
      <c r="D221" s="24" t="s">
        <v>322</v>
      </c>
      <c r="E221" s="25">
        <f>E130+E131+E132+E133+E134</f>
        <v>30942400</v>
      </c>
      <c r="F221" s="25">
        <f t="shared" ref="F221:O221" si="119">F130+F131+F132+F133+F134</f>
        <v>30942400</v>
      </c>
      <c r="G221" s="25">
        <f t="shared" si="119"/>
        <v>23039700</v>
      </c>
      <c r="H221" s="25">
        <f t="shared" si="119"/>
        <v>2960700</v>
      </c>
      <c r="I221" s="25">
        <f t="shared" si="119"/>
        <v>0</v>
      </c>
      <c r="J221" s="25">
        <f t="shared" si="119"/>
        <v>700100</v>
      </c>
      <c r="K221" s="25">
        <f t="shared" si="119"/>
        <v>420100</v>
      </c>
      <c r="L221" s="25">
        <f t="shared" si="119"/>
        <v>250000</v>
      </c>
      <c r="M221" s="25">
        <f t="shared" si="119"/>
        <v>12000</v>
      </c>
      <c r="N221" s="25">
        <f t="shared" si="119"/>
        <v>0</v>
      </c>
      <c r="O221" s="25">
        <f t="shared" si="119"/>
        <v>450100</v>
      </c>
      <c r="P221" s="25">
        <f t="shared" si="117"/>
        <v>31642500</v>
      </c>
    </row>
    <row r="222" spans="1:16" s="26" customFormat="1" ht="18.75">
      <c r="A222" s="22"/>
      <c r="B222" s="22"/>
      <c r="C222" s="23" t="s">
        <v>323</v>
      </c>
      <c r="D222" s="24" t="s">
        <v>324</v>
      </c>
      <c r="E222" s="25">
        <f>E92+E140+E141+E142+E143+E144</f>
        <v>17264753.68</v>
      </c>
      <c r="F222" s="25">
        <f t="shared" ref="F222:O222" si="120">F92+F140+F141+F142+F143+F144</f>
        <v>17264753.68</v>
      </c>
      <c r="G222" s="25">
        <f t="shared" si="120"/>
        <v>8825700</v>
      </c>
      <c r="H222" s="25">
        <f t="shared" si="120"/>
        <v>855097.68</v>
      </c>
      <c r="I222" s="25">
        <f t="shared" si="120"/>
        <v>0</v>
      </c>
      <c r="J222" s="25">
        <f t="shared" si="120"/>
        <v>846270</v>
      </c>
      <c r="K222" s="25">
        <f t="shared" si="120"/>
        <v>846270</v>
      </c>
      <c r="L222" s="25">
        <f t="shared" si="120"/>
        <v>0</v>
      </c>
      <c r="M222" s="25">
        <f t="shared" si="120"/>
        <v>0</v>
      </c>
      <c r="N222" s="25">
        <f t="shared" si="120"/>
        <v>0</v>
      </c>
      <c r="O222" s="25">
        <f t="shared" si="120"/>
        <v>846270</v>
      </c>
      <c r="P222" s="25">
        <f t="shared" si="117"/>
        <v>18111023.68</v>
      </c>
    </row>
    <row r="223" spans="1:16" s="26" customFormat="1" ht="18.75">
      <c r="A223" s="22"/>
      <c r="B223" s="22"/>
      <c r="C223" s="23" t="s">
        <v>325</v>
      </c>
      <c r="D223" s="24" t="s">
        <v>326</v>
      </c>
      <c r="E223" s="25">
        <f t="shared" ref="E223:O223" si="121">E36+E152+E153+E154+E155+E156+E157+E158+E179+E180+E189+E190</f>
        <v>110193558</v>
      </c>
      <c r="F223" s="25">
        <f t="shared" si="121"/>
        <v>38325700</v>
      </c>
      <c r="G223" s="25">
        <f t="shared" si="121"/>
        <v>0</v>
      </c>
      <c r="H223" s="25">
        <f t="shared" si="121"/>
        <v>0</v>
      </c>
      <c r="I223" s="25">
        <f t="shared" si="121"/>
        <v>71867858</v>
      </c>
      <c r="J223" s="25">
        <f t="shared" si="121"/>
        <v>48450401.009999998</v>
      </c>
      <c r="K223" s="25">
        <f t="shared" si="121"/>
        <v>48450401.009999998</v>
      </c>
      <c r="L223" s="25">
        <f t="shared" si="121"/>
        <v>0</v>
      </c>
      <c r="M223" s="25">
        <f t="shared" si="121"/>
        <v>0</v>
      </c>
      <c r="N223" s="25">
        <f t="shared" si="121"/>
        <v>0</v>
      </c>
      <c r="O223" s="25">
        <f t="shared" si="121"/>
        <v>48450401.009999998</v>
      </c>
      <c r="P223" s="25">
        <f t="shared" si="117"/>
        <v>158643959.00999999</v>
      </c>
    </row>
    <row r="224" spans="1:16" s="26" customFormat="1" ht="18.75">
      <c r="A224" s="22"/>
      <c r="B224" s="22"/>
      <c r="C224" s="23" t="s">
        <v>327</v>
      </c>
      <c r="D224" s="24" t="s">
        <v>328</v>
      </c>
      <c r="E224" s="25">
        <f>E40+E41+E42+E43+E51+E52+E53+E93+E115+E124+E135+E145+E146+E159+E160+E161+E162+E163+E164+E165+E181+E182+E183+E191+E192+E193+E198</f>
        <v>114821738</v>
      </c>
      <c r="F224" s="41">
        <f t="shared" ref="F224:O224" si="122">F40+F41+F42+F43+F51+F52+F53+F93+F115+F124+F135+F145+F146+F159+F160+F161+F162+F163+F164+F165+F181+F182+F183+F191+F192+F193+F198</f>
        <v>35331728</v>
      </c>
      <c r="G224" s="41">
        <f t="shared" si="122"/>
        <v>0</v>
      </c>
      <c r="H224" s="41">
        <f t="shared" si="122"/>
        <v>0</v>
      </c>
      <c r="I224" s="41">
        <f t="shared" si="122"/>
        <v>79490010</v>
      </c>
      <c r="J224" s="41">
        <f t="shared" si="122"/>
        <v>55831886.450000003</v>
      </c>
      <c r="K224" s="41">
        <f t="shared" si="122"/>
        <v>45798725.619999997</v>
      </c>
      <c r="L224" s="41">
        <f t="shared" si="122"/>
        <v>0</v>
      </c>
      <c r="M224" s="41">
        <f t="shared" si="122"/>
        <v>0</v>
      </c>
      <c r="N224" s="41">
        <f t="shared" si="122"/>
        <v>0</v>
      </c>
      <c r="O224" s="41">
        <f t="shared" si="122"/>
        <v>55831886.450000003</v>
      </c>
      <c r="P224" s="25">
        <f t="shared" si="117"/>
        <v>170653624.44999999</v>
      </c>
    </row>
    <row r="225" spans="1:16" s="27" customFormat="1" ht="18.75">
      <c r="A225" s="22"/>
      <c r="B225" s="22"/>
      <c r="C225" s="23" t="s">
        <v>329</v>
      </c>
      <c r="D225" s="24" t="s">
        <v>330</v>
      </c>
      <c r="E225" s="41">
        <f t="shared" ref="E225:I225" si="123">E54+E58+E59+E60+E61+E62+E94+E166+E167+E168+E169+E170+E171+E172+E184+E194+E199</f>
        <v>41079476</v>
      </c>
      <c r="F225" s="41">
        <f t="shared" si="123"/>
        <v>38083501</v>
      </c>
      <c r="G225" s="41">
        <f t="shared" si="123"/>
        <v>25801650</v>
      </c>
      <c r="H225" s="41">
        <f t="shared" si="123"/>
        <v>62500</v>
      </c>
      <c r="I225" s="41">
        <f t="shared" si="123"/>
        <v>1024000</v>
      </c>
      <c r="J225" s="41">
        <f t="shared" ref="J225:K225" si="124">J54+J58+J59+J60+J61+J62+J94+J166+J167+J168+J169+J170+J171+J172+J184+J194+J199</f>
        <v>20051618</v>
      </c>
      <c r="K225" s="41">
        <f t="shared" si="124"/>
        <v>18017918</v>
      </c>
      <c r="L225" s="41">
        <f>L54+L58+L59+L60+L61+L62+L94+L166+L167+L168+L169+L170+L171+L172+L184+L194+L199</f>
        <v>1803700</v>
      </c>
      <c r="M225" s="41">
        <f t="shared" ref="M225:O225" si="125">M54+M58+M59+M60+M61+M62+M94+M166+M167+M168+M169+M170+M171+M172+M184+M194+M199</f>
        <v>0</v>
      </c>
      <c r="N225" s="41">
        <f t="shared" si="125"/>
        <v>0</v>
      </c>
      <c r="O225" s="41">
        <f t="shared" si="125"/>
        <v>18247918</v>
      </c>
      <c r="P225" s="25">
        <f t="shared" si="117"/>
        <v>61131094</v>
      </c>
    </row>
    <row r="226" spans="1:16" s="18" customFormat="1" ht="18.75">
      <c r="A226" s="22"/>
      <c r="B226" s="22"/>
      <c r="C226" s="23" t="s">
        <v>331</v>
      </c>
      <c r="D226" s="24" t="s">
        <v>332</v>
      </c>
      <c r="E226" s="25">
        <f>E200+E201+E208</f>
        <v>133506530</v>
      </c>
      <c r="F226" s="25">
        <f t="shared" ref="F226:O226" si="126">F200+F201+F208</f>
        <v>133506530</v>
      </c>
      <c r="G226" s="25">
        <f t="shared" si="126"/>
        <v>0</v>
      </c>
      <c r="H226" s="25">
        <f t="shared" si="126"/>
        <v>0</v>
      </c>
      <c r="I226" s="25">
        <f t="shared" si="126"/>
        <v>0</v>
      </c>
      <c r="J226" s="25">
        <f t="shared" si="126"/>
        <v>44155782</v>
      </c>
      <c r="K226" s="25">
        <f t="shared" si="126"/>
        <v>44155782</v>
      </c>
      <c r="L226" s="25">
        <f t="shared" si="126"/>
        <v>0</v>
      </c>
      <c r="M226" s="25">
        <f t="shared" si="126"/>
        <v>0</v>
      </c>
      <c r="N226" s="25">
        <f t="shared" si="126"/>
        <v>0</v>
      </c>
      <c r="O226" s="25">
        <f t="shared" si="126"/>
        <v>44155782</v>
      </c>
      <c r="P226" s="25">
        <f t="shared" si="117"/>
        <v>177662312</v>
      </c>
    </row>
    <row r="227" spans="1:16" s="18" customFormat="1">
      <c r="A227" s="28"/>
      <c r="B227" s="28"/>
      <c r="C227" s="28"/>
      <c r="D227" s="28" t="s">
        <v>17</v>
      </c>
      <c r="E227" s="29">
        <f>SUM(E217:E226)</f>
        <v>1272529271.8699999</v>
      </c>
      <c r="F227" s="29">
        <f>SUM(F217:F226)</f>
        <v>1118175428.8699999</v>
      </c>
      <c r="G227" s="29">
        <f>SUM(G217:G226)</f>
        <v>607972729.87</v>
      </c>
      <c r="H227" s="29">
        <f t="shared" ref="H227:O227" si="127">SUM(H217:H226)</f>
        <v>47866897.68</v>
      </c>
      <c r="I227" s="29">
        <f t="shared" si="127"/>
        <v>152381868</v>
      </c>
      <c r="J227" s="29">
        <f t="shared" si="127"/>
        <v>331886145.45999998</v>
      </c>
      <c r="K227" s="29">
        <f>SUM(K217:K226)</f>
        <v>293492184.63</v>
      </c>
      <c r="L227" s="29">
        <f t="shared" si="127"/>
        <v>27775800</v>
      </c>
      <c r="M227" s="29">
        <f t="shared" si="127"/>
        <v>507100</v>
      </c>
      <c r="N227" s="29">
        <f t="shared" si="127"/>
        <v>0</v>
      </c>
      <c r="O227" s="29">
        <f t="shared" si="127"/>
        <v>304110345.45999998</v>
      </c>
      <c r="P227" s="29">
        <f t="shared" si="117"/>
        <v>1604415417.3299999</v>
      </c>
    </row>
    <row r="228" spans="1:16" s="32" customFormat="1"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</row>
    <row r="229" spans="1:16">
      <c r="D229" s="2" t="s">
        <v>279</v>
      </c>
      <c r="J229" s="2" t="s">
        <v>280</v>
      </c>
    </row>
    <row r="230" spans="1:16"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</row>
    <row r="232" spans="1:16"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</row>
    <row r="233" spans="1:16"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</row>
    <row r="234" spans="1:16"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</row>
  </sheetData>
  <mergeCells count="22"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</mergeCells>
  <pageMargins left="0.19685039370078741" right="0.19685039370078741" top="0.39370078740157483" bottom="0.39370078740157483" header="0" footer="0"/>
  <pageSetup paperSize="9" scale="49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Natasha-findep</cp:lastModifiedBy>
  <cp:lastPrinted>2025-10-15T06:09:04Z</cp:lastPrinted>
  <dcterms:created xsi:type="dcterms:W3CDTF">2023-12-16T13:37:11Z</dcterms:created>
  <dcterms:modified xsi:type="dcterms:W3CDTF">2025-10-15T13:34:31Z</dcterms:modified>
</cp:coreProperties>
</file>