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9 місяців\"/>
    </mc:Choice>
  </mc:AlternateContent>
  <bookViews>
    <workbookView xWindow="-120" yWindow="-120" windowWidth="20736" windowHeight="11760"/>
  </bookViews>
  <sheets>
    <sheet name="2025" sheetId="10" r:id="rId1"/>
  </sheets>
  <definedNames>
    <definedName name="_xlnm.Print_Titles" localSheetId="0">'2025'!$2:$7</definedName>
    <definedName name="_xlnm.Print_Area" localSheetId="0">'2025'!$A$1:$T$180</definedName>
  </definedNames>
  <calcPr calcId="152511"/>
</workbook>
</file>

<file path=xl/calcChain.xml><?xml version="1.0" encoding="utf-8"?>
<calcChain xmlns="http://schemas.openxmlformats.org/spreadsheetml/2006/main">
  <c r="O68" i="10" l="1"/>
  <c r="O67" i="10"/>
  <c r="P126" i="10" l="1"/>
  <c r="O126" i="10"/>
  <c r="N126" i="10"/>
  <c r="M126" i="10"/>
  <c r="P127" i="10"/>
  <c r="O127" i="10"/>
  <c r="N127" i="10"/>
  <c r="M127" i="10"/>
  <c r="K68" i="10" l="1"/>
  <c r="L68" i="10"/>
  <c r="J68" i="10"/>
  <c r="G68" i="10"/>
  <c r="F68" i="10"/>
  <c r="H84" i="10"/>
  <c r="H83" i="10"/>
  <c r="H68" i="10" s="1"/>
  <c r="T84" i="10"/>
  <c r="S84" i="10"/>
  <c r="R84" i="10"/>
  <c r="P84" i="10"/>
  <c r="O84" i="10"/>
  <c r="N84" i="10"/>
  <c r="I84" i="10"/>
  <c r="E84" i="10"/>
  <c r="S83" i="10"/>
  <c r="R83" i="10"/>
  <c r="O83" i="10"/>
  <c r="N83" i="10"/>
  <c r="I83" i="10"/>
  <c r="E83" i="10"/>
  <c r="E85" i="10"/>
  <c r="P176" i="10"/>
  <c r="O176" i="10"/>
  <c r="P175" i="10"/>
  <c r="O175" i="10"/>
  <c r="P171" i="10"/>
  <c r="O171" i="10"/>
  <c r="N171" i="10"/>
  <c r="L159" i="10"/>
  <c r="K159" i="10"/>
  <c r="J159" i="10"/>
  <c r="H159" i="10"/>
  <c r="G159" i="10"/>
  <c r="F159" i="10"/>
  <c r="K142" i="10"/>
  <c r="J142" i="10"/>
  <c r="F142" i="10"/>
  <c r="K118" i="10"/>
  <c r="H118" i="10"/>
  <c r="G118" i="10"/>
  <c r="O137" i="10"/>
  <c r="N137" i="10"/>
  <c r="O112" i="10"/>
  <c r="P112" i="10"/>
  <c r="N111" i="10"/>
  <c r="O111" i="10"/>
  <c r="P111" i="10"/>
  <c r="P110" i="10"/>
  <c r="N108" i="10"/>
  <c r="O108" i="10"/>
  <c r="P108" i="10"/>
  <c r="N104" i="10"/>
  <c r="O104" i="10"/>
  <c r="N103" i="10"/>
  <c r="O103" i="10"/>
  <c r="N102" i="10"/>
  <c r="N101" i="10"/>
  <c r="N100" i="10"/>
  <c r="P43" i="10"/>
  <c r="N36" i="10"/>
  <c r="P83" i="10" l="1"/>
  <c r="T83" i="10"/>
  <c r="Q84" i="10"/>
  <c r="Q83" i="10"/>
  <c r="M84" i="10"/>
  <c r="M83" i="10"/>
  <c r="I85" i="10"/>
  <c r="Q85" i="10" s="1"/>
  <c r="T85" i="10"/>
  <c r="S85" i="10"/>
  <c r="R85" i="10"/>
  <c r="P85" i="10"/>
  <c r="O85" i="10"/>
  <c r="N85" i="10"/>
  <c r="M85" i="10"/>
  <c r="L123" i="10"/>
  <c r="L176" i="10"/>
  <c r="L175" i="10"/>
  <c r="L157" i="10"/>
  <c r="L155" i="10"/>
  <c r="L154" i="10"/>
  <c r="L152" i="10"/>
  <c r="L151" i="10"/>
  <c r="L150" i="10"/>
  <c r="L148" i="10"/>
  <c r="L146" i="10"/>
  <c r="L143" i="10"/>
  <c r="L137" i="10"/>
  <c r="P137" i="10" s="1"/>
  <c r="L136" i="10"/>
  <c r="L132" i="10"/>
  <c r="L128" i="10"/>
  <c r="L127" i="10"/>
  <c r="L126" i="10"/>
  <c r="L125" i="10"/>
  <c r="K110" i="10"/>
  <c r="O110" i="10" s="1"/>
  <c r="K102" i="10"/>
  <c r="O102" i="10" s="1"/>
  <c r="K101" i="10"/>
  <c r="O101" i="10" s="1"/>
  <c r="K100" i="10"/>
  <c r="O100" i="10" s="1"/>
  <c r="K98" i="10"/>
  <c r="K87" i="10"/>
  <c r="K86" i="10"/>
  <c r="K75" i="10"/>
  <c r="K48" i="10"/>
  <c r="L142" i="10" l="1"/>
  <c r="L118" i="10"/>
  <c r="K45" i="10"/>
  <c r="H40" i="10"/>
  <c r="L66" i="10"/>
  <c r="L40" i="10" s="1"/>
  <c r="K64" i="10"/>
  <c r="E59" i="10"/>
  <c r="I59" i="10"/>
  <c r="M59" i="10" s="1"/>
  <c r="N59" i="10"/>
  <c r="O59" i="10"/>
  <c r="P59" i="10"/>
  <c r="R59" i="10"/>
  <c r="S59" i="10"/>
  <c r="T59" i="10"/>
  <c r="K44" i="10"/>
  <c r="K43" i="10"/>
  <c r="L36" i="10"/>
  <c r="L35" i="10"/>
  <c r="L30" i="10"/>
  <c r="L29" i="10"/>
  <c r="L28" i="10"/>
  <c r="L27" i="10"/>
  <c r="T27" i="10" s="1"/>
  <c r="E27" i="10"/>
  <c r="I27" i="10"/>
  <c r="O27" i="10"/>
  <c r="R27" i="10"/>
  <c r="S27" i="10"/>
  <c r="L19" i="10"/>
  <c r="L18" i="10"/>
  <c r="P18" i="10" s="1"/>
  <c r="K17" i="10"/>
  <c r="L17" i="10" s="1"/>
  <c r="P17" i="10" s="1"/>
  <c r="K13" i="10"/>
  <c r="K11" i="10"/>
  <c r="K12" i="10"/>
  <c r="K107" i="10"/>
  <c r="L107" i="10"/>
  <c r="G107" i="10"/>
  <c r="H107" i="10"/>
  <c r="E115" i="10"/>
  <c r="I115" i="10"/>
  <c r="N115" i="10"/>
  <c r="O115" i="10"/>
  <c r="P115" i="10"/>
  <c r="R115" i="10"/>
  <c r="S115" i="10"/>
  <c r="T115" i="10"/>
  <c r="J116" i="10"/>
  <c r="J167" i="10"/>
  <c r="J163" i="10"/>
  <c r="J136" i="10"/>
  <c r="E140" i="10"/>
  <c r="I140" i="10"/>
  <c r="N140" i="10"/>
  <c r="O140" i="10"/>
  <c r="P140" i="10"/>
  <c r="R140" i="10"/>
  <c r="S140" i="10"/>
  <c r="T140" i="10"/>
  <c r="J134" i="10"/>
  <c r="J131" i="10"/>
  <c r="J127" i="10"/>
  <c r="J110" i="10"/>
  <c r="J107" i="10" s="1"/>
  <c r="J88" i="10"/>
  <c r="J87" i="10"/>
  <c r="N75" i="10"/>
  <c r="J52" i="10"/>
  <c r="J46" i="10"/>
  <c r="J40" i="10" s="1"/>
  <c r="J32" i="10"/>
  <c r="J29" i="10"/>
  <c r="J22" i="10"/>
  <c r="J20" i="10"/>
  <c r="O18" i="10"/>
  <c r="J118" i="10" l="1"/>
  <c r="P27" i="10"/>
  <c r="Q27" i="10"/>
  <c r="M140" i="10"/>
  <c r="K40" i="10"/>
  <c r="Q59" i="10"/>
  <c r="M115" i="10"/>
  <c r="Q115" i="10"/>
  <c r="Q140" i="10"/>
  <c r="F167" i="10"/>
  <c r="H157" i="10" l="1"/>
  <c r="H142" i="10" s="1"/>
  <c r="G157" i="10"/>
  <c r="G142" i="10" s="1"/>
  <c r="E153" i="10"/>
  <c r="I153" i="10"/>
  <c r="Q153" i="10" s="1"/>
  <c r="N153" i="10"/>
  <c r="O153" i="10"/>
  <c r="P153" i="10"/>
  <c r="R153" i="10"/>
  <c r="S153" i="10"/>
  <c r="T153" i="10"/>
  <c r="E151" i="10"/>
  <c r="I151" i="10"/>
  <c r="Q151" i="10" s="1"/>
  <c r="N151" i="10"/>
  <c r="O151" i="10"/>
  <c r="P151" i="10"/>
  <c r="R151" i="10"/>
  <c r="S151" i="10"/>
  <c r="T151" i="10"/>
  <c r="F136" i="10"/>
  <c r="E135" i="10"/>
  <c r="I135" i="10"/>
  <c r="N135" i="10"/>
  <c r="O135" i="10"/>
  <c r="P135" i="10"/>
  <c r="R135" i="10"/>
  <c r="S135" i="10"/>
  <c r="T135" i="10"/>
  <c r="F134" i="10"/>
  <c r="E124" i="10"/>
  <c r="I124" i="10"/>
  <c r="N124" i="10"/>
  <c r="O124" i="10"/>
  <c r="P124" i="10"/>
  <c r="R124" i="10"/>
  <c r="S124" i="10"/>
  <c r="T124" i="10"/>
  <c r="F110" i="10"/>
  <c r="G98" i="10"/>
  <c r="E77" i="10"/>
  <c r="I77" i="10"/>
  <c r="N77" i="10"/>
  <c r="R77" i="10"/>
  <c r="S77" i="10"/>
  <c r="T77" i="10"/>
  <c r="G87" i="10"/>
  <c r="F87" i="10"/>
  <c r="G86" i="10"/>
  <c r="G76" i="10"/>
  <c r="G50" i="10"/>
  <c r="G48" i="10"/>
  <c r="O48" i="10" s="1"/>
  <c r="F46" i="10"/>
  <c r="F40" i="10" s="1"/>
  <c r="G45" i="10"/>
  <c r="O45" i="10" s="1"/>
  <c r="G44" i="10"/>
  <c r="G43" i="10"/>
  <c r="G40" i="10" s="1"/>
  <c r="F38" i="10"/>
  <c r="E26" i="10"/>
  <c r="I26" i="10"/>
  <c r="O26" i="10"/>
  <c r="P26" i="10"/>
  <c r="R26" i="10"/>
  <c r="S26" i="10"/>
  <c r="T26" i="10"/>
  <c r="F20" i="10"/>
  <c r="G11" i="10"/>
  <c r="F118" i="10" l="1"/>
  <c r="M153" i="10"/>
  <c r="F107" i="10"/>
  <c r="N110" i="10"/>
  <c r="M135" i="10"/>
  <c r="M151" i="10"/>
  <c r="I68" i="10"/>
  <c r="Q135" i="10"/>
  <c r="M124" i="10"/>
  <c r="Q124" i="10"/>
  <c r="M77" i="10"/>
  <c r="Q77" i="10"/>
  <c r="Q26" i="10"/>
  <c r="K10" i="10"/>
  <c r="K9" i="10" s="1"/>
  <c r="N92" i="10" l="1"/>
  <c r="N23" i="10"/>
  <c r="I66" i="10" l="1"/>
  <c r="P155" i="10"/>
  <c r="O155" i="10"/>
  <c r="E152" i="10"/>
  <c r="I152" i="10"/>
  <c r="Q152" i="10" s="1"/>
  <c r="N152" i="10"/>
  <c r="O152" i="10"/>
  <c r="P152" i="10"/>
  <c r="R152" i="10"/>
  <c r="S152" i="10"/>
  <c r="T152" i="10"/>
  <c r="E148" i="10"/>
  <c r="I148" i="10"/>
  <c r="N148" i="10"/>
  <c r="O148" i="10"/>
  <c r="P148" i="10"/>
  <c r="R148" i="10"/>
  <c r="S148" i="10"/>
  <c r="T148" i="10"/>
  <c r="E146" i="10"/>
  <c r="I146" i="10"/>
  <c r="N146" i="10"/>
  <c r="O146" i="10"/>
  <c r="P146" i="10"/>
  <c r="R146" i="10"/>
  <c r="S146" i="10"/>
  <c r="T146" i="10"/>
  <c r="T143" i="10"/>
  <c r="S143" i="10"/>
  <c r="R143" i="10"/>
  <c r="P143" i="10"/>
  <c r="O143" i="10"/>
  <c r="N143" i="10"/>
  <c r="I143" i="10"/>
  <c r="E143" i="10"/>
  <c r="E128" i="10"/>
  <c r="I128" i="10"/>
  <c r="N128" i="10"/>
  <c r="P128" i="10"/>
  <c r="R128" i="10"/>
  <c r="S128" i="10"/>
  <c r="T128" i="10"/>
  <c r="I64" i="10"/>
  <c r="E56" i="10"/>
  <c r="I56" i="10"/>
  <c r="N56" i="10"/>
  <c r="O56" i="10"/>
  <c r="P56" i="10"/>
  <c r="R56" i="10"/>
  <c r="S56" i="10"/>
  <c r="T56" i="10"/>
  <c r="E55" i="10"/>
  <c r="I55" i="10"/>
  <c r="N55" i="10"/>
  <c r="O55" i="10"/>
  <c r="P55" i="10"/>
  <c r="R55" i="10"/>
  <c r="S55" i="10"/>
  <c r="T55" i="10"/>
  <c r="O11" i="10"/>
  <c r="E164" i="10"/>
  <c r="I164" i="10"/>
  <c r="N164" i="10"/>
  <c r="O164" i="10"/>
  <c r="P164" i="10"/>
  <c r="R164" i="10"/>
  <c r="S164" i="10"/>
  <c r="T164" i="10"/>
  <c r="E138" i="10"/>
  <c r="I138" i="10"/>
  <c r="N138" i="10"/>
  <c r="O138" i="10"/>
  <c r="P138" i="10"/>
  <c r="R138" i="10"/>
  <c r="S138" i="10"/>
  <c r="T138" i="10"/>
  <c r="I131" i="10"/>
  <c r="E131" i="10"/>
  <c r="O131" i="10"/>
  <c r="P131" i="10"/>
  <c r="S131" i="10"/>
  <c r="T131" i="10"/>
  <c r="E129" i="10"/>
  <c r="I129" i="10"/>
  <c r="N129" i="10"/>
  <c r="O129" i="10"/>
  <c r="P129" i="10"/>
  <c r="R129" i="10"/>
  <c r="S129" i="10"/>
  <c r="T129" i="10"/>
  <c r="I65" i="10"/>
  <c r="I63" i="10"/>
  <c r="I62" i="10"/>
  <c r="E61" i="10"/>
  <c r="I61" i="10"/>
  <c r="M61" i="10" s="1"/>
  <c r="N61" i="10"/>
  <c r="O61" i="10"/>
  <c r="P61" i="10"/>
  <c r="R61" i="10"/>
  <c r="S61" i="10"/>
  <c r="T61" i="10"/>
  <c r="I32" i="10"/>
  <c r="E32" i="10"/>
  <c r="O32" i="10"/>
  <c r="P32" i="10"/>
  <c r="S32" i="10"/>
  <c r="T32" i="10"/>
  <c r="M32" i="10" l="1"/>
  <c r="M146" i="10"/>
  <c r="M55" i="10"/>
  <c r="M152" i="10"/>
  <c r="M148" i="10"/>
  <c r="Q148" i="10"/>
  <c r="Q146" i="10"/>
  <c r="M164" i="10"/>
  <c r="M56" i="10"/>
  <c r="M143" i="10"/>
  <c r="Q143" i="10"/>
  <c r="M128" i="10"/>
  <c r="Q128" i="10"/>
  <c r="Q56" i="10"/>
  <c r="Q55" i="10"/>
  <c r="Q164" i="10"/>
  <c r="Q138" i="10"/>
  <c r="R131" i="10"/>
  <c r="N131" i="10"/>
  <c r="Q131" i="10"/>
  <c r="M131" i="10"/>
  <c r="M129" i="10"/>
  <c r="Q129" i="10"/>
  <c r="Q61" i="10"/>
  <c r="N32" i="10"/>
  <c r="R32" i="10"/>
  <c r="Q32" i="10"/>
  <c r="E161" i="10" l="1"/>
  <c r="I161" i="10"/>
  <c r="N161" i="10"/>
  <c r="O161" i="10"/>
  <c r="P161" i="10"/>
  <c r="R161" i="10"/>
  <c r="S161" i="10"/>
  <c r="T161" i="10"/>
  <c r="E122" i="10"/>
  <c r="I122" i="10"/>
  <c r="N122" i="10"/>
  <c r="O122" i="10"/>
  <c r="P122" i="10"/>
  <c r="R122" i="10"/>
  <c r="S122" i="10"/>
  <c r="T122" i="10"/>
  <c r="I137" i="10"/>
  <c r="M122" i="10" l="1"/>
  <c r="Q122" i="10"/>
  <c r="Q161" i="10"/>
  <c r="M161" i="10"/>
  <c r="E113" i="10"/>
  <c r="I113" i="10"/>
  <c r="N113" i="10"/>
  <c r="O113" i="10"/>
  <c r="P113" i="10"/>
  <c r="R113" i="10"/>
  <c r="S113" i="10"/>
  <c r="T113" i="10"/>
  <c r="K95" i="10"/>
  <c r="L95" i="10"/>
  <c r="J95" i="10"/>
  <c r="G95" i="10"/>
  <c r="H95" i="10"/>
  <c r="F95" i="10"/>
  <c r="E99" i="10"/>
  <c r="I99" i="10"/>
  <c r="P99" i="10"/>
  <c r="R99" i="10"/>
  <c r="S99" i="10"/>
  <c r="T99" i="10"/>
  <c r="E86" i="10"/>
  <c r="I86" i="10"/>
  <c r="N86" i="10"/>
  <c r="P86" i="10"/>
  <c r="R86" i="10"/>
  <c r="S86" i="10"/>
  <c r="T86" i="10"/>
  <c r="E53" i="10"/>
  <c r="I53" i="10"/>
  <c r="N53" i="10"/>
  <c r="O53" i="10"/>
  <c r="P53" i="10"/>
  <c r="R53" i="10"/>
  <c r="S53" i="10"/>
  <c r="T53" i="10"/>
  <c r="Q113" i="10" l="1"/>
  <c r="Q53" i="10"/>
  <c r="Q99" i="10"/>
  <c r="M113" i="10"/>
  <c r="Q86" i="10"/>
  <c r="M53" i="10"/>
  <c r="E62" i="10" l="1"/>
  <c r="M62" i="10" s="1"/>
  <c r="N62" i="10"/>
  <c r="O62" i="10"/>
  <c r="P62" i="10"/>
  <c r="R62" i="10"/>
  <c r="S62" i="10"/>
  <c r="T62" i="10"/>
  <c r="E58" i="10"/>
  <c r="I58" i="10"/>
  <c r="N58" i="10"/>
  <c r="O58" i="10"/>
  <c r="P58" i="10"/>
  <c r="R58" i="10"/>
  <c r="S58" i="10"/>
  <c r="T58" i="10"/>
  <c r="N49" i="10"/>
  <c r="E38" i="10"/>
  <c r="I38" i="10"/>
  <c r="O38" i="10"/>
  <c r="P38" i="10"/>
  <c r="R38" i="10"/>
  <c r="S38" i="10"/>
  <c r="T38" i="10"/>
  <c r="E37" i="10"/>
  <c r="I37" i="10"/>
  <c r="O37" i="10"/>
  <c r="P37" i="10"/>
  <c r="R37" i="10"/>
  <c r="S37" i="10"/>
  <c r="T37" i="10"/>
  <c r="E28" i="10"/>
  <c r="I28" i="10"/>
  <c r="N28" i="10"/>
  <c r="O28" i="10"/>
  <c r="P28" i="10"/>
  <c r="R28" i="10"/>
  <c r="S28" i="10"/>
  <c r="T28" i="10"/>
  <c r="Q28" i="10" l="1"/>
  <c r="M38" i="10"/>
  <c r="M58" i="10"/>
  <c r="M37" i="10"/>
  <c r="Q58" i="10"/>
  <c r="Q62" i="10"/>
  <c r="Q38" i="10"/>
  <c r="Q37" i="10"/>
  <c r="M28" i="10"/>
  <c r="N71" i="10"/>
  <c r="O36" i="10"/>
  <c r="N19" i="10"/>
  <c r="O17" i="10"/>
  <c r="O12" i="10"/>
  <c r="N12" i="10"/>
  <c r="N11" i="10"/>
  <c r="L170" i="10" l="1"/>
  <c r="K170" i="10"/>
  <c r="J170" i="10"/>
  <c r="G170" i="10"/>
  <c r="H170" i="10"/>
  <c r="F170" i="10"/>
  <c r="E173" i="10"/>
  <c r="I173" i="10"/>
  <c r="O173" i="10"/>
  <c r="P173" i="10"/>
  <c r="R173" i="10"/>
  <c r="S173" i="10"/>
  <c r="T173" i="10"/>
  <c r="E166" i="10"/>
  <c r="I166" i="10"/>
  <c r="N166" i="10"/>
  <c r="O166" i="10"/>
  <c r="P166" i="10"/>
  <c r="R166" i="10"/>
  <c r="S166" i="10"/>
  <c r="T166" i="10"/>
  <c r="E163" i="10"/>
  <c r="I163" i="10"/>
  <c r="N163" i="10"/>
  <c r="O163" i="10"/>
  <c r="P163" i="10"/>
  <c r="R163" i="10"/>
  <c r="S163" i="10"/>
  <c r="T163" i="10"/>
  <c r="E156" i="10"/>
  <c r="I156" i="10"/>
  <c r="N156" i="10"/>
  <c r="O156" i="10"/>
  <c r="P156" i="10"/>
  <c r="R156" i="10"/>
  <c r="S156" i="10"/>
  <c r="T156" i="10"/>
  <c r="I116" i="10"/>
  <c r="O116" i="10"/>
  <c r="P116" i="10"/>
  <c r="S116" i="10"/>
  <c r="T116" i="10"/>
  <c r="E116" i="10"/>
  <c r="K90" i="10"/>
  <c r="L90" i="10"/>
  <c r="J90" i="10"/>
  <c r="G90" i="10"/>
  <c r="H90" i="10"/>
  <c r="F90" i="10"/>
  <c r="O93" i="10"/>
  <c r="P93" i="10"/>
  <c r="R93" i="10"/>
  <c r="S93" i="10"/>
  <c r="T93" i="10"/>
  <c r="I93" i="10"/>
  <c r="E93" i="10"/>
  <c r="G39" i="10"/>
  <c r="H39" i="10"/>
  <c r="O43" i="10"/>
  <c r="L10" i="10"/>
  <c r="Q173" i="10" l="1"/>
  <c r="M156" i="10"/>
  <c r="M166" i="10"/>
  <c r="Q166" i="10"/>
  <c r="M163" i="10"/>
  <c r="Q163" i="10"/>
  <c r="Q156" i="10"/>
  <c r="N116" i="10"/>
  <c r="R116" i="10"/>
  <c r="Q116" i="10"/>
  <c r="M116" i="10"/>
  <c r="Q93" i="10"/>
  <c r="O40" i="10"/>
  <c r="P36" i="10"/>
  <c r="N91" i="10" l="1"/>
  <c r="N150" i="10" l="1"/>
  <c r="N147" i="10"/>
  <c r="N123" i="10"/>
  <c r="P14" i="10" l="1"/>
  <c r="O15" i="10"/>
  <c r="P15" i="10"/>
  <c r="P13" i="10"/>
  <c r="O13" i="10"/>
  <c r="E13" i="10"/>
  <c r="O150" i="10"/>
  <c r="E139" i="10" l="1"/>
  <c r="I139" i="10"/>
  <c r="N139" i="10"/>
  <c r="O139" i="10"/>
  <c r="P139" i="10"/>
  <c r="R139" i="10"/>
  <c r="S139" i="10"/>
  <c r="T139" i="10"/>
  <c r="M139" i="10" l="1"/>
  <c r="Q139" i="10"/>
  <c r="E105" i="10" l="1"/>
  <c r="I105" i="10"/>
  <c r="P105" i="10"/>
  <c r="R105" i="10"/>
  <c r="S105" i="10"/>
  <c r="T105" i="10"/>
  <c r="Q105" i="10" l="1"/>
  <c r="E88" i="10"/>
  <c r="R88" i="10"/>
  <c r="O88" i="10"/>
  <c r="P88" i="10"/>
  <c r="S88" i="10"/>
  <c r="T88" i="10"/>
  <c r="E82" i="10"/>
  <c r="I82" i="10"/>
  <c r="N82" i="10"/>
  <c r="O82" i="10"/>
  <c r="P82" i="10"/>
  <c r="R82" i="10"/>
  <c r="S82" i="10"/>
  <c r="T82" i="10"/>
  <c r="M82" i="10" l="1"/>
  <c r="Q82" i="10"/>
  <c r="N88" i="10"/>
  <c r="I88" i="10"/>
  <c r="E65" i="10"/>
  <c r="N65" i="10"/>
  <c r="O65" i="10"/>
  <c r="P65" i="10"/>
  <c r="R65" i="10"/>
  <c r="S65" i="10"/>
  <c r="T65" i="10"/>
  <c r="E60" i="10"/>
  <c r="I60" i="10"/>
  <c r="N60" i="10"/>
  <c r="O60" i="10"/>
  <c r="P60" i="10"/>
  <c r="R60" i="10"/>
  <c r="S60" i="10"/>
  <c r="T60" i="10"/>
  <c r="I29" i="10"/>
  <c r="E29" i="10"/>
  <c r="O29" i="10"/>
  <c r="P29" i="10"/>
  <c r="S29" i="10"/>
  <c r="T29" i="10"/>
  <c r="M60" i="10" l="1"/>
  <c r="Q60" i="10"/>
  <c r="M65" i="10"/>
  <c r="M88" i="10"/>
  <c r="Q88" i="10"/>
  <c r="Q65" i="10"/>
  <c r="R29" i="10"/>
  <c r="N29" i="10"/>
  <c r="Q29" i="10"/>
  <c r="E171" i="10"/>
  <c r="E172" i="10"/>
  <c r="P154" i="10"/>
  <c r="E154" i="10"/>
  <c r="I154" i="10"/>
  <c r="N154" i="10"/>
  <c r="O154" i="10"/>
  <c r="R154" i="10"/>
  <c r="S154" i="10"/>
  <c r="P150" i="10"/>
  <c r="P147" i="10" l="1"/>
  <c r="O147" i="10"/>
  <c r="T154" i="10"/>
  <c r="M154" i="10"/>
  <c r="Q154" i="10"/>
  <c r="P132" i="10" l="1"/>
  <c r="I132" i="10"/>
  <c r="N132" i="10"/>
  <c r="R132" i="10"/>
  <c r="P90" i="10" l="1"/>
  <c r="N90" i="10"/>
  <c r="P123" i="10"/>
  <c r="O123" i="10"/>
  <c r="O132" i="10"/>
  <c r="T132" i="10"/>
  <c r="E132" i="10"/>
  <c r="M132" i="10" s="1"/>
  <c r="S132" i="10"/>
  <c r="Q132" i="10" l="1"/>
  <c r="E87" i="10"/>
  <c r="I87" i="10"/>
  <c r="N87" i="10"/>
  <c r="O87" i="10"/>
  <c r="P87" i="10"/>
  <c r="R87" i="10"/>
  <c r="S87" i="10"/>
  <c r="T87" i="10"/>
  <c r="K89" i="10"/>
  <c r="L89" i="10"/>
  <c r="F89" i="10"/>
  <c r="O90" i="10"/>
  <c r="H89" i="10"/>
  <c r="I90" i="10"/>
  <c r="E91" i="10"/>
  <c r="I91" i="10"/>
  <c r="O91" i="10"/>
  <c r="P91" i="10"/>
  <c r="R91" i="10"/>
  <c r="S91" i="10"/>
  <c r="T91" i="10"/>
  <c r="E92" i="10"/>
  <c r="I92" i="10"/>
  <c r="O92" i="10"/>
  <c r="P92" i="10"/>
  <c r="R92" i="10"/>
  <c r="S92" i="10"/>
  <c r="T92" i="10"/>
  <c r="F94" i="10"/>
  <c r="G94" i="10"/>
  <c r="H94" i="10"/>
  <c r="N95" i="10"/>
  <c r="O95" i="10"/>
  <c r="P95" i="10"/>
  <c r="E96" i="10"/>
  <c r="I96" i="10"/>
  <c r="N96" i="10"/>
  <c r="O96" i="10"/>
  <c r="P96" i="10"/>
  <c r="R96" i="10"/>
  <c r="S96" i="10"/>
  <c r="T96" i="10"/>
  <c r="E97" i="10"/>
  <c r="I97" i="10"/>
  <c r="N97" i="10"/>
  <c r="O97" i="10"/>
  <c r="P97" i="10"/>
  <c r="R97" i="10"/>
  <c r="S97" i="10"/>
  <c r="T97" i="10"/>
  <c r="E98" i="10"/>
  <c r="S98" i="10"/>
  <c r="N98" i="10"/>
  <c r="O98" i="10"/>
  <c r="P98" i="10"/>
  <c r="R98" i="10"/>
  <c r="T98" i="10"/>
  <c r="E100" i="10"/>
  <c r="I100" i="10"/>
  <c r="M100" i="10" s="1"/>
  <c r="P100" i="10"/>
  <c r="R100" i="10"/>
  <c r="S100" i="10"/>
  <c r="T100" i="10"/>
  <c r="E101" i="10"/>
  <c r="I101" i="10"/>
  <c r="M101" i="10" s="1"/>
  <c r="P101" i="10"/>
  <c r="R101" i="10"/>
  <c r="S101" i="10"/>
  <c r="T101" i="10"/>
  <c r="E102" i="10"/>
  <c r="I102" i="10"/>
  <c r="M102" i="10" s="1"/>
  <c r="P102" i="10"/>
  <c r="R102" i="10"/>
  <c r="S102" i="10"/>
  <c r="T102" i="10"/>
  <c r="E103" i="10"/>
  <c r="I103" i="10"/>
  <c r="M103" i="10" s="1"/>
  <c r="P103" i="10"/>
  <c r="R103" i="10"/>
  <c r="S103" i="10"/>
  <c r="T103" i="10"/>
  <c r="E104" i="10"/>
  <c r="I104" i="10"/>
  <c r="M104" i="10" s="1"/>
  <c r="P104" i="10"/>
  <c r="R104" i="10"/>
  <c r="S104" i="10"/>
  <c r="T104" i="10"/>
  <c r="F106" i="10"/>
  <c r="H106" i="10"/>
  <c r="K106" i="10"/>
  <c r="L106" i="10"/>
  <c r="M92" i="10" l="1"/>
  <c r="P89" i="10"/>
  <c r="M91" i="10"/>
  <c r="Q96" i="10"/>
  <c r="Q97" i="10"/>
  <c r="M87" i="10"/>
  <c r="Q103" i="10"/>
  <c r="I107" i="10"/>
  <c r="I106" i="10" s="1"/>
  <c r="S107" i="10"/>
  <c r="Q102" i="10"/>
  <c r="M96" i="10"/>
  <c r="P107" i="10"/>
  <c r="O107" i="10"/>
  <c r="J106" i="10"/>
  <c r="N106" i="10" s="1"/>
  <c r="M97" i="10"/>
  <c r="Q104" i="10"/>
  <c r="Q100" i="10"/>
  <c r="Q92" i="10"/>
  <c r="Q91" i="10"/>
  <c r="Q87" i="10"/>
  <c r="P106" i="10"/>
  <c r="T107" i="10"/>
  <c r="J89" i="10"/>
  <c r="N89" i="10" s="1"/>
  <c r="T95" i="10"/>
  <c r="L94" i="10"/>
  <c r="T90" i="10"/>
  <c r="S95" i="10"/>
  <c r="E90" i="10"/>
  <c r="E89" i="10" s="1"/>
  <c r="R107" i="10"/>
  <c r="I95" i="10"/>
  <c r="T106" i="10"/>
  <c r="K94" i="10"/>
  <c r="S90" i="10"/>
  <c r="R95" i="10"/>
  <c r="R90" i="10"/>
  <c r="T89" i="10"/>
  <c r="E107" i="10"/>
  <c r="E106" i="10" s="1"/>
  <c r="G89" i="10"/>
  <c r="O89" i="10" s="1"/>
  <c r="I98" i="10"/>
  <c r="J94" i="10"/>
  <c r="E95" i="10"/>
  <c r="E94" i="10" s="1"/>
  <c r="G106" i="10"/>
  <c r="O106" i="10" s="1"/>
  <c r="Q101" i="10"/>
  <c r="N107" i="10"/>
  <c r="M90" i="10" l="1"/>
  <c r="R106" i="10"/>
  <c r="M107" i="10"/>
  <c r="Q107" i="10"/>
  <c r="S89" i="10"/>
  <c r="T94" i="10"/>
  <c r="P94" i="10"/>
  <c r="M106" i="10"/>
  <c r="Q106" i="10"/>
  <c r="S106" i="10"/>
  <c r="R89" i="10"/>
  <c r="I89" i="10"/>
  <c r="S94" i="10"/>
  <c r="O94" i="10"/>
  <c r="R94" i="10"/>
  <c r="N94" i="10"/>
  <c r="M95" i="10"/>
  <c r="I94" i="10"/>
  <c r="Q95" i="10"/>
  <c r="M98" i="10"/>
  <c r="Q98" i="10"/>
  <c r="Q90" i="10"/>
  <c r="Q89" i="10" l="1"/>
  <c r="M89" i="10"/>
  <c r="Q94" i="10"/>
  <c r="M94" i="10"/>
  <c r="E12" i="10" l="1"/>
  <c r="E11" i="10"/>
  <c r="O14" i="10" l="1"/>
  <c r="E14" i="10"/>
  <c r="E30" i="10" l="1"/>
  <c r="I30" i="10"/>
  <c r="N30" i="10"/>
  <c r="O30" i="10"/>
  <c r="P30" i="10"/>
  <c r="R30" i="10"/>
  <c r="S30" i="10"/>
  <c r="T30" i="10"/>
  <c r="Q30" i="10" l="1"/>
  <c r="F22" i="10" l="1"/>
  <c r="G22" i="10"/>
  <c r="H22" i="10"/>
  <c r="L22" i="10"/>
  <c r="L9" i="10" s="1"/>
  <c r="P11" i="10" l="1"/>
  <c r="R11" i="10"/>
  <c r="T11" i="10"/>
  <c r="R12" i="10"/>
  <c r="S12" i="10"/>
  <c r="T12" i="10"/>
  <c r="N13" i="10"/>
  <c r="R13" i="10"/>
  <c r="S13" i="10"/>
  <c r="T13" i="10"/>
  <c r="N14" i="10"/>
  <c r="R14" i="10"/>
  <c r="S14" i="10"/>
  <c r="T14" i="10"/>
  <c r="N15" i="10"/>
  <c r="R15" i="10"/>
  <c r="S15" i="10"/>
  <c r="T15" i="10"/>
  <c r="N16" i="10"/>
  <c r="O16" i="10"/>
  <c r="P16" i="10"/>
  <c r="R16" i="10"/>
  <c r="S16" i="10"/>
  <c r="T16" i="10"/>
  <c r="N17" i="10"/>
  <c r="R17" i="10"/>
  <c r="S17" i="10"/>
  <c r="T17" i="10"/>
  <c r="N18" i="10"/>
  <c r="R18" i="10"/>
  <c r="S18" i="10"/>
  <c r="R19" i="10"/>
  <c r="S19" i="10"/>
  <c r="O20" i="10"/>
  <c r="P20" i="10"/>
  <c r="S20" i="10"/>
  <c r="T20" i="10"/>
  <c r="N21" i="10"/>
  <c r="O21" i="10"/>
  <c r="P21" i="10"/>
  <c r="R21" i="10"/>
  <c r="S21" i="10"/>
  <c r="T21" i="10"/>
  <c r="O23" i="10"/>
  <c r="P23" i="10"/>
  <c r="R23" i="10"/>
  <c r="S23" i="10"/>
  <c r="T23" i="10"/>
  <c r="O24" i="10"/>
  <c r="P24" i="10"/>
  <c r="R24" i="10"/>
  <c r="S24" i="10"/>
  <c r="T24" i="10"/>
  <c r="O25" i="10"/>
  <c r="P25" i="10"/>
  <c r="R25" i="10"/>
  <c r="S25" i="10"/>
  <c r="T25" i="10"/>
  <c r="N31" i="10"/>
  <c r="O31" i="10"/>
  <c r="P31" i="10"/>
  <c r="R31" i="10"/>
  <c r="S31" i="10"/>
  <c r="T31" i="10"/>
  <c r="N33" i="10"/>
  <c r="O33" i="10"/>
  <c r="R33" i="10"/>
  <c r="S33" i="10"/>
  <c r="O34" i="10"/>
  <c r="P34" i="10"/>
  <c r="R34" i="10"/>
  <c r="S34" i="10"/>
  <c r="T34" i="10"/>
  <c r="O35" i="10"/>
  <c r="P35" i="10"/>
  <c r="R35" i="10"/>
  <c r="S35" i="10"/>
  <c r="T35" i="10"/>
  <c r="R36" i="10"/>
  <c r="S36" i="10"/>
  <c r="T36" i="10"/>
  <c r="N41" i="10"/>
  <c r="O41" i="10"/>
  <c r="P41" i="10"/>
  <c r="R41" i="10"/>
  <c r="S41" i="10"/>
  <c r="T41" i="10"/>
  <c r="N42" i="10"/>
  <c r="O42" i="10"/>
  <c r="P42" i="10"/>
  <c r="R42" i="10"/>
  <c r="S42" i="10"/>
  <c r="T42" i="10"/>
  <c r="N43" i="10"/>
  <c r="R43" i="10"/>
  <c r="T43" i="10"/>
  <c r="N44" i="10"/>
  <c r="P44" i="10"/>
  <c r="R44" i="10"/>
  <c r="T44" i="10"/>
  <c r="N45" i="10"/>
  <c r="P45" i="10"/>
  <c r="R45" i="10"/>
  <c r="T45" i="10"/>
  <c r="O46" i="10"/>
  <c r="P46" i="10"/>
  <c r="S46" i="10"/>
  <c r="T46" i="10"/>
  <c r="N47" i="10"/>
  <c r="O47" i="10"/>
  <c r="P47" i="10"/>
  <c r="R47" i="10"/>
  <c r="S47" i="10"/>
  <c r="T47" i="10"/>
  <c r="N48" i="10"/>
  <c r="P48" i="10"/>
  <c r="R48" i="10"/>
  <c r="T48" i="10"/>
  <c r="O49" i="10"/>
  <c r="P49" i="10"/>
  <c r="R49" i="10"/>
  <c r="S49" i="10"/>
  <c r="T49" i="10"/>
  <c r="N50" i="10"/>
  <c r="P50" i="10"/>
  <c r="R50" i="10"/>
  <c r="T50" i="10"/>
  <c r="N51" i="10"/>
  <c r="O51" i="10"/>
  <c r="P51" i="10"/>
  <c r="R51" i="10"/>
  <c r="S51" i="10"/>
  <c r="T51" i="10"/>
  <c r="N52" i="10"/>
  <c r="O52" i="10"/>
  <c r="P52" i="10"/>
  <c r="R52" i="10"/>
  <c r="S52" i="10"/>
  <c r="T52" i="10"/>
  <c r="N54" i="10"/>
  <c r="O54" i="10"/>
  <c r="P54" i="10"/>
  <c r="R54" i="10"/>
  <c r="S54" i="10"/>
  <c r="T54" i="10"/>
  <c r="N57" i="10"/>
  <c r="O57" i="10"/>
  <c r="P57" i="10"/>
  <c r="R57" i="10"/>
  <c r="S57" i="10"/>
  <c r="T57" i="10"/>
  <c r="N63" i="10"/>
  <c r="O63" i="10"/>
  <c r="P63" i="10"/>
  <c r="R63" i="10"/>
  <c r="S63" i="10"/>
  <c r="T63" i="10"/>
  <c r="N64" i="10"/>
  <c r="P64" i="10"/>
  <c r="R64" i="10"/>
  <c r="S64" i="10"/>
  <c r="T64" i="10"/>
  <c r="N66" i="10"/>
  <c r="R66" i="10"/>
  <c r="S66" i="10"/>
  <c r="T66" i="10"/>
  <c r="N69" i="10"/>
  <c r="O69" i="10"/>
  <c r="R69" i="10"/>
  <c r="S69" i="10"/>
  <c r="N70" i="10"/>
  <c r="O70" i="10"/>
  <c r="P70" i="10"/>
  <c r="R70" i="10"/>
  <c r="S70" i="10"/>
  <c r="T70" i="10"/>
  <c r="O71" i="10"/>
  <c r="P71" i="10"/>
  <c r="R71" i="10"/>
  <c r="S71" i="10"/>
  <c r="T71" i="10"/>
  <c r="N72" i="10"/>
  <c r="O72" i="10"/>
  <c r="P72" i="10"/>
  <c r="R72" i="10"/>
  <c r="S72" i="10"/>
  <c r="T72" i="10"/>
  <c r="N73" i="10"/>
  <c r="O73" i="10"/>
  <c r="P73" i="10"/>
  <c r="R73" i="10"/>
  <c r="S73" i="10"/>
  <c r="T73" i="10"/>
  <c r="N74" i="10"/>
  <c r="O74" i="10"/>
  <c r="P74" i="10"/>
  <c r="R74" i="10"/>
  <c r="S74" i="10"/>
  <c r="T74" i="10"/>
  <c r="P75" i="10"/>
  <c r="R75" i="10"/>
  <c r="S75" i="10"/>
  <c r="T75" i="10"/>
  <c r="N76" i="10"/>
  <c r="R76" i="10"/>
  <c r="T76" i="10"/>
  <c r="N78" i="10"/>
  <c r="O78" i="10"/>
  <c r="P78" i="10"/>
  <c r="R78" i="10"/>
  <c r="S78" i="10"/>
  <c r="T78" i="10"/>
  <c r="N79" i="10"/>
  <c r="O79" i="10"/>
  <c r="P79" i="10"/>
  <c r="R79" i="10"/>
  <c r="S79" i="10"/>
  <c r="T79" i="10"/>
  <c r="N80" i="10"/>
  <c r="O80" i="10"/>
  <c r="P80" i="10"/>
  <c r="R80" i="10"/>
  <c r="S80" i="10"/>
  <c r="T80" i="10"/>
  <c r="N81" i="10"/>
  <c r="O81" i="10"/>
  <c r="P81" i="10"/>
  <c r="R81" i="10"/>
  <c r="S81" i="10"/>
  <c r="T81" i="10"/>
  <c r="R108" i="10"/>
  <c r="S108" i="10"/>
  <c r="T108" i="10"/>
  <c r="O109" i="10"/>
  <c r="P109" i="10"/>
  <c r="R109" i="10"/>
  <c r="S109" i="10"/>
  <c r="T109" i="10"/>
  <c r="S110" i="10"/>
  <c r="T110" i="10"/>
  <c r="R111" i="10"/>
  <c r="S111" i="10"/>
  <c r="T111" i="10"/>
  <c r="R112" i="10"/>
  <c r="S112" i="10"/>
  <c r="T112" i="10"/>
  <c r="N114" i="10"/>
  <c r="O114" i="10"/>
  <c r="P114" i="10"/>
  <c r="R114" i="10"/>
  <c r="S114" i="10"/>
  <c r="T114" i="10"/>
  <c r="N119" i="10"/>
  <c r="O119" i="10"/>
  <c r="P119" i="10"/>
  <c r="R119" i="10"/>
  <c r="S119" i="10"/>
  <c r="T119" i="10"/>
  <c r="N120" i="10"/>
  <c r="O120" i="10"/>
  <c r="P120" i="10"/>
  <c r="R120" i="10"/>
  <c r="S120" i="10"/>
  <c r="T120" i="10"/>
  <c r="N121" i="10"/>
  <c r="O121" i="10"/>
  <c r="P121" i="10"/>
  <c r="R121" i="10"/>
  <c r="S121" i="10"/>
  <c r="T121" i="10"/>
  <c r="R123" i="10"/>
  <c r="S123" i="10"/>
  <c r="T123" i="10"/>
  <c r="N125" i="10"/>
  <c r="R125" i="10"/>
  <c r="S125" i="10"/>
  <c r="T125" i="10"/>
  <c r="R126" i="10"/>
  <c r="S126" i="10"/>
  <c r="T126" i="10"/>
  <c r="S127" i="10"/>
  <c r="T127" i="10"/>
  <c r="N130" i="10"/>
  <c r="O130" i="10"/>
  <c r="P130" i="10"/>
  <c r="R130" i="10"/>
  <c r="S130" i="10"/>
  <c r="T130" i="10"/>
  <c r="N133" i="10"/>
  <c r="O133" i="10"/>
  <c r="P133" i="10"/>
  <c r="R133" i="10"/>
  <c r="S133" i="10"/>
  <c r="T133" i="10"/>
  <c r="O134" i="10"/>
  <c r="P134" i="10"/>
  <c r="S134" i="10"/>
  <c r="T134" i="10"/>
  <c r="O136" i="10"/>
  <c r="P136" i="10"/>
  <c r="S136" i="10"/>
  <c r="T136" i="10"/>
  <c r="R137" i="10"/>
  <c r="S137" i="10"/>
  <c r="T137" i="10"/>
  <c r="N144" i="10"/>
  <c r="O144" i="10"/>
  <c r="P144" i="10"/>
  <c r="R144" i="10"/>
  <c r="S144" i="10"/>
  <c r="T144" i="10"/>
  <c r="N145" i="10"/>
  <c r="O145" i="10"/>
  <c r="P145" i="10"/>
  <c r="R145" i="10"/>
  <c r="S145" i="10"/>
  <c r="T145" i="10"/>
  <c r="R147" i="10"/>
  <c r="S147" i="10"/>
  <c r="T147" i="10"/>
  <c r="N149" i="10"/>
  <c r="O149" i="10"/>
  <c r="P149" i="10"/>
  <c r="R149" i="10"/>
  <c r="S149" i="10"/>
  <c r="T149" i="10"/>
  <c r="R150" i="10"/>
  <c r="S150" i="10"/>
  <c r="T150" i="10"/>
  <c r="N155" i="10"/>
  <c r="R155" i="10"/>
  <c r="S155" i="10"/>
  <c r="T155" i="10"/>
  <c r="N157" i="10"/>
  <c r="R157" i="10"/>
  <c r="N160" i="10"/>
  <c r="O160" i="10"/>
  <c r="P160" i="10"/>
  <c r="R160" i="10"/>
  <c r="S160" i="10"/>
  <c r="T160" i="10"/>
  <c r="N162" i="10"/>
  <c r="O162" i="10"/>
  <c r="P162" i="10"/>
  <c r="R162" i="10"/>
  <c r="S162" i="10"/>
  <c r="T162" i="10"/>
  <c r="N165" i="10"/>
  <c r="O165" i="10"/>
  <c r="P165" i="10"/>
  <c r="R165" i="10"/>
  <c r="S165" i="10"/>
  <c r="T165" i="10"/>
  <c r="O167" i="10"/>
  <c r="P167" i="10"/>
  <c r="S167" i="10"/>
  <c r="T167" i="10"/>
  <c r="N168" i="10"/>
  <c r="O168" i="10"/>
  <c r="P168" i="10"/>
  <c r="R168" i="10"/>
  <c r="S168" i="10"/>
  <c r="T168" i="10"/>
  <c r="R171" i="10"/>
  <c r="S171" i="10"/>
  <c r="T171" i="10"/>
  <c r="O172" i="10"/>
  <c r="P172" i="10"/>
  <c r="R172" i="10"/>
  <c r="S172" i="10"/>
  <c r="T172" i="10"/>
  <c r="O174" i="10"/>
  <c r="P174" i="10"/>
  <c r="R174" i="10"/>
  <c r="S174" i="10"/>
  <c r="T174" i="10"/>
  <c r="R175" i="10"/>
  <c r="S175" i="10"/>
  <c r="T175" i="10"/>
  <c r="R176" i="10"/>
  <c r="S176" i="10"/>
  <c r="T176" i="10"/>
  <c r="O157" i="10" l="1"/>
  <c r="S157" i="10"/>
  <c r="P157" i="10"/>
  <c r="T157" i="10"/>
  <c r="S50" i="10"/>
  <c r="S11" i="10"/>
  <c r="S48" i="10" l="1"/>
  <c r="S43" i="10"/>
  <c r="S76" i="10"/>
  <c r="S44" i="10"/>
  <c r="O44" i="10"/>
  <c r="S45" i="10"/>
  <c r="I150" i="10"/>
  <c r="H10" i="10"/>
  <c r="H9" i="10" s="1"/>
  <c r="G10" i="10"/>
  <c r="G9" i="10" s="1"/>
  <c r="O9" i="10" l="1"/>
  <c r="O10" i="10"/>
  <c r="P9" i="10"/>
  <c r="S10" i="10"/>
  <c r="R136" i="10"/>
  <c r="N136" i="10"/>
  <c r="P10" i="10"/>
  <c r="T10" i="10"/>
  <c r="R46" i="10"/>
  <c r="N46" i="10"/>
  <c r="R167" i="10"/>
  <c r="N167" i="10"/>
  <c r="R110" i="10"/>
  <c r="R127" i="10"/>
  <c r="R20" i="10"/>
  <c r="N134" i="10"/>
  <c r="R134" i="10"/>
  <c r="R159" i="10" l="1"/>
  <c r="N159" i="10"/>
  <c r="E120" i="10"/>
  <c r="I120" i="10"/>
  <c r="N142" i="10" l="1"/>
  <c r="R142" i="10"/>
  <c r="N118" i="10"/>
  <c r="R118" i="10"/>
  <c r="P159" i="10"/>
  <c r="T159" i="10"/>
  <c r="O159" i="10"/>
  <c r="S159" i="10"/>
  <c r="M120" i="10"/>
  <c r="Q120" i="10"/>
  <c r="S68" i="10"/>
  <c r="L117" i="10"/>
  <c r="T118" i="10"/>
  <c r="P69" i="10"/>
  <c r="T69" i="10"/>
  <c r="K117" i="10"/>
  <c r="S118" i="10"/>
  <c r="N68" i="10"/>
  <c r="R68" i="10"/>
  <c r="P68" i="10" l="1"/>
  <c r="T68" i="10"/>
  <c r="T18" i="10"/>
  <c r="P33" i="10" l="1"/>
  <c r="T33" i="10"/>
  <c r="T19" i="10"/>
  <c r="F10" i="10"/>
  <c r="F9" i="10" s="1"/>
  <c r="E10" i="10" l="1"/>
  <c r="T142" i="10" l="1"/>
  <c r="S142" i="10"/>
  <c r="I36" i="10"/>
  <c r="E36" i="10"/>
  <c r="M36" i="10" l="1"/>
  <c r="Q36" i="10"/>
  <c r="T40" i="10" l="1"/>
  <c r="S40" i="10"/>
  <c r="R40" i="10" l="1"/>
  <c r="N40" i="10"/>
  <c r="I168" i="10"/>
  <c r="E168" i="10"/>
  <c r="I155" i="10"/>
  <c r="E155" i="10"/>
  <c r="M155" i="10" l="1"/>
  <c r="Q155" i="10"/>
  <c r="M168" i="10"/>
  <c r="Q168" i="10"/>
  <c r="E66" i="10"/>
  <c r="Q66" i="10" s="1"/>
  <c r="E24" i="10" l="1"/>
  <c r="E25" i="10"/>
  <c r="E31" i="10"/>
  <c r="E23" i="10"/>
  <c r="I73" i="10" l="1"/>
  <c r="I33" i="10" l="1"/>
  <c r="J10" i="10"/>
  <c r="J9" i="10" s="1"/>
  <c r="N10" i="10" l="1"/>
  <c r="R10" i="10"/>
  <c r="E145" i="10" l="1"/>
  <c r="E147" i="10"/>
  <c r="E144" i="10"/>
  <c r="E137" i="10" l="1"/>
  <c r="Q137" i="10" l="1"/>
  <c r="H8" i="10"/>
  <c r="G8" i="10"/>
  <c r="E54" i="10" l="1"/>
  <c r="E150" i="10" l="1"/>
  <c r="I149" i="10"/>
  <c r="E149" i="10"/>
  <c r="I147" i="10"/>
  <c r="I133" i="10"/>
  <c r="E133" i="10"/>
  <c r="I125" i="10"/>
  <c r="E125" i="10"/>
  <c r="Q147" i="10" l="1"/>
  <c r="M147" i="10"/>
  <c r="Q150" i="10"/>
  <c r="M150" i="10"/>
  <c r="Q125" i="10"/>
  <c r="Q133" i="10"/>
  <c r="M133" i="10"/>
  <c r="M149" i="10"/>
  <c r="Q149" i="10"/>
  <c r="I49" i="10"/>
  <c r="E49" i="10"/>
  <c r="I34" i="10"/>
  <c r="E34" i="10"/>
  <c r="I15" i="10"/>
  <c r="M49" i="10" l="1"/>
  <c r="Q34" i="10"/>
  <c r="Q49" i="10"/>
  <c r="E16" i="10" l="1"/>
  <c r="I14" i="10" l="1"/>
  <c r="I165" i="10"/>
  <c r="E165" i="10"/>
  <c r="I145" i="10"/>
  <c r="M145" i="10" l="1"/>
  <c r="Q145" i="10"/>
  <c r="M165" i="10"/>
  <c r="Q165" i="10"/>
  <c r="I31" i="10"/>
  <c r="M31" i="10" s="1"/>
  <c r="I13" i="10"/>
  <c r="I12" i="10"/>
  <c r="M12" i="10" s="1"/>
  <c r="I11" i="10"/>
  <c r="M11" i="10" s="1"/>
  <c r="I16" i="10"/>
  <c r="N9" i="10" l="1"/>
  <c r="R22" i="10"/>
  <c r="Q31" i="10"/>
  <c r="Q16" i="10"/>
  <c r="M16" i="10"/>
  <c r="I10" i="10"/>
  <c r="M10" i="10" s="1"/>
  <c r="J117" i="10"/>
  <c r="I123" i="10"/>
  <c r="E123" i="10"/>
  <c r="I109" i="10"/>
  <c r="E109" i="10"/>
  <c r="M123" i="10" l="1"/>
  <c r="Q109" i="10"/>
  <c r="Q123" i="10"/>
  <c r="Q10" i="10"/>
  <c r="R9" i="10" l="1"/>
  <c r="G158" i="10"/>
  <c r="H158" i="10"/>
  <c r="I41" i="10" l="1"/>
  <c r="I114" i="10" l="1"/>
  <c r="I111" i="10"/>
  <c r="I112" i="10"/>
  <c r="I108" i="10"/>
  <c r="I54" i="10"/>
  <c r="P170" i="10" l="1"/>
  <c r="O170" i="10"/>
  <c r="T170" i="10"/>
  <c r="R170" i="10"/>
  <c r="S170" i="10"/>
  <c r="Q54" i="10"/>
  <c r="M54" i="10"/>
  <c r="I110" i="10"/>
  <c r="I40" i="10"/>
  <c r="K39" i="10"/>
  <c r="O39" i="10" s="1"/>
  <c r="S39" i="10" l="1"/>
  <c r="I39" i="10"/>
  <c r="J39" i="10"/>
  <c r="O22" i="10" l="1"/>
  <c r="S22" i="10"/>
  <c r="T22" i="10"/>
  <c r="P22" i="10"/>
  <c r="I9" i="10"/>
  <c r="I22" i="10"/>
  <c r="T9" i="10" l="1"/>
  <c r="S9" i="10"/>
  <c r="I162" i="10"/>
  <c r="E162" i="10"/>
  <c r="E157" i="10"/>
  <c r="Q162" i="10" l="1"/>
  <c r="M162" i="10"/>
  <c r="I157" i="10"/>
  <c r="E136" i="10"/>
  <c r="E134" i="10"/>
  <c r="I19" i="10"/>
  <c r="E19" i="10"/>
  <c r="E20" i="10"/>
  <c r="M19" i="10" l="1"/>
  <c r="Q19" i="10"/>
  <c r="M157" i="10"/>
  <c r="Q157" i="10"/>
  <c r="I136" i="10"/>
  <c r="I134" i="10"/>
  <c r="I20" i="10"/>
  <c r="I159" i="10"/>
  <c r="M134" i="10" l="1"/>
  <c r="Q134" i="10"/>
  <c r="Q136" i="10"/>
  <c r="M136" i="10"/>
  <c r="Q20" i="10"/>
  <c r="E57" i="10" l="1"/>
  <c r="H141" i="10" l="1"/>
  <c r="G141" i="10" l="1"/>
  <c r="I35" i="10" l="1"/>
  <c r="E35" i="10"/>
  <c r="Q35" i="10" l="1"/>
  <c r="I121" i="10"/>
  <c r="E121" i="10"/>
  <c r="Q121" i="10" l="1"/>
  <c r="M121" i="10"/>
  <c r="E160" i="10"/>
  <c r="E167" i="10" l="1"/>
  <c r="E126" i="10" l="1"/>
  <c r="I42" i="10" l="1"/>
  <c r="E42" i="10"/>
  <c r="M42" i="10" l="1"/>
  <c r="Q42" i="10"/>
  <c r="I175" i="10"/>
  <c r="E175" i="10"/>
  <c r="Q175" i="10" l="1"/>
  <c r="E45" i="10"/>
  <c r="I57" i="10" l="1"/>
  <c r="M57" i="10" l="1"/>
  <c r="Q57" i="10"/>
  <c r="E18" i="10"/>
  <c r="E17" i="10"/>
  <c r="E15" i="10"/>
  <c r="I18" i="10"/>
  <c r="I17" i="10"/>
  <c r="Q17" i="10" l="1"/>
  <c r="M17" i="10"/>
  <c r="M18" i="10"/>
  <c r="Q18" i="10"/>
  <c r="M15" i="10"/>
  <c r="Q15" i="10"/>
  <c r="I52" i="10"/>
  <c r="I51" i="10"/>
  <c r="I47" i="10"/>
  <c r="I46" i="10"/>
  <c r="E176" i="10"/>
  <c r="E47" i="10"/>
  <c r="E46" i="10"/>
  <c r="E52" i="10"/>
  <c r="E51" i="10"/>
  <c r="I45" i="10"/>
  <c r="I44" i="10"/>
  <c r="I176" i="10"/>
  <c r="M176" i="10" s="1"/>
  <c r="Q46" i="10" l="1"/>
  <c r="M46" i="10"/>
  <c r="M52" i="10"/>
  <c r="Q52" i="10"/>
  <c r="M47" i="10"/>
  <c r="Q47" i="10"/>
  <c r="Q176" i="10"/>
  <c r="M45" i="10"/>
  <c r="Q45" i="10"/>
  <c r="Q51" i="10"/>
  <c r="M51" i="10"/>
  <c r="I170" i="10"/>
  <c r="I118" i="10"/>
  <c r="I142" i="10"/>
  <c r="E44" i="10"/>
  <c r="M44" i="10" s="1"/>
  <c r="Q44" i="10" l="1"/>
  <c r="E33" i="10"/>
  <c r="M33" i="10" s="1"/>
  <c r="E174" i="10"/>
  <c r="H169" i="10"/>
  <c r="G169" i="10"/>
  <c r="F169" i="10"/>
  <c r="E130" i="10"/>
  <c r="E119" i="10"/>
  <c r="E114" i="10"/>
  <c r="E112" i="10"/>
  <c r="E111" i="10"/>
  <c r="M111" i="10" s="1"/>
  <c r="E110" i="10"/>
  <c r="M110" i="10" s="1"/>
  <c r="E108" i="10"/>
  <c r="M108" i="10" s="1"/>
  <c r="E81" i="10"/>
  <c r="E80" i="10"/>
  <c r="E79" i="10"/>
  <c r="E78" i="10"/>
  <c r="E76" i="10"/>
  <c r="E75" i="10"/>
  <c r="E74" i="10"/>
  <c r="E73" i="10"/>
  <c r="E72" i="10"/>
  <c r="E71" i="10"/>
  <c r="E70" i="10"/>
  <c r="E69" i="10"/>
  <c r="H67" i="10"/>
  <c r="G67" i="10"/>
  <c r="E64" i="10"/>
  <c r="E63" i="10"/>
  <c r="E50" i="10"/>
  <c r="E48" i="10"/>
  <c r="E41" i="10"/>
  <c r="F39" i="10"/>
  <c r="E21" i="10"/>
  <c r="Q33" i="10" l="1"/>
  <c r="Q110" i="10"/>
  <c r="Q108" i="10"/>
  <c r="M14" i="10"/>
  <c r="Q14" i="10"/>
  <c r="M41" i="10"/>
  <c r="Q41" i="10"/>
  <c r="Q13" i="10"/>
  <c r="M13" i="10"/>
  <c r="M114" i="10"/>
  <c r="Q114" i="10"/>
  <c r="Q12" i="10"/>
  <c r="Q111" i="10"/>
  <c r="Q112" i="10"/>
  <c r="N39" i="10"/>
  <c r="R39" i="10"/>
  <c r="M73" i="10"/>
  <c r="Q73" i="10"/>
  <c r="H117" i="10"/>
  <c r="G117" i="10"/>
  <c r="F117" i="10"/>
  <c r="E68" i="10"/>
  <c r="E43" i="10"/>
  <c r="E127" i="10"/>
  <c r="E22" i="10"/>
  <c r="F141" i="10"/>
  <c r="F158" i="10"/>
  <c r="E170" i="10"/>
  <c r="Q11" i="10" l="1"/>
  <c r="Q22" i="10"/>
  <c r="M68" i="10"/>
  <c r="Q68" i="10"/>
  <c r="N117" i="10"/>
  <c r="R117" i="10"/>
  <c r="S117" i="10"/>
  <c r="Q170" i="10"/>
  <c r="T117" i="10"/>
  <c r="H177" i="10"/>
  <c r="G177" i="10"/>
  <c r="E67" i="10"/>
  <c r="E169" i="10"/>
  <c r="E142" i="10"/>
  <c r="E40" i="10"/>
  <c r="F67" i="10"/>
  <c r="E118" i="10"/>
  <c r="E159" i="10"/>
  <c r="E9" i="10"/>
  <c r="F8" i="10"/>
  <c r="F177" i="10" s="1"/>
  <c r="Q142" i="10" l="1"/>
  <c r="Q40" i="10"/>
  <c r="M40" i="10"/>
  <c r="Q159" i="10"/>
  <c r="M159" i="10"/>
  <c r="Q118" i="10"/>
  <c r="M118" i="10"/>
  <c r="E8" i="10"/>
  <c r="M9" i="10"/>
  <c r="E177" i="10"/>
  <c r="E158" i="10"/>
  <c r="E39" i="10"/>
  <c r="E141" i="10"/>
  <c r="E117" i="10"/>
  <c r="M39" i="10" l="1"/>
  <c r="Q39" i="10"/>
  <c r="I21" i="10"/>
  <c r="I23" i="10"/>
  <c r="M23" i="10" s="1"/>
  <c r="I24" i="10"/>
  <c r="I25" i="10"/>
  <c r="I43" i="10"/>
  <c r="I48" i="10"/>
  <c r="I50" i="10"/>
  <c r="I69" i="10"/>
  <c r="I70" i="10"/>
  <c r="I71" i="10"/>
  <c r="M71" i="10" s="1"/>
  <c r="I72" i="10"/>
  <c r="I74" i="10"/>
  <c r="I75" i="10"/>
  <c r="M75" i="10" s="1"/>
  <c r="I76" i="10"/>
  <c r="I78" i="10"/>
  <c r="I79" i="10"/>
  <c r="I80" i="10"/>
  <c r="I81" i="10"/>
  <c r="I119" i="10"/>
  <c r="I126" i="10"/>
  <c r="I127" i="10"/>
  <c r="I130" i="10"/>
  <c r="I144" i="10"/>
  <c r="I160" i="10"/>
  <c r="I167" i="10"/>
  <c r="I171" i="10"/>
  <c r="M171" i="10" s="1"/>
  <c r="I172" i="10"/>
  <c r="I174" i="10"/>
  <c r="Q160" i="10" l="1"/>
  <c r="M160" i="10"/>
  <c r="M130" i="10"/>
  <c r="Q130" i="10"/>
  <c r="M64" i="10"/>
  <c r="Q64" i="10"/>
  <c r="M80" i="10"/>
  <c r="Q80" i="10"/>
  <c r="Q78" i="10"/>
  <c r="M78" i="10"/>
  <c r="Q69" i="10"/>
  <c r="M69" i="10"/>
  <c r="Q81" i="10"/>
  <c r="M81" i="10"/>
  <c r="M50" i="10"/>
  <c r="Q50" i="10"/>
  <c r="Q43" i="10"/>
  <c r="M43" i="10"/>
  <c r="Q23" i="10"/>
  <c r="Q167" i="10"/>
  <c r="M167" i="10"/>
  <c r="M63" i="10"/>
  <c r="Q63" i="10"/>
  <c r="M79" i="10"/>
  <c r="Q79" i="10"/>
  <c r="M76" i="10"/>
  <c r="Q76" i="10"/>
  <c r="Q24" i="10"/>
  <c r="Q127" i="10"/>
  <c r="Q126" i="10"/>
  <c r="Q25" i="10"/>
  <c r="M74" i="10"/>
  <c r="Q74" i="10"/>
  <c r="Q174" i="10"/>
  <c r="Q172" i="10"/>
  <c r="M144" i="10"/>
  <c r="Q144" i="10"/>
  <c r="M48" i="10"/>
  <c r="Q48" i="10"/>
  <c r="M119" i="10"/>
  <c r="Q119" i="10"/>
  <c r="Q75" i="10"/>
  <c r="Q72" i="10"/>
  <c r="M72" i="10"/>
  <c r="Q21" i="10"/>
  <c r="M21" i="10"/>
  <c r="Q71" i="10"/>
  <c r="Q171" i="10"/>
  <c r="M70" i="10"/>
  <c r="Q70" i="10"/>
  <c r="K8" i="10"/>
  <c r="O8" i="10" s="1"/>
  <c r="J141" i="10"/>
  <c r="J169" i="10"/>
  <c r="K169" i="10"/>
  <c r="L169" i="10"/>
  <c r="K158" i="10"/>
  <c r="L158" i="10"/>
  <c r="L141" i="10"/>
  <c r="L67" i="10"/>
  <c r="L39" i="10"/>
  <c r="K67" i="10"/>
  <c r="J158" i="10"/>
  <c r="K141" i="10"/>
  <c r="J67" i="10"/>
  <c r="T39" i="10" l="1"/>
  <c r="T169" i="10"/>
  <c r="P169" i="10"/>
  <c r="S169" i="10"/>
  <c r="O169" i="10"/>
  <c r="O158" i="10"/>
  <c r="S158" i="10"/>
  <c r="R67" i="10"/>
  <c r="N67" i="10"/>
  <c r="N158" i="10"/>
  <c r="R158" i="10"/>
  <c r="N141" i="10"/>
  <c r="R141" i="10"/>
  <c r="P158" i="10"/>
  <c r="T158" i="10"/>
  <c r="S67" i="10"/>
  <c r="S141" i="10"/>
  <c r="R169" i="10"/>
  <c r="T67" i="10"/>
  <c r="P67" i="10"/>
  <c r="T141" i="10"/>
  <c r="Q9" i="10"/>
  <c r="K177" i="10"/>
  <c r="I169" i="10"/>
  <c r="I158" i="10"/>
  <c r="I141" i="10"/>
  <c r="I117" i="10"/>
  <c r="L8" i="10"/>
  <c r="P8" i="10" s="1"/>
  <c r="I67" i="10"/>
  <c r="J8" i="10"/>
  <c r="M67" i="10" l="1"/>
  <c r="Q67" i="10"/>
  <c r="O177" i="10"/>
  <c r="S177" i="10"/>
  <c r="M117" i="10"/>
  <c r="Q117" i="10"/>
  <c r="Q141" i="10"/>
  <c r="M158" i="10"/>
  <c r="Q158" i="10"/>
  <c r="Q169" i="10"/>
  <c r="J177" i="10"/>
  <c r="N8" i="10"/>
  <c r="L177" i="10"/>
  <c r="I8" i="10"/>
  <c r="T8" i="10"/>
  <c r="S8" i="10"/>
  <c r="R8" i="10"/>
  <c r="P177" i="10" l="1"/>
  <c r="T177" i="10"/>
  <c r="N177" i="10"/>
  <c r="R177" i="10"/>
  <c r="Q8" i="10"/>
  <c r="M8" i="10"/>
  <c r="I177" i="10"/>
  <c r="M177" i="10" l="1"/>
  <c r="Q177" i="10"/>
</calcChain>
</file>

<file path=xl/sharedStrings.xml><?xml version="1.0" encoding="utf-8"?>
<sst xmlns="http://schemas.openxmlformats.org/spreadsheetml/2006/main" count="632" uniqueCount="397">
  <si>
    <t>бюджет розвитку</t>
  </si>
  <si>
    <t>РАЗОМ</t>
  </si>
  <si>
    <t>Реверсна дотація</t>
  </si>
  <si>
    <t>0111</t>
  </si>
  <si>
    <t>1090</t>
  </si>
  <si>
    <t>0320</t>
  </si>
  <si>
    <t>0133</t>
  </si>
  <si>
    <t>0620</t>
  </si>
  <si>
    <t>0180</t>
  </si>
  <si>
    <t>1010</t>
  </si>
  <si>
    <t>0910</t>
  </si>
  <si>
    <t>1020</t>
  </si>
  <si>
    <t>0921</t>
  </si>
  <si>
    <t>1030</t>
  </si>
  <si>
    <t>0922</t>
  </si>
  <si>
    <t>0960</t>
  </si>
  <si>
    <t>0990</t>
  </si>
  <si>
    <t>1040</t>
  </si>
  <si>
    <t>0810</t>
  </si>
  <si>
    <t>Утримання та навчально-тренувальна робота комунальних дитячо-юнацьких спортивних шкіл</t>
  </si>
  <si>
    <t>0490</t>
  </si>
  <si>
    <t>1100000</t>
  </si>
  <si>
    <t>1110000</t>
  </si>
  <si>
    <t>5011</t>
  </si>
  <si>
    <t>1115011</t>
  </si>
  <si>
    <t>1500000</t>
  </si>
  <si>
    <t>1510000</t>
  </si>
  <si>
    <t>1060</t>
  </si>
  <si>
    <t>2010</t>
  </si>
  <si>
    <t>0731</t>
  </si>
  <si>
    <t>0722</t>
  </si>
  <si>
    <t>3031</t>
  </si>
  <si>
    <t>1070</t>
  </si>
  <si>
    <t>Надання пільг окремим категоріям громадян з оплати послуг зв'язку</t>
  </si>
  <si>
    <t>3112</t>
  </si>
  <si>
    <t>4060</t>
  </si>
  <si>
    <t>0824</t>
  </si>
  <si>
    <t>0828</t>
  </si>
  <si>
    <t>0829</t>
  </si>
  <si>
    <t>0610</t>
  </si>
  <si>
    <t>6030</t>
  </si>
  <si>
    <t>0456</t>
  </si>
  <si>
    <t>Проведення навчально-тренувальних зборів і змагань з олімпійських видів спорту</t>
  </si>
  <si>
    <t>Заходи державної політики з питань дітей та їх соціального захисту</t>
  </si>
  <si>
    <t>1115012</t>
  </si>
  <si>
    <t>5012</t>
  </si>
  <si>
    <t>Проведення навчально-тренувальних зборів і змагань з неолімпійських видів спорту</t>
  </si>
  <si>
    <t>5031</t>
  </si>
  <si>
    <t>Інші заходи та заклади молодіжної політики</t>
  </si>
  <si>
    <t>1115061</t>
  </si>
  <si>
    <t>5061</t>
  </si>
  <si>
    <t>Забезпечення діяльності місцевих центрів фізичного здоров я населення "Спорт для всіх" та проведення фізкультурно-масових заходів серед населення регіону</t>
  </si>
  <si>
    <t>0150</t>
  </si>
  <si>
    <t xml:space="preserve">Організаційне, інформатично-аналітичне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</t>
  </si>
  <si>
    <t>2100</t>
  </si>
  <si>
    <t>Організація благоустрою  населених пунктів</t>
  </si>
  <si>
    <t>0600000</t>
  </si>
  <si>
    <t>0610000</t>
  </si>
  <si>
    <t>0160</t>
  </si>
  <si>
    <t>0610160</t>
  </si>
  <si>
    <t>0611010</t>
  </si>
  <si>
    <t>Надання дошкільної освіти</t>
  </si>
  <si>
    <t>0611070</t>
  </si>
  <si>
    <t>0200000</t>
  </si>
  <si>
    <t>0210000</t>
  </si>
  <si>
    <t>0210150</t>
  </si>
  <si>
    <t>0212010</t>
  </si>
  <si>
    <t>0212100</t>
  </si>
  <si>
    <t>0216030</t>
  </si>
  <si>
    <t>0615031</t>
  </si>
  <si>
    <t>0800000</t>
  </si>
  <si>
    <t>0810000</t>
  </si>
  <si>
    <t>0810160</t>
  </si>
  <si>
    <t>3121</t>
  </si>
  <si>
    <t>0813121</t>
  </si>
  <si>
    <t>Утримання та забезпечення діяльності центрів соціальних служб для сім'ї, дітей та молоді</t>
  </si>
  <si>
    <t>1000000</t>
  </si>
  <si>
    <t>1010000</t>
  </si>
  <si>
    <t>1010160</t>
  </si>
  <si>
    <t>4030</t>
  </si>
  <si>
    <t>1014030</t>
  </si>
  <si>
    <t>Забезпечення діяльності бібліотек</t>
  </si>
  <si>
    <t>4040</t>
  </si>
  <si>
    <t>1014040</t>
  </si>
  <si>
    <t>Забезпечення діяльності музеїв і виставок</t>
  </si>
  <si>
    <t>1014060</t>
  </si>
  <si>
    <t>Забезпечення діяльності палаців і будинків культури, клубів, центрів дозвілля та інших клубних закладів</t>
  </si>
  <si>
    <t>1110160</t>
  </si>
  <si>
    <t>3133</t>
  </si>
  <si>
    <t>1113133</t>
  </si>
  <si>
    <t>1200000</t>
  </si>
  <si>
    <t>1210000</t>
  </si>
  <si>
    <t>1210160</t>
  </si>
  <si>
    <t>1216030</t>
  </si>
  <si>
    <t>1510160</t>
  </si>
  <si>
    <t>3100000</t>
  </si>
  <si>
    <t>3110000</t>
  </si>
  <si>
    <t>3110160</t>
  </si>
  <si>
    <t>3700000</t>
  </si>
  <si>
    <t>3710000</t>
  </si>
  <si>
    <t>3710160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</si>
  <si>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</si>
  <si>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</si>
  <si>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Експлуатація та технічне обслуговування житлового фонду</t>
  </si>
  <si>
    <t>6013</t>
  </si>
  <si>
    <t>Забезпечення діяльності водопровідно-каналізаційного господарства</t>
  </si>
  <si>
    <t>Інша діяльність у сфері державного управління</t>
  </si>
  <si>
    <t>3710180</t>
  </si>
  <si>
    <t>9110</t>
  </si>
  <si>
    <t>3719110</t>
  </si>
  <si>
    <t>Надання інших пільг окремим категоріям громадян відповідно до законодавства</t>
  </si>
  <si>
    <t>0813031</t>
  </si>
  <si>
    <t>0813032</t>
  </si>
  <si>
    <t>3032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</si>
  <si>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</si>
  <si>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</si>
  <si>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</si>
  <si>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</si>
  <si>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</si>
  <si>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 xml:space="preserve">Інша діяльність у сфері державного управління </t>
  </si>
  <si>
    <t>3104</t>
  </si>
  <si>
    <t>0813104</t>
  </si>
  <si>
    <t>1217461</t>
  </si>
  <si>
    <t>0763</t>
  </si>
  <si>
    <t>1014082</t>
  </si>
  <si>
    <t>4082</t>
  </si>
  <si>
    <t>4081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</si>
  <si>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</si>
  <si>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</si>
  <si>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7693</t>
  </si>
  <si>
    <t>Інші заходи, пов'язані з економічною діяльністю</t>
  </si>
  <si>
    <t>Заходи із запобігання та ліквідації надзвичайних ситуацій та наслідків стихійного лиха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</si>
  <si>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</si>
  <si>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0813160</t>
  </si>
  <si>
    <t>3160</t>
  </si>
  <si>
    <t>Надання соціальних гарантій  фізичним особам, які надають соціальні послуги громадянам похилого віку,  особам з інвалідністю,  дітям з інвалідністю,  хворим, які не здатні до самообслуговування і потребують сторонньої допомоги</t>
  </si>
  <si>
    <t>0813180</t>
  </si>
  <si>
    <t>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</si>
  <si>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 </t>
  </si>
  <si>
    <t>0813192</t>
  </si>
  <si>
    <t>3192</t>
  </si>
  <si>
    <t>Надання фінансової підтримки громадським організаціям ветеранів і осіб з інвалідністю,   діяльність яких має соціальну спрямованість</t>
  </si>
  <si>
    <t>3242</t>
  </si>
  <si>
    <t>Інші заходи у сфері соціального захисту і соціального забезпечення</t>
  </si>
  <si>
    <t>0213242</t>
  </si>
  <si>
    <t>0613242</t>
  </si>
  <si>
    <t>0813242</t>
  </si>
  <si>
    <t>1014081</t>
  </si>
  <si>
    <t>Забезпечення діяльності інших закладів у сфері освіти</t>
  </si>
  <si>
    <t>1216017</t>
  </si>
  <si>
    <t>6017</t>
  </si>
  <si>
    <t>Інша діяльність, пов'язана з експлуатацією об'єктів житлово - комунального господарства</t>
  </si>
  <si>
    <t>9800</t>
  </si>
  <si>
    <t>Субвенція з місцевого бюджету державному бюджету на виконання програм соціально - економічного розвитку регіонів</t>
  </si>
  <si>
    <t>3719800</t>
  </si>
  <si>
    <t>Багатопрофільна стаціонарна медична допомога населенню</t>
  </si>
  <si>
    <t>9770</t>
  </si>
  <si>
    <t>Інші субвенції з місцевого бюджету</t>
  </si>
  <si>
    <t>3719770</t>
  </si>
  <si>
    <t>0810180</t>
  </si>
  <si>
    <t>Код Програмної класифікації видатків та кредитування місцевих бюджетів</t>
  </si>
  <si>
    <t>Код 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</si>
  <si>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</si>
  <si>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  головного розпорядника коштів місцевого бюджету/ відповідального виконавця, найменування бюджетної програми/ підпрограми згідно з Типовою програмною класифікацією видатків та кредитування місцевих бюджетів</t>
  </si>
  <si>
    <t>3050</t>
  </si>
  <si>
    <t>Пільгове медичне обслуговування осіб, які постраждали внаслідок Чорнобильської катастрофи</t>
  </si>
  <si>
    <t>0813050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</si>
  <si>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</si>
  <si>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</si>
  <si>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</si>
  <si>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</si>
  <si>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</si>
  <si>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</si>
  <si>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3117693</t>
  </si>
  <si>
    <t>спеціальний фонд</t>
  </si>
  <si>
    <t>загальний  фонд</t>
  </si>
  <si>
    <t xml:space="preserve">з них </t>
  </si>
  <si>
    <t>в тому числ:</t>
  </si>
  <si>
    <t>Темп росту, %</t>
  </si>
  <si>
    <t>Начальник фінансового управління</t>
  </si>
  <si>
    <t>0218210</t>
  </si>
  <si>
    <t>8210</t>
  </si>
  <si>
    <t>Муніципальні формування з охорони громадського порядку</t>
  </si>
  <si>
    <t>2152</t>
  </si>
  <si>
    <t>0611021</t>
  </si>
  <si>
    <t>0611022</t>
  </si>
  <si>
    <t>1021</t>
  </si>
  <si>
    <t>1022</t>
  </si>
  <si>
    <t>Надання спеціальної освіти мистецькими школами</t>
  </si>
  <si>
    <t>1011080</t>
  </si>
  <si>
    <t>1080</t>
  </si>
  <si>
    <t>0611031</t>
  </si>
  <si>
    <t>1031</t>
  </si>
  <si>
    <t>0611032</t>
  </si>
  <si>
    <t>1032</t>
  </si>
  <si>
    <t>0611141</t>
  </si>
  <si>
    <t>1141</t>
  </si>
  <si>
    <t>0611151</t>
  </si>
  <si>
    <t>1151</t>
  </si>
  <si>
    <t xml:space="preserve">Забезпечення діяльності інклюзивно - ресурсних центрів  за  рахунок  коштів  місцевого бюджету </t>
  </si>
  <si>
    <t>0611152</t>
  </si>
  <si>
    <t>1152</t>
  </si>
  <si>
    <t>Забезпечення діяльності інклюзивно - ресурсних центрів  за  рахунок  освітньої  субвенції</t>
  </si>
  <si>
    <t>Виконавчий комітет Чорноморської міської ради Одеського району  Одеської області</t>
  </si>
  <si>
    <t>Виконавчий комітет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</si>
  <si>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</si>
  <si>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Відділ  культури Чорноморської міської ради Одеського району Одеської області</t>
  </si>
  <si>
    <t>Управління капітального будівництва Чорноморської міської ради Одеського району Одеської області</t>
  </si>
  <si>
    <t>Управління комунальної  власності  та земельних відносин Чорноморської  міської ради Одеського району Одеської області</t>
  </si>
  <si>
    <t>Фінансове управління Чорноморської міської ради Одеського району Одеської області</t>
  </si>
  <si>
    <t>Фінансове управління Чорноморської міської ради Одеського району  Одеської області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</si>
  <si>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</si>
  <si>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</si>
  <si>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</si>
  <si>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Ольга ЯКОВЕНКО</t>
  </si>
  <si>
    <t>Відділ комунального господарства та благоустрою Чорноморської  міської ради Одеського району Одеської області</t>
  </si>
  <si>
    <t>0380</t>
  </si>
  <si>
    <t>Стоматологічна допомога населенню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</si>
  <si>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</si>
  <si>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</si>
  <si>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</si>
  <si>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позашкільної освіти закладами позашкільної  освіти, заходи із позашкільної роботи з дітьми</t>
  </si>
  <si>
    <t>0610180</t>
  </si>
  <si>
    <t>1210180</t>
  </si>
  <si>
    <t>0218230</t>
  </si>
  <si>
    <t>8230</t>
  </si>
  <si>
    <t>Інші заходи громадського порядку та безпеки</t>
  </si>
  <si>
    <t>Керівництво і управління у відповідній сфері у містах (місті Києві), селищах, селах, територіальних громадах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</si>
  <si>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</si>
  <si>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</si>
  <si>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</si>
  <si>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</si>
  <si>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Інші програми та заходи у сфері охорони здоров`я</t>
  </si>
  <si>
    <t>Інші заходи, пов`язані з економічною діяльністю</t>
  </si>
  <si>
    <t>Заходи та роботи з територіальної оборони</t>
  </si>
  <si>
    <t>1518110</t>
  </si>
  <si>
    <t>3116017</t>
  </si>
  <si>
    <t>Інша діяльність, пов`язана з експлуатацією об`єктів житлово-комунального господарства</t>
  </si>
  <si>
    <t>8240</t>
  </si>
  <si>
    <t>Відхилення, грн</t>
  </si>
  <si>
    <t>Забезпечення діяльності центрів професійного розвитку педагогічних працівників</t>
  </si>
  <si>
    <t>Надання  загальної  середньої  освіти  закладами  загальної  середньої  освіти за  рахунок коштів  місцевого  бюджету</t>
  </si>
  <si>
    <t>Надання  загальної  середньої  освіти  спеціальними  закладами  загальної  середньої  освіти  для  дітей,  які  потребують  корекції  фізичного  та/або  розумового  розвитку, за  рахунок  місцевого бюджету</t>
  </si>
  <si>
    <t>Надання  загальної  середньої  освіти  закладами  загальної  середньої  освіти за  рахунок  освітньої  субвенції</t>
  </si>
  <si>
    <t>Надання  загальної  середньої  освіти  спеціальними  закладами  загальної  середньої  освіти  для  дітей,  які  потребують  корекції  фізичного  та/або  розумового  розвитку за рахунок  освітньої  субвенції</t>
  </si>
  <si>
    <t>Управління освіти Чорноморської  міської ради Одеського району Одеської області</t>
  </si>
  <si>
    <t>Управління освіти Чорноморської  міської ради  Одеського району Одеської області</t>
  </si>
  <si>
    <t>Відділ молоді та спорту Чорноморської  міської ради  Одеського району Одеської області</t>
  </si>
  <si>
    <t>Відділ молоді та спорту Чорноморської  міської ради Одеського району Одеської області</t>
  </si>
  <si>
    <t>1010180</t>
  </si>
  <si>
    <t>1110180</t>
  </si>
  <si>
    <t>0217680</t>
  </si>
  <si>
    <t>7680</t>
  </si>
  <si>
    <t>Членські внески до асоціацій органів місцевого самоврядування</t>
  </si>
  <si>
    <t>1510180</t>
  </si>
  <si>
    <t>0443</t>
  </si>
  <si>
    <t>Розроблення схем планування та забудови територій (містобудівної документації)</t>
  </si>
  <si>
    <t>7640</t>
  </si>
  <si>
    <t>0470</t>
  </si>
  <si>
    <t>Заходи з енергозбереження</t>
  </si>
  <si>
    <t>0218220</t>
  </si>
  <si>
    <t>Заходи та роботи з мобілізаційної підготовки місцевого значення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</si>
  <si>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</si>
  <si>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</si>
  <si>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</si>
  <si>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</si>
  <si>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0900000</t>
  </si>
  <si>
    <t/>
  </si>
  <si>
    <t>Служба у справах дітей Чорноморської мiської ради Одеського району Одеської областi</t>
  </si>
  <si>
    <t>0910000</t>
  </si>
  <si>
    <t>0910160</t>
  </si>
  <si>
    <t>0913112</t>
  </si>
  <si>
    <t>1216015</t>
  </si>
  <si>
    <t>6015</t>
  </si>
  <si>
    <t>Забезпечення надійної та безперебійної експлуатації ліфтів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</si>
  <si>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</si>
  <si>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1516013</t>
  </si>
  <si>
    <t>1516015</t>
  </si>
  <si>
    <t>0611160</t>
  </si>
  <si>
    <t>Разом</t>
  </si>
  <si>
    <t>усього</t>
  </si>
  <si>
    <t>0618110</t>
  </si>
  <si>
    <t>Реалізація інших заходів щодо соціально-економічного розвитку територій</t>
  </si>
  <si>
    <t>3118240</t>
  </si>
  <si>
    <t>1210170</t>
  </si>
  <si>
    <t>0218240</t>
  </si>
  <si>
    <t>у 5 разів</t>
  </si>
  <si>
    <t>у 4 рази</t>
  </si>
  <si>
    <t>0217640</t>
  </si>
  <si>
    <t>Внески до статутного капіталу суб'єктів господарювання</t>
  </si>
  <si>
    <t>1517368</t>
  </si>
  <si>
    <t>7368</t>
  </si>
  <si>
    <t>Виконання інвестиційних проектів за рахунок субвенцій з інших бюджетів</t>
  </si>
  <si>
    <t>0217520</t>
  </si>
  <si>
    <t>0460</t>
  </si>
  <si>
    <t>Реалізація Національної програми інформатизації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</si>
  <si>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</si>
  <si>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</si>
  <si>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</si>
  <si>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0617520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</si>
  <si>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</si>
  <si>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</si>
  <si>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</si>
  <si>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0817520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</si>
  <si>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</si>
  <si>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</si>
  <si>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0640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</si>
  <si>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</si>
  <si>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</si>
  <si>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</si>
  <si>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0917520</t>
  </si>
  <si>
    <t>7520</t>
  </si>
  <si>
    <t>1117520</t>
  </si>
  <si>
    <t>1517520</t>
  </si>
  <si>
    <t>3116090</t>
  </si>
  <si>
    <t>Інша діяльність у сфері житлово-комунального господарства</t>
  </si>
  <si>
    <t>3117520</t>
  </si>
  <si>
    <t>3717520</t>
  </si>
  <si>
    <t>0217350</t>
  </si>
  <si>
    <t>0218340</t>
  </si>
  <si>
    <t>0540</t>
  </si>
  <si>
    <t>Природоохоронні заходи за рахунок цільових фондів</t>
  </si>
  <si>
    <t>0218775</t>
  </si>
  <si>
    <t>Інші заходи за рахунок коштів резервного фонду місцевого бюджету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</si>
  <si>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</si>
  <si>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</si>
  <si>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</si>
  <si>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</si>
  <si>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</si>
  <si>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</si>
  <si>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0611154</t>
  </si>
  <si>
    <t>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 бюджетних періодах)</t>
  </si>
  <si>
    <t>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</si>
  <si>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</si>
  <si>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1115049</t>
  </si>
  <si>
    <t>5049</t>
  </si>
  <si>
    <t>Виконання окремих заходів з реалізації соціального проекту "Активні парки - локації здорової України"</t>
  </si>
  <si>
    <t>1213210</t>
  </si>
  <si>
    <t>33210</t>
  </si>
  <si>
    <t>1050</t>
  </si>
  <si>
    <t>Організація та проведення громадських робіт</t>
  </si>
  <si>
    <t>Будівництво об'єктів житлово-комунального господарства</t>
  </si>
  <si>
    <t>3110180</t>
  </si>
  <si>
    <t>0218110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</si>
  <si>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</t>
  </si>
  <si>
    <t>1217520</t>
  </si>
  <si>
    <t>1218733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</si>
  <si>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</si>
  <si>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t>3117130</t>
  </si>
  <si>
    <t>7130</t>
  </si>
  <si>
    <t>0421</t>
  </si>
  <si>
    <t>Здійснення заходів із землеустрою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</si>
  <si>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</si>
  <si>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</si>
  <si>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</si>
  <si>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</si>
  <si>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</si>
  <si>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</si>
  <si>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</si>
  <si>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1300</t>
  </si>
  <si>
    <t>Будівництво освітніх установ та закладів</t>
  </si>
  <si>
    <t>2171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</si>
  <si>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</si>
  <si>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6091</t>
  </si>
  <si>
    <t>у 2 рази</t>
  </si>
  <si>
    <t>Виконано за  9  місяців   2024  року, грн</t>
  </si>
  <si>
    <t>Виконано за  9  місяців  2025  року, грн</t>
  </si>
  <si>
    <t>0217130</t>
  </si>
  <si>
    <t>Показники  бюджету Чорноморської міської територіальної громади за видатками  за  9  місяців  2025 року  порівняно з аналогічними показниками за   відповідний  період  попереднього  бюджетного  періоду   із зазначенням динаміки їх зміни</t>
  </si>
  <si>
    <t>0813123</t>
  </si>
  <si>
    <t>3123</t>
  </si>
  <si>
    <t>Заходи державної політики з питань сім`ї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</si>
  <si>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</si>
  <si>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1516050</t>
  </si>
  <si>
    <t>Попередження аварій та запобігання техногенним катастрофам у житлово-комунальному господарстві та на інших аварійних об'єктах комунальної власності</t>
  </si>
  <si>
    <t>Будівництво 1 освітніх установ та закладів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</si>
  <si>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</si>
  <si>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</si>
  <si>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>Підтримка спорту вищих досягнень та організацій, які здійснюють фізкультурно-спортивну діяльність в регіоні</t>
  </si>
  <si>
    <t>0217330</t>
  </si>
  <si>
    <t>7330</t>
  </si>
  <si>
    <t>Будівництво інших об'єктів комунальної власності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</si>
  <si>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</si>
  <si>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</si>
  <si>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</si>
  <si>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</si>
  <si>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</si>
  <si>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у 9 разів</t>
  </si>
  <si>
    <t>у 3 рази</t>
  </si>
  <si>
    <t>у 17 разів</t>
  </si>
  <si>
    <t>у 21  раз</t>
  </si>
  <si>
    <t>у 7 разів</t>
  </si>
  <si>
    <t>0813221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</si>
  <si>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</si>
  <si>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</si>
  <si>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</si>
  <si>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у 5 різів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</si>
</sst>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0.0%"/>
  </numFmts>
  <fonts count="41">
    <font>
      <sz val="11"/>
      <color theme="1"/>
      <name val="Calibri"/>
      <family val="2"/>
      <charset val="204"/>
      <scheme val="minor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4"/>
      <color rgb="FF333333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1">
    <xf numFmtId="0" fontId="0" fillId="0" borderId="0"/>
    <xf numFmtId="0" fontId="28" fillId="0" borderId="0"/>
    <xf numFmtId="0" fontId="27" fillId="0" borderId="0"/>
    <xf numFmtId="0" fontId="27" fillId="0" borderId="0"/>
    <xf numFmtId="0" fontId="35" fillId="0" borderId="0"/>
    <xf numFmtId="0" fontId="34" fillId="0" borderId="0"/>
    <xf numFmtId="0" fontId="26" fillId="0" borderId="0"/>
    <xf numFmtId="0" fontId="25" fillId="0" borderId="0"/>
    <xf numFmtId="0" fontId="27" fillId="0" borderId="0"/>
    <xf numFmtId="0" fontId="37" fillId="3" borderId="0" applyNumberFormat="0" applyBorder="0" applyAlignment="0" applyProtection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38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8">
    <xf numFmtId="0" fontId="0" fillId="0" borderId="0" xfId="0"/>
    <xf numFmtId="0" fontId="29" fillId="2" borderId="0" xfId="0" applyFont="1" applyFill="1"/>
    <xf numFmtId="49" fontId="29" fillId="2" borderId="0" xfId="0" applyNumberFormat="1" applyFont="1" applyFill="1"/>
    <xf numFmtId="4" fontId="29" fillId="2" borderId="0" xfId="0" applyNumberFormat="1" applyFont="1" applyFill="1"/>
    <xf numFmtId="49" fontId="29" fillId="2" borderId="0" xfId="0" applyNumberFormat="1" applyFont="1" applyFill="1" applyAlignment="1">
      <alignment horizontal="center"/>
    </xf>
    <xf numFmtId="0" fontId="30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5" fontId="29" fillId="2" borderId="0" xfId="0" applyNumberFormat="1" applyFont="1" applyFill="1"/>
    <xf numFmtId="3" fontId="29" fillId="2" borderId="0" xfId="0" applyNumberFormat="1" applyFont="1" applyFill="1"/>
    <xf numFmtId="0" fontId="29" fillId="2" borderId="0" xfId="0" applyFont="1" applyFill="1" applyAlignment="1">
      <alignment vertical="center"/>
    </xf>
    <xf numFmtId="0" fontId="32" fillId="2" borderId="1" xfId="12" quotePrefix="1" applyFont="1" applyFill="1" applyBorder="1" applyAlignment="1">
      <alignment horizontal="left" vertical="center" wrapText="1"/>
    </xf>
    <xf numFmtId="49" fontId="32" fillId="2" borderId="1" xfId="12" applyNumberFormat="1" applyFont="1" applyFill="1" applyBorder="1" applyAlignment="1">
      <alignment horizontal="center" vertical="center" wrapText="1"/>
    </xf>
    <xf numFmtId="0" fontId="32" fillId="2" borderId="1" xfId="12" applyFont="1" applyFill="1" applyBorder="1" applyAlignment="1">
      <alignment horizontal="center" vertical="center" wrapText="1"/>
    </xf>
    <xf numFmtId="0" fontId="32" fillId="2" borderId="1" xfId="13" applyFont="1" applyFill="1" applyBorder="1" applyAlignment="1">
      <alignment horizontal="center" vertical="center" wrapText="1"/>
    </xf>
    <xf numFmtId="3" fontId="30" fillId="2" borderId="1" xfId="2" applyNumberFormat="1" applyFont="1" applyFill="1" applyBorder="1" applyAlignment="1">
      <alignment horizontal="center" vertical="center" wrapText="1"/>
    </xf>
    <xf numFmtId="166" fontId="30" fillId="2" borderId="1" xfId="2" applyNumberFormat="1" applyFont="1" applyFill="1" applyBorder="1" applyAlignment="1">
      <alignment horizontal="center" vertical="center"/>
    </xf>
    <xf numFmtId="3" fontId="30" fillId="2" borderId="1" xfId="0" applyNumberFormat="1" applyFont="1" applyFill="1" applyBorder="1" applyAlignment="1">
      <alignment horizontal="center" vertical="center"/>
    </xf>
    <xf numFmtId="3" fontId="30" fillId="2" borderId="1" xfId="2" applyNumberFormat="1" applyFont="1" applyFill="1" applyBorder="1" applyAlignment="1">
      <alignment horizontal="center" vertical="center"/>
    </xf>
    <xf numFmtId="3" fontId="29" fillId="2" borderId="1" xfId="2" applyNumberFormat="1" applyFont="1" applyFill="1" applyBorder="1" applyAlignment="1">
      <alignment horizontal="center" vertical="center"/>
    </xf>
    <xf numFmtId="166" fontId="29" fillId="2" borderId="1" xfId="2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/>
    </xf>
    <xf numFmtId="3" fontId="31" fillId="2" borderId="1" xfId="2" applyNumberFormat="1" applyFont="1" applyFill="1" applyBorder="1" applyAlignment="1">
      <alignment horizontal="center" vertical="center"/>
    </xf>
    <xf numFmtId="166" fontId="31" fillId="2" borderId="1" xfId="2" applyNumberFormat="1" applyFont="1" applyFill="1" applyBorder="1" applyAlignment="1">
      <alignment horizontal="center" vertical="center"/>
    </xf>
    <xf numFmtId="3" fontId="31" fillId="2" borderId="1" xfId="0" applyNumberFormat="1" applyFont="1" applyFill="1" applyBorder="1" applyAlignment="1">
      <alignment horizontal="center" vertical="center"/>
    </xf>
    <xf numFmtId="49" fontId="32" fillId="2" borderId="1" xfId="18" applyNumberFormat="1" applyFont="1" applyFill="1" applyBorder="1" applyAlignment="1">
      <alignment horizontal="center" vertical="center" wrapText="1"/>
    </xf>
    <xf numFmtId="0" fontId="32" fillId="2" borderId="1" xfId="18" applyFont="1" applyFill="1" applyBorder="1" applyAlignment="1">
      <alignment horizontal="center" vertical="center" wrapText="1"/>
    </xf>
    <xf numFmtId="49" fontId="32" fillId="2" borderId="1" xfId="22" applyNumberFormat="1" applyFont="1" applyFill="1" applyBorder="1" applyAlignment="1">
      <alignment horizontal="center" vertical="center" wrapText="1"/>
    </xf>
    <xf numFmtId="0" fontId="32" fillId="2" borderId="1" xfId="22" applyFont="1" applyFill="1" applyBorder="1" applyAlignment="1">
      <alignment horizontal="center" vertical="center" wrapText="1"/>
    </xf>
    <xf numFmtId="49" fontId="29" fillId="2" borderId="1" xfId="18" applyNumberFormat="1" applyFont="1" applyFill="1" applyBorder="1" applyAlignment="1">
      <alignment horizontal="center" vertical="center"/>
    </xf>
    <xf numFmtId="49" fontId="32" fillId="2" borderId="1" xfId="19" applyNumberFormat="1" applyFont="1" applyFill="1" applyBorder="1" applyAlignment="1">
      <alignment horizontal="center" vertical="center" wrapText="1"/>
    </xf>
    <xf numFmtId="0" fontId="32" fillId="2" borderId="1" xfId="20" applyFont="1" applyFill="1" applyBorder="1" applyAlignment="1">
      <alignment horizontal="center" vertical="center" wrapText="1"/>
    </xf>
    <xf numFmtId="49" fontId="32" fillId="2" borderId="1" xfId="20" applyNumberFormat="1" applyFont="1" applyFill="1" applyBorder="1" applyAlignment="1">
      <alignment horizontal="center" vertical="center" wrapText="1"/>
    </xf>
    <xf numFmtId="3" fontId="30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2" fillId="2" borderId="1" xfId="33" quotePrefix="1" applyFont="1" applyFill="1" applyBorder="1" applyAlignment="1">
      <alignment horizontal="left" vertical="center" wrapText="1"/>
    </xf>
    <xf numFmtId="49" fontId="32" fillId="2" borderId="1" xfId="33" applyNumberFormat="1" applyFont="1" applyFill="1" applyBorder="1" applyAlignment="1">
      <alignment horizontal="center" vertical="center" wrapText="1"/>
    </xf>
    <xf numFmtId="0" fontId="32" fillId="2" borderId="1" xfId="33" applyFont="1" applyFill="1" applyBorder="1" applyAlignment="1">
      <alignment horizontal="center" vertical="center" wrapText="1"/>
    </xf>
    <xf numFmtId="0" fontId="32" fillId="2" borderId="1" xfId="31" quotePrefix="1" applyFont="1" applyFill="1" applyBorder="1" applyAlignment="1">
      <alignment horizontal="left" vertical="center" wrapText="1"/>
    </xf>
    <xf numFmtId="49" fontId="32" fillId="2" borderId="1" xfId="31" applyNumberFormat="1" applyFont="1" applyFill="1" applyBorder="1" applyAlignment="1">
      <alignment horizontal="center" vertical="center" wrapText="1"/>
    </xf>
    <xf numFmtId="0" fontId="32" fillId="2" borderId="1" xfId="31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3" fillId="2" borderId="1" xfId="32" applyFont="1" applyFill="1" applyBorder="1" applyAlignment="1">
      <alignment horizontal="left" vertical="center" wrapText="1"/>
    </xf>
    <xf numFmtId="49" fontId="29" fillId="2" borderId="1" xfId="32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32" fillId="2" borderId="1" xfId="40" quotePrefix="1" applyFont="1" applyFill="1" applyBorder="1" applyAlignment="1">
      <alignment horizontal="left" vertical="center" wrapText="1"/>
    </xf>
    <xf numFmtId="49" fontId="32" fillId="2" borderId="1" xfId="40" applyNumberFormat="1" applyFont="1" applyFill="1" applyBorder="1" applyAlignment="1">
      <alignment horizontal="center" vertical="center" wrapText="1"/>
    </xf>
    <xf numFmtId="0" fontId="32" fillId="2" borderId="1" xfId="40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49" fontId="29" fillId="2" borderId="1" xfId="42" applyNumberFormat="1" applyFont="1" applyFill="1" applyBorder="1" applyAlignment="1">
      <alignment horizontal="center" vertical="center"/>
    </xf>
    <xf numFmtId="0" fontId="32" fillId="2" borderId="1" xfId="48" quotePrefix="1" applyFont="1" applyFill="1" applyBorder="1" applyAlignment="1">
      <alignment horizontal="left" vertical="center" wrapText="1"/>
    </xf>
    <xf numFmtId="0" fontId="32" fillId="2" borderId="1" xfId="48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49" fontId="32" fillId="2" borderId="1" xfId="49" applyNumberFormat="1" applyFont="1" applyFill="1" applyBorder="1" applyAlignment="1">
      <alignment horizontal="center" vertical="center" wrapText="1"/>
    </xf>
    <xf numFmtId="49" fontId="32" fillId="2" borderId="1" xfId="28" applyNumberFormat="1" applyFont="1" applyFill="1" applyBorder="1" applyAlignment="1">
      <alignment horizontal="center" vertical="center" wrapText="1"/>
    </xf>
    <xf numFmtId="0" fontId="32" fillId="2" borderId="1" xfId="49" applyFont="1" applyFill="1" applyBorder="1" applyAlignment="1">
      <alignment horizontal="center" vertical="center" wrapText="1"/>
    </xf>
    <xf numFmtId="0" fontId="32" fillId="2" borderId="1" xfId="28" applyFont="1" applyFill="1" applyBorder="1" applyAlignment="1">
      <alignment horizontal="center" vertical="center" wrapText="1"/>
    </xf>
    <xf numFmtId="0" fontId="32" fillId="2" borderId="1" xfId="18" quotePrefix="1" applyFont="1" applyFill="1" applyBorder="1" applyAlignment="1">
      <alignment horizontal="left" vertical="center" wrapText="1"/>
    </xf>
    <xf numFmtId="0" fontId="32" fillId="2" borderId="1" xfId="49" quotePrefix="1" applyFont="1" applyFill="1" applyBorder="1" applyAlignment="1">
      <alignment horizontal="left" vertical="center" wrapText="1"/>
    </xf>
    <xf numFmtId="0" fontId="33" fillId="2" borderId="1" xfId="18" applyFont="1" applyFill="1" applyBorder="1" applyAlignment="1">
      <alignment horizontal="left" vertical="center" wrapText="1"/>
    </xf>
    <xf numFmtId="0" fontId="32" fillId="2" borderId="1" xfId="28" quotePrefix="1" applyFont="1" applyFill="1" applyBorder="1" applyAlignment="1">
      <alignment horizontal="left" vertical="center" wrapText="1"/>
    </xf>
    <xf numFmtId="49" fontId="39" fillId="2" borderId="0" xfId="0" applyNumberFormat="1" applyFont="1" applyFill="1" applyAlignment="1">
      <alignment horizontal="left" wrapText="1"/>
    </xf>
    <xf numFmtId="0" fontId="32" fillId="2" borderId="1" xfId="19" quotePrefix="1" applyFont="1" applyFill="1" applyBorder="1" applyAlignment="1">
      <alignment horizontal="left" vertical="center" wrapText="1"/>
    </xf>
    <xf numFmtId="0" fontId="32" fillId="2" borderId="1" xfId="20" quotePrefix="1" applyFont="1" applyFill="1" applyBorder="1" applyAlignment="1">
      <alignment horizontal="left" vertical="center" wrapText="1"/>
    </xf>
    <xf numFmtId="0" fontId="33" fillId="2" borderId="1" xfId="42" applyFont="1" applyFill="1" applyBorder="1" applyAlignment="1">
      <alignment horizontal="left" vertical="center" wrapText="1"/>
    </xf>
    <xf numFmtId="0" fontId="32" fillId="2" borderId="1" xfId="13" quotePrefix="1" applyFont="1" applyFill="1" applyBorder="1" applyAlignment="1">
      <alignment horizontal="left" vertical="center" wrapText="1"/>
    </xf>
    <xf numFmtId="0" fontId="32" fillId="2" borderId="1" xfId="22" quotePrefix="1" applyFont="1" applyFill="1" applyBorder="1" applyAlignment="1">
      <alignment horizontal="left" vertical="center" wrapText="1"/>
    </xf>
    <xf numFmtId="49" fontId="32" fillId="2" borderId="1" xfId="17" applyNumberFormat="1" applyFont="1" applyFill="1" applyBorder="1" applyAlignment="1">
      <alignment horizontal="center" vertical="center" wrapText="1"/>
    </xf>
    <xf numFmtId="0" fontId="32" fillId="2" borderId="1" xfId="17" applyFont="1" applyFill="1" applyBorder="1" applyAlignment="1">
      <alignment horizontal="center" vertical="center" wrapText="1"/>
    </xf>
    <xf numFmtId="0" fontId="32" fillId="2" borderId="1" xfId="14" applyFont="1" applyFill="1" applyBorder="1" applyAlignment="1">
      <alignment horizontal="center" vertical="center" wrapText="1"/>
    </xf>
    <xf numFmtId="4" fontId="29" fillId="2" borderId="1" xfId="2" applyNumberFormat="1" applyFont="1" applyFill="1" applyBorder="1" applyAlignment="1">
      <alignment horizontal="center" vertical="center"/>
    </xf>
    <xf numFmtId="0" fontId="32" fillId="2" borderId="1" xfId="51" applyFont="1" applyFill="1" applyBorder="1" applyAlignment="1">
      <alignment horizontal="center" vertical="center" wrapText="1"/>
    </xf>
    <xf numFmtId="0" fontId="32" fillId="2" borderId="1" xfId="50" applyFont="1" applyFill="1" applyBorder="1" applyAlignment="1">
      <alignment horizontal="center" vertical="center" wrapText="1"/>
    </xf>
    <xf numFmtId="49" fontId="32" fillId="2" borderId="1" xfId="50" applyNumberFormat="1" applyFont="1" applyFill="1" applyBorder="1" applyAlignment="1">
      <alignment horizontal="center" vertical="center" wrapText="1"/>
    </xf>
    <xf numFmtId="49" fontId="32" fillId="2" borderId="1" xfId="51" applyNumberFormat="1" applyFont="1" applyFill="1" applyBorder="1" applyAlignment="1">
      <alignment horizontal="center" vertical="center" wrapText="1"/>
    </xf>
    <xf numFmtId="0" fontId="29" fillId="2" borderId="0" xfId="0" applyFont="1" applyFill="1"/>
    <xf numFmtId="49" fontId="29" fillId="2" borderId="0" xfId="0" applyNumberFormat="1" applyFont="1" applyFill="1"/>
    <xf numFmtId="164" fontId="29" fillId="2" borderId="0" xfId="2" applyNumberFormat="1" applyFont="1" applyFill="1"/>
    <xf numFmtId="0" fontId="29" fillId="2" borderId="0" xfId="2" applyFont="1" applyFill="1"/>
    <xf numFmtId="4" fontId="29" fillId="2" borderId="0" xfId="0" applyNumberFormat="1" applyFont="1" applyFill="1"/>
    <xf numFmtId="2" fontId="29" fillId="2" borderId="0" xfId="0" applyNumberFormat="1" applyFont="1" applyFill="1"/>
    <xf numFmtId="3" fontId="29" fillId="2" borderId="0" xfId="2" applyNumberFormat="1" applyFont="1" applyFill="1"/>
    <xf numFmtId="0" fontId="29" fillId="2" borderId="1" xfId="2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/>
    </xf>
    <xf numFmtId="0" fontId="30" fillId="2" borderId="1" xfId="2" applyFont="1" applyFill="1" applyBorder="1" applyAlignment="1">
      <alignment horizontal="left" vertical="center" wrapText="1"/>
    </xf>
    <xf numFmtId="0" fontId="31" fillId="2" borderId="1" xfId="2" applyFont="1" applyFill="1" applyBorder="1" applyAlignment="1">
      <alignment horizontal="left" vertical="center" wrapText="1"/>
    </xf>
    <xf numFmtId="49" fontId="32" fillId="2" borderId="0" xfId="0" applyNumberFormat="1" applyFont="1" applyFill="1" applyAlignment="1">
      <alignment horizontal="left" vertical="center" wrapText="1"/>
    </xf>
    <xf numFmtId="0" fontId="29" fillId="2" borderId="1" xfId="3" applyFont="1" applyFill="1" applyBorder="1" applyAlignment="1">
      <alignment horizontal="left" vertical="center" wrapText="1"/>
    </xf>
    <xf numFmtId="49" fontId="29" fillId="2" borderId="1" xfId="2" applyNumberFormat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/>
    </xf>
    <xf numFmtId="0" fontId="30" fillId="2" borderId="1" xfId="2" applyFont="1" applyFill="1" applyBorder="1" applyAlignment="1">
      <alignment horizontal="left" vertical="center"/>
    </xf>
    <xf numFmtId="0" fontId="36" fillId="2" borderId="1" xfId="4" quotePrefix="1" applyFont="1" applyFill="1" applyBorder="1" applyAlignment="1">
      <alignment horizontal="left" vertical="center" wrapText="1"/>
    </xf>
    <xf numFmtId="0" fontId="29" fillId="2" borderId="1" xfId="1" applyFont="1" applyFill="1" applyBorder="1" applyAlignment="1">
      <alignment horizontal="left" vertical="center" wrapText="1"/>
    </xf>
    <xf numFmtId="0" fontId="32" fillId="2" borderId="5" xfId="4" quotePrefix="1" applyFont="1" applyFill="1" applyBorder="1" applyAlignment="1">
      <alignment horizontal="left" vertical="center" wrapText="1"/>
    </xf>
    <xf numFmtId="0" fontId="32" fillId="2" borderId="1" xfId="4" applyFont="1" applyFill="1" applyBorder="1" applyAlignment="1">
      <alignment horizontal="center" vertical="center" wrapText="1"/>
    </xf>
    <xf numFmtId="49" fontId="32" fillId="2" borderId="1" xfId="4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/>
    </xf>
    <xf numFmtId="0" fontId="29" fillId="2" borderId="1" xfId="2" applyFont="1" applyFill="1" applyBorder="1" applyAlignment="1">
      <alignment horizontal="left" vertical="center" wrapText="1"/>
    </xf>
    <xf numFmtId="49" fontId="30" fillId="2" borderId="1" xfId="0" applyNumberFormat="1" applyFont="1" applyFill="1" applyBorder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49" fontId="36" fillId="2" borderId="1" xfId="4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/>
    </xf>
    <xf numFmtId="0" fontId="30" fillId="2" borderId="1" xfId="0" applyFont="1" applyFill="1" applyBorder="1" applyAlignment="1">
      <alignment horizontal="center" vertical="center" wrapText="1"/>
    </xf>
    <xf numFmtId="0" fontId="36" fillId="2" borderId="1" xfId="4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32" fillId="0" borderId="1" xfId="0" quotePrefix="1" applyFont="1" applyFill="1" applyBorder="1" applyAlignment="1">
      <alignment horizontal="left" vertical="center" wrapText="1"/>
    </xf>
    <xf numFmtId="2" fontId="32" fillId="0" borderId="1" xfId="0" quotePrefix="1" applyNumberFormat="1" applyFont="1" applyFill="1" applyBorder="1" applyAlignment="1">
      <alignment horizontal="left" vertical="center" wrapText="1"/>
    </xf>
    <xf numFmtId="0" fontId="32" fillId="0" borderId="5" xfId="0" quotePrefix="1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1" fontId="32" fillId="0" borderId="1" xfId="0" applyNumberFormat="1" applyFont="1" applyFill="1" applyBorder="1" applyAlignment="1">
      <alignment horizontal="center" vertical="center" wrapText="1"/>
    </xf>
    <xf numFmtId="2" fontId="32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32" fillId="2" borderId="1" xfId="4" quotePrefix="1" applyFont="1" applyFill="1" applyBorder="1" applyAlignment="1">
      <alignment horizontal="left" vertical="center" wrapText="1"/>
    </xf>
    <xf numFmtId="49" fontId="32" fillId="2" borderId="1" xfId="59" applyNumberFormat="1" applyFont="1" applyFill="1" applyBorder="1" applyAlignment="1">
      <alignment horizontal="center" vertical="center" wrapText="1"/>
    </xf>
    <xf numFmtId="0" fontId="32" fillId="2" borderId="1" xfId="59" applyFont="1" applyFill="1" applyBorder="1" applyAlignment="1">
      <alignment horizontal="center" vertical="center" wrapText="1"/>
    </xf>
    <xf numFmtId="49" fontId="30" fillId="2" borderId="0" xfId="0" applyNumberFormat="1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left" vertical="center"/>
    </xf>
    <xf numFmtId="0" fontId="32" fillId="2" borderId="1" xfId="17" quotePrefix="1" applyFont="1" applyFill="1" applyBorder="1" applyAlignment="1">
      <alignment horizontal="left" vertical="center" wrapText="1"/>
    </xf>
    <xf numFmtId="0" fontId="32" fillId="2" borderId="1" xfId="50" quotePrefix="1" applyFont="1" applyFill="1" applyBorder="1" applyAlignment="1">
      <alignment horizontal="left" vertical="center" wrapText="1"/>
    </xf>
    <xf numFmtId="0" fontId="32" fillId="2" borderId="1" xfId="14" quotePrefix="1" applyFont="1" applyFill="1" applyBorder="1" applyAlignment="1">
      <alignment horizontal="left" vertical="center" wrapText="1"/>
    </xf>
    <xf numFmtId="0" fontId="32" fillId="0" borderId="1" xfId="15" applyFont="1" applyBorder="1" applyAlignment="1">
      <alignment horizontal="left" vertical="center" wrapText="1"/>
    </xf>
    <xf numFmtId="0" fontId="32" fillId="2" borderId="1" xfId="51" quotePrefix="1" applyFont="1" applyFill="1" applyBorder="1" applyAlignment="1">
      <alignment horizontal="left" vertical="center" wrapText="1"/>
    </xf>
    <xf numFmtId="0" fontId="30" fillId="2" borderId="0" xfId="0" applyFont="1" applyFill="1" applyAlignment="1">
      <alignment horizontal="center" vertical="center"/>
    </xf>
    <xf numFmtId="2" fontId="29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3" fontId="30" fillId="2" borderId="0" xfId="0" applyNumberFormat="1" applyFont="1" applyFill="1" applyAlignment="1">
      <alignment horizontal="center" vertical="center"/>
    </xf>
    <xf numFmtId="3" fontId="30" fillId="2" borderId="0" xfId="2" applyNumberFormat="1" applyFont="1" applyFill="1" applyBorder="1" applyAlignment="1">
      <alignment horizontal="center" vertical="center"/>
    </xf>
    <xf numFmtId="4" fontId="30" fillId="2" borderId="0" xfId="2" applyNumberFormat="1" applyFont="1" applyFill="1" applyBorder="1" applyAlignment="1">
      <alignment horizontal="center" vertical="center"/>
    </xf>
    <xf numFmtId="166" fontId="30" fillId="2" borderId="0" xfId="2" applyNumberFormat="1" applyFont="1" applyFill="1" applyBorder="1" applyAlignment="1">
      <alignment horizontal="center" vertical="center"/>
    </xf>
    <xf numFmtId="3" fontId="30" fillId="2" borderId="0" xfId="0" applyNumberFormat="1" applyFont="1" applyFill="1" applyBorder="1" applyAlignment="1">
      <alignment horizontal="center" vertical="center"/>
    </xf>
    <xf numFmtId="4" fontId="40" fillId="2" borderId="0" xfId="2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49" fontId="29" fillId="2" borderId="2" xfId="1" applyNumberFormat="1" applyFont="1" applyFill="1" applyBorder="1" applyAlignment="1" applyProtection="1">
      <alignment horizontal="center" vertical="center" wrapText="1"/>
    </xf>
    <xf numFmtId="49" fontId="29" fillId="2" borderId="3" xfId="1" applyNumberFormat="1" applyFont="1" applyFill="1" applyBorder="1" applyAlignment="1" applyProtection="1">
      <alignment horizontal="center" vertical="center" wrapText="1"/>
    </xf>
    <xf numFmtId="49" fontId="29" fillId="2" borderId="4" xfId="1" applyNumberFormat="1" applyFont="1" applyFill="1" applyBorder="1" applyAlignment="1" applyProtection="1">
      <alignment horizontal="center" vertical="center" wrapText="1"/>
    </xf>
    <xf numFmtId="49" fontId="29" fillId="2" borderId="1" xfId="1" applyNumberFormat="1" applyFont="1" applyFill="1" applyBorder="1" applyAlignment="1" applyProtection="1">
      <alignment horizontal="center" vertical="center" wrapText="1"/>
    </xf>
    <xf numFmtId="0" fontId="29" fillId="2" borderId="1" xfId="1" applyNumberFormat="1" applyFont="1" applyFill="1" applyBorder="1" applyAlignment="1" applyProtection="1">
      <alignment horizontal="center" vertical="center" wrapText="1"/>
    </xf>
  </cellXfs>
  <cellStyles count="61">
    <cellStyle name="Гарний 2" xfId="9"/>
    <cellStyle name="Звичайний" xfId="0" builtinId="0"/>
    <cellStyle name="Звичайний 10" xfId="16"/>
    <cellStyle name="Звичайний 10 2" xfId="59"/>
    <cellStyle name="Звичайний 11" xfId="17"/>
    <cellStyle name="Звичайний 11 2" xfId="60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8"/>
    <cellStyle name="Звичайний 19" xfId="49"/>
    <cellStyle name="Звичайний 2" xfId="4"/>
    <cellStyle name="Звичайний 20" xfId="50"/>
    <cellStyle name="Звичайний 21" xfId="51"/>
    <cellStyle name="Звичайний 3" xfId="6"/>
    <cellStyle name="Звичайний 3 2" xfId="24"/>
    <cellStyle name="Звичайний 3 3" xfId="26"/>
    <cellStyle name="Звичайний 3 4" xfId="29"/>
    <cellStyle name="Звичайний 3 5" xfId="35"/>
    <cellStyle name="Звичайний 3 6" xfId="37"/>
    <cellStyle name="Звичайний 3 7" xfId="43"/>
    <cellStyle name="Звичайний 3 8" xfId="52"/>
    <cellStyle name="Звичайний 4" xfId="7"/>
    <cellStyle name="Звичайний 4 2" xfId="25"/>
    <cellStyle name="Звичайний 4 3" xfId="27"/>
    <cellStyle name="Звичайний 4 4" xfId="30"/>
    <cellStyle name="Звичайний 4 5" xfId="36"/>
    <cellStyle name="Звичайний 4 6" xfId="38"/>
    <cellStyle name="Звичайний 4 7" xfId="44"/>
    <cellStyle name="Звичайний 4 8" xfId="53"/>
    <cellStyle name="Звичайний 5" xfId="10"/>
    <cellStyle name="Звичайний 5 2" xfId="31"/>
    <cellStyle name="Звичайний 5 3" xfId="39"/>
    <cellStyle name="Звичайний 5 4" xfId="45"/>
    <cellStyle name="Звичайний 5 5" xfId="54"/>
    <cellStyle name="Звичайний 6" xfId="11"/>
    <cellStyle name="Звичайний 6 2" xfId="32"/>
    <cellStyle name="Звичайний 6 3" xfId="40"/>
    <cellStyle name="Звичайний 6 4" xfId="46"/>
    <cellStyle name="Звичайний 6 5" xfId="55"/>
    <cellStyle name="Звичайний 7" xfId="12"/>
    <cellStyle name="Звичайний 7 2" xfId="33"/>
    <cellStyle name="Звичайний 7 3" xfId="41"/>
    <cellStyle name="Звичайний 7 4" xfId="47"/>
    <cellStyle name="Звичайний 7 5" xfId="56"/>
    <cellStyle name="Звичайний 8" xfId="13"/>
    <cellStyle name="Звичайний 8 2" xfId="34"/>
    <cellStyle name="Звичайний 8 3" xfId="42"/>
    <cellStyle name="Звичайний 8 4" xfId="48"/>
    <cellStyle name="Звичайний 8 5" xfId="57"/>
    <cellStyle name="Звичайний 9" xfId="14"/>
    <cellStyle name="Звичайний 9 2" xfId="58"/>
    <cellStyle name="Обычный 2" xfId="5"/>
    <cellStyle name="Обычный 2 2" xfId="8"/>
    <cellStyle name="Обычный 3" xfId="1"/>
    <cellStyle name="Обычный 9" xfId="15"/>
    <cellStyle name="Обычный_дод 2" xfId="3"/>
    <cellStyle name="Обычный_до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7"/>
  <sheetViews>
    <sheetView showZeros="0" tabSelected="1" view="pageBreakPreview" zoomScale="60" zoomScaleNormal="75" workbookViewId="0">
      <pane xSplit="4" ySplit="7" topLeftCell="E171" activePane="bottomRight" state="frozen"/>
      <selection pane="topRight" activeCell="E1" sqref="E1"/>
      <selection pane="bottomLeft" activeCell="A9" sqref="A9"/>
      <selection pane="bottomRight" activeCell="E3" sqref="E3:E6"/>
    </sheetView>
  </sheetViews>
  <sheetFormatPr defaultColWidth="8.88671875" defaultRowHeight="18"/>
  <cols>
    <col min="1" max="1" width="15.33203125" style="4" customWidth="1"/>
    <col min="2" max="2" width="11.44140625" style="2" customWidth="1"/>
    <col min="3" max="3" width="14.33203125" style="2" customWidth="1"/>
    <col min="4" max="4" width="53.33203125" style="1" customWidth="1"/>
    <col min="5" max="5" width="19.88671875" style="1" customWidth="1"/>
    <col min="6" max="6" width="18.44140625" style="1" customWidth="1"/>
    <col min="7" max="7" width="18.6640625" style="1" customWidth="1"/>
    <col min="8" max="8" width="19.6640625" style="1" customWidth="1"/>
    <col min="9" max="9" width="22.44140625" style="1" customWidth="1"/>
    <col min="10" max="10" width="19.6640625" style="1" customWidth="1"/>
    <col min="11" max="11" width="19.109375" style="1" customWidth="1"/>
    <col min="12" max="12" width="21.5546875" style="1" customWidth="1"/>
    <col min="13" max="13" width="14.109375" style="1" customWidth="1"/>
    <col min="14" max="14" width="14.5546875" style="1" customWidth="1"/>
    <col min="15" max="15" width="18.88671875" style="1" customWidth="1"/>
    <col min="16" max="16" width="19.6640625" style="1" customWidth="1"/>
    <col min="17" max="17" width="21.109375" style="1" customWidth="1"/>
    <col min="18" max="18" width="20.109375" style="1" customWidth="1"/>
    <col min="19" max="19" width="19.109375" style="1" customWidth="1"/>
    <col min="20" max="20" width="20" style="1" customWidth="1"/>
    <col min="21" max="21" width="14.33203125" style="1" bestFit="1" customWidth="1"/>
    <col min="22" max="22" width="15.6640625" style="1" bestFit="1" customWidth="1"/>
    <col min="23" max="16384" width="8.88671875" style="1"/>
  </cols>
  <sheetData>
    <row r="1" spans="1:21" ht="59.25" customHeight="1">
      <c r="A1" s="142" t="s">
        <v>368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1:21" ht="20.399999999999999" customHeight="1">
      <c r="A2" s="143" t="s">
        <v>160</v>
      </c>
      <c r="B2" s="143" t="s">
        <v>161</v>
      </c>
      <c r="C2" s="146" t="s">
        <v>162</v>
      </c>
      <c r="D2" s="147" t="s">
        <v>163</v>
      </c>
      <c r="E2" s="139" t="s">
        <v>365</v>
      </c>
      <c r="F2" s="140"/>
      <c r="G2" s="140"/>
      <c r="H2" s="141"/>
      <c r="I2" s="139" t="s">
        <v>366</v>
      </c>
      <c r="J2" s="140"/>
      <c r="K2" s="140"/>
      <c r="L2" s="141"/>
      <c r="M2" s="139" t="s">
        <v>178</v>
      </c>
      <c r="N2" s="140"/>
      <c r="O2" s="140"/>
      <c r="P2" s="141"/>
      <c r="Q2" s="139" t="s">
        <v>239</v>
      </c>
      <c r="R2" s="140"/>
      <c r="S2" s="140"/>
      <c r="T2" s="141"/>
    </row>
    <row r="3" spans="1:21" ht="25.5" customHeight="1">
      <c r="A3" s="144"/>
      <c r="B3" s="144"/>
      <c r="C3" s="146"/>
      <c r="D3" s="147"/>
      <c r="E3" s="137" t="s">
        <v>279</v>
      </c>
      <c r="F3" s="137" t="s">
        <v>177</v>
      </c>
      <c r="G3" s="137"/>
      <c r="H3" s="137"/>
      <c r="I3" s="137" t="s">
        <v>279</v>
      </c>
      <c r="J3" s="137" t="s">
        <v>177</v>
      </c>
      <c r="K3" s="137"/>
      <c r="L3" s="137"/>
      <c r="M3" s="137" t="s">
        <v>279</v>
      </c>
      <c r="N3" s="137" t="s">
        <v>177</v>
      </c>
      <c r="O3" s="137"/>
      <c r="P3" s="137"/>
      <c r="Q3" s="137" t="s">
        <v>279</v>
      </c>
      <c r="R3" s="137" t="s">
        <v>177</v>
      </c>
      <c r="S3" s="137"/>
      <c r="T3" s="137"/>
    </row>
    <row r="4" spans="1:21" ht="15" customHeight="1">
      <c r="A4" s="144"/>
      <c r="B4" s="144"/>
      <c r="C4" s="146"/>
      <c r="D4" s="147"/>
      <c r="E4" s="137"/>
      <c r="F4" s="137" t="s">
        <v>175</v>
      </c>
      <c r="G4" s="137" t="s">
        <v>174</v>
      </c>
      <c r="H4" s="137"/>
      <c r="I4" s="137"/>
      <c r="J4" s="137" t="s">
        <v>175</v>
      </c>
      <c r="K4" s="137" t="s">
        <v>174</v>
      </c>
      <c r="L4" s="137"/>
      <c r="M4" s="137"/>
      <c r="N4" s="137" t="s">
        <v>175</v>
      </c>
      <c r="O4" s="137" t="s">
        <v>174</v>
      </c>
      <c r="P4" s="137"/>
      <c r="Q4" s="137"/>
      <c r="R4" s="137" t="s">
        <v>175</v>
      </c>
      <c r="S4" s="137" t="s">
        <v>174</v>
      </c>
      <c r="T4" s="137"/>
    </row>
    <row r="5" spans="1:21" ht="24" customHeight="1">
      <c r="A5" s="144"/>
      <c r="B5" s="144"/>
      <c r="C5" s="146"/>
      <c r="D5" s="147"/>
      <c r="E5" s="137"/>
      <c r="F5" s="138"/>
      <c r="G5" s="137" t="s">
        <v>280</v>
      </c>
      <c r="H5" s="106" t="s">
        <v>176</v>
      </c>
      <c r="I5" s="137"/>
      <c r="J5" s="138"/>
      <c r="K5" s="137" t="s">
        <v>280</v>
      </c>
      <c r="L5" s="106" t="s">
        <v>176</v>
      </c>
      <c r="M5" s="137"/>
      <c r="N5" s="138"/>
      <c r="O5" s="137" t="s">
        <v>280</v>
      </c>
      <c r="P5" s="106" t="s">
        <v>176</v>
      </c>
      <c r="Q5" s="137"/>
      <c r="R5" s="138"/>
      <c r="S5" s="137" t="s">
        <v>280</v>
      </c>
      <c r="T5" s="106" t="s">
        <v>176</v>
      </c>
    </row>
    <row r="6" spans="1:21" ht="168.75" customHeight="1">
      <c r="A6" s="145"/>
      <c r="B6" s="145"/>
      <c r="C6" s="146"/>
      <c r="D6" s="147"/>
      <c r="E6" s="137"/>
      <c r="F6" s="138"/>
      <c r="G6" s="137"/>
      <c r="H6" s="106" t="s">
        <v>0</v>
      </c>
      <c r="I6" s="137"/>
      <c r="J6" s="138"/>
      <c r="K6" s="137"/>
      <c r="L6" s="106" t="s">
        <v>0</v>
      </c>
      <c r="M6" s="137"/>
      <c r="N6" s="138"/>
      <c r="O6" s="137"/>
      <c r="P6" s="106" t="s">
        <v>0</v>
      </c>
      <c r="Q6" s="137"/>
      <c r="R6" s="138"/>
      <c r="S6" s="137"/>
      <c r="T6" s="106" t="s">
        <v>0</v>
      </c>
    </row>
    <row r="7" spans="1:21">
      <c r="A7" s="100">
        <v>1</v>
      </c>
      <c r="B7" s="100">
        <v>2</v>
      </c>
      <c r="C7" s="100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6">
        <v>17</v>
      </c>
      <c r="R7" s="86">
        <v>18</v>
      </c>
      <c r="S7" s="86">
        <v>19</v>
      </c>
      <c r="T7" s="86">
        <v>20</v>
      </c>
    </row>
    <row r="8" spans="1:21" s="5" customFormat="1" ht="52.2">
      <c r="A8" s="102" t="s">
        <v>63</v>
      </c>
      <c r="B8" s="102"/>
      <c r="C8" s="102"/>
      <c r="D8" s="87" t="s">
        <v>203</v>
      </c>
      <c r="E8" s="14">
        <f t="shared" ref="E8:L8" si="0">E9</f>
        <v>112868264.49000002</v>
      </c>
      <c r="F8" s="14">
        <f t="shared" si="0"/>
        <v>105240667.57000002</v>
      </c>
      <c r="G8" s="14">
        <f t="shared" si="0"/>
        <v>7627596.9199999999</v>
      </c>
      <c r="H8" s="14">
        <f t="shared" si="0"/>
        <v>4206035.32</v>
      </c>
      <c r="I8" s="14">
        <f t="shared" si="0"/>
        <v>161116483.66999999</v>
      </c>
      <c r="J8" s="14">
        <f t="shared" si="0"/>
        <v>151554873.81999999</v>
      </c>
      <c r="K8" s="14">
        <f t="shared" si="0"/>
        <v>9561609.8500000015</v>
      </c>
      <c r="L8" s="14">
        <f t="shared" si="0"/>
        <v>4795885.1500000004</v>
      </c>
      <c r="M8" s="15">
        <f>IFERROR((I8/E8),"")</f>
        <v>1.4274737402759896</v>
      </c>
      <c r="N8" s="15">
        <f t="shared" ref="N8:P8" si="1">IFERROR((J8/F8),"")</f>
        <v>1.4400789858083562</v>
      </c>
      <c r="O8" s="15">
        <f t="shared" si="1"/>
        <v>1.2535546844287102</v>
      </c>
      <c r="P8" s="15">
        <f t="shared" si="1"/>
        <v>1.1402389150645553</v>
      </c>
      <c r="Q8" s="16">
        <f>I8-E8</f>
        <v>48248219.179999962</v>
      </c>
      <c r="R8" s="16">
        <f>J8-F8</f>
        <v>46314206.24999997</v>
      </c>
      <c r="S8" s="16">
        <f t="shared" ref="S8:T8" si="2">K8-G8</f>
        <v>1934012.9300000016</v>
      </c>
      <c r="T8" s="16">
        <f t="shared" si="2"/>
        <v>589849.83000000007</v>
      </c>
      <c r="U8" s="127"/>
    </row>
    <row r="9" spans="1:21" s="5" customFormat="1" ht="52.2">
      <c r="A9" s="102" t="s">
        <v>64</v>
      </c>
      <c r="B9" s="102"/>
      <c r="C9" s="102"/>
      <c r="D9" s="87" t="s">
        <v>204</v>
      </c>
      <c r="E9" s="17">
        <f>F9+G9</f>
        <v>112868264.49000002</v>
      </c>
      <c r="F9" s="17">
        <f>F10+F15+F16+F17+F18+F19+F20+F21+F22+F35+F33+F31+F34+F36+F30+F29+F37+F28+F38+F32+F26+F27</f>
        <v>105240667.57000002</v>
      </c>
      <c r="G9" s="17">
        <f t="shared" ref="G9:H9" si="3">G10+G15+G16+G17+G18+G19+G20+G21+G22+G35+G33+G31+G34+G36+G30+G29+G37+G28+G38+G32+G26+G27</f>
        <v>7627596.9199999999</v>
      </c>
      <c r="H9" s="17">
        <f t="shared" si="3"/>
        <v>4206035.32</v>
      </c>
      <c r="I9" s="17">
        <f>J9+K9</f>
        <v>161116483.66999999</v>
      </c>
      <c r="J9" s="17">
        <f>J10+J15+J16+J17+J18+J19+J20+J21+J22+J35+J33+J31+J34+J36+J30+J29+J37+J28+J38+J32+J26+J27</f>
        <v>151554873.81999999</v>
      </c>
      <c r="K9" s="17">
        <f t="shared" ref="K9:L9" si="4">K10+K15+K16+K17+K18+K19+K20+K21+K22+K35+K33+K31+K34+K36+K30+K29+K37+K28+K38+K32+K26+K27</f>
        <v>9561609.8500000015</v>
      </c>
      <c r="L9" s="17">
        <f t="shared" si="4"/>
        <v>4795885.1500000004</v>
      </c>
      <c r="M9" s="15">
        <f t="shared" ref="M9:M10" si="5">IFERROR((I9/E9),"")</f>
        <v>1.4274737402759896</v>
      </c>
      <c r="N9" s="15">
        <f t="shared" ref="N9:P10" si="6">IFERROR((J9/F9),"")</f>
        <v>1.4400789858083562</v>
      </c>
      <c r="O9" s="15">
        <f t="shared" si="6"/>
        <v>1.2535546844287102</v>
      </c>
      <c r="P9" s="15">
        <f t="shared" si="6"/>
        <v>1.1402389150645553</v>
      </c>
      <c r="Q9" s="16">
        <f t="shared" ref="Q9" si="7">I9-E9</f>
        <v>48248219.179999962</v>
      </c>
      <c r="R9" s="16">
        <f t="shared" ref="R9" si="8">J9-F9</f>
        <v>46314206.24999997</v>
      </c>
      <c r="S9" s="16">
        <f t="shared" ref="S9" si="9">K9-G9</f>
        <v>1934012.9300000016</v>
      </c>
      <c r="T9" s="16">
        <f t="shared" ref="T9" si="10">L9-H9</f>
        <v>589849.83000000007</v>
      </c>
      <c r="U9" s="127"/>
    </row>
    <row r="10" spans="1:21" s="9" customFormat="1" ht="90">
      <c r="A10" s="100" t="s">
        <v>65</v>
      </c>
      <c r="B10" s="100" t="s">
        <v>52</v>
      </c>
      <c r="C10" s="100" t="s">
        <v>3</v>
      </c>
      <c r="D10" s="101" t="s">
        <v>53</v>
      </c>
      <c r="E10" s="18">
        <f>F10+G10</f>
        <v>55691909.409999996</v>
      </c>
      <c r="F10" s="18">
        <f>F11+F12+F13+F14</f>
        <v>52290347.809999995</v>
      </c>
      <c r="G10" s="18">
        <f>G11+G12+G13+G14</f>
        <v>3401561.6</v>
      </c>
      <c r="H10" s="18">
        <f>H11+H12+H13+H14</f>
        <v>0</v>
      </c>
      <c r="I10" s="18">
        <f>J10+K10</f>
        <v>74470292.320000008</v>
      </c>
      <c r="J10" s="18">
        <f>J11+J12+J13+J14</f>
        <v>69704567.620000005</v>
      </c>
      <c r="K10" s="18">
        <f>K11+K12+K13+K14</f>
        <v>4765724.7</v>
      </c>
      <c r="L10" s="18">
        <f>L11+L12+L13+L14</f>
        <v>0</v>
      </c>
      <c r="M10" s="22">
        <f t="shared" si="5"/>
        <v>1.3371833199640337</v>
      </c>
      <c r="N10" s="22">
        <f t="shared" si="6"/>
        <v>1.3330293359928602</v>
      </c>
      <c r="O10" s="22">
        <f t="shared" si="6"/>
        <v>1.4010402457506577</v>
      </c>
      <c r="P10" s="19" t="str">
        <f t="shared" ref="P10:P80" si="11">IFERROR((L10/H10),"")</f>
        <v/>
      </c>
      <c r="Q10" s="20">
        <f t="shared" ref="Q10:Q80" si="12">I10-E10</f>
        <v>18778382.910000011</v>
      </c>
      <c r="R10" s="20">
        <f t="shared" ref="R10:R80" si="13">J10-F10</f>
        <v>17414219.81000001</v>
      </c>
      <c r="S10" s="20">
        <f t="shared" ref="S10:S80" si="14">K10-G10</f>
        <v>1364163.1</v>
      </c>
      <c r="T10" s="20">
        <f t="shared" ref="T10:T80" si="15">L10-H10</f>
        <v>0</v>
      </c>
      <c r="U10" s="128"/>
    </row>
    <row r="11" spans="1:21" s="6" customFormat="1" ht="36">
      <c r="A11" s="103"/>
      <c r="B11" s="103"/>
      <c r="C11" s="103"/>
      <c r="D11" s="88" t="s">
        <v>204</v>
      </c>
      <c r="E11" s="21">
        <f>F11+G11</f>
        <v>50010400.729999997</v>
      </c>
      <c r="F11" s="21">
        <v>46610376.689999998</v>
      </c>
      <c r="G11" s="21">
        <f>3349979.06+50044.98</f>
        <v>3400024.04</v>
      </c>
      <c r="H11" s="21"/>
      <c r="I11" s="21">
        <f>J11+K11</f>
        <v>66577844.07</v>
      </c>
      <c r="J11" s="21">
        <v>61822210.710000001</v>
      </c>
      <c r="K11" s="21">
        <f>45253.45+4710379.91</f>
        <v>4755633.3600000003</v>
      </c>
      <c r="L11" s="21"/>
      <c r="M11" s="22">
        <f t="shared" ref="M11" si="16">IFERROR((I11/E11),"")</f>
        <v>1.3312799557325203</v>
      </c>
      <c r="N11" s="22">
        <f t="shared" ref="N11:O11" si="17">IFERROR((J11/F11),"")</f>
        <v>1.3263615336381442</v>
      </c>
      <c r="O11" s="22">
        <f t="shared" si="17"/>
        <v>1.3987058044448415</v>
      </c>
      <c r="P11" s="22" t="str">
        <f t="shared" si="11"/>
        <v/>
      </c>
      <c r="Q11" s="23">
        <f t="shared" si="12"/>
        <v>16567443.340000004</v>
      </c>
      <c r="R11" s="23">
        <f t="shared" si="13"/>
        <v>15211834.020000003</v>
      </c>
      <c r="S11" s="23">
        <f t="shared" si="14"/>
        <v>1355609.3200000003</v>
      </c>
      <c r="T11" s="23">
        <f t="shared" si="15"/>
        <v>0</v>
      </c>
      <c r="U11" s="129"/>
    </row>
    <row r="12" spans="1:21" s="6" customFormat="1" ht="54">
      <c r="A12" s="103"/>
      <c r="B12" s="103"/>
      <c r="C12" s="103"/>
      <c r="D12" s="88" t="s">
        <v>211</v>
      </c>
      <c r="E12" s="21">
        <f t="shared" ref="E12:E14" si="18">F12+G12</f>
        <v>2352282.7400000002</v>
      </c>
      <c r="F12" s="21">
        <v>2350745.1800000002</v>
      </c>
      <c r="G12" s="21">
        <v>1537.56</v>
      </c>
      <c r="H12" s="21"/>
      <c r="I12" s="21">
        <f t="shared" ref="I12:I13" si="19">J12+K12</f>
        <v>3184742.34</v>
      </c>
      <c r="J12" s="21">
        <v>3184551</v>
      </c>
      <c r="K12" s="21">
        <f>191.34</f>
        <v>191.34</v>
      </c>
      <c r="L12" s="21"/>
      <c r="M12" s="22">
        <f t="shared" ref="M12" si="20">IFERROR((I12/E12),"")</f>
        <v>1.3538943622057948</v>
      </c>
      <c r="N12" s="22">
        <f t="shared" ref="N12:O12" si="21">IFERROR((J12/F12),"")</f>
        <v>1.3546985130902192</v>
      </c>
      <c r="O12" s="22">
        <f t="shared" si="21"/>
        <v>0.12444392413954578</v>
      </c>
      <c r="P12" s="22"/>
      <c r="Q12" s="23">
        <f t="shared" si="12"/>
        <v>832459.59999999963</v>
      </c>
      <c r="R12" s="23">
        <f t="shared" si="13"/>
        <v>833805.81999999983</v>
      </c>
      <c r="S12" s="23">
        <f t="shared" si="14"/>
        <v>-1346.22</v>
      </c>
      <c r="T12" s="23">
        <f t="shared" si="15"/>
        <v>0</v>
      </c>
      <c r="U12" s="129"/>
    </row>
    <row r="13" spans="1:21" s="6" customFormat="1" ht="54">
      <c r="A13" s="103"/>
      <c r="B13" s="103"/>
      <c r="C13" s="103"/>
      <c r="D13" s="88" t="s">
        <v>212</v>
      </c>
      <c r="E13" s="21">
        <f t="shared" si="18"/>
        <v>1491480.96</v>
      </c>
      <c r="F13" s="21">
        <v>1491480.96</v>
      </c>
      <c r="G13" s="21"/>
      <c r="H13" s="21"/>
      <c r="I13" s="21">
        <f t="shared" si="19"/>
        <v>2165534.11</v>
      </c>
      <c r="J13" s="21">
        <v>2155634.11</v>
      </c>
      <c r="K13" s="21">
        <f>9900</f>
        <v>9900</v>
      </c>
      <c r="L13" s="21"/>
      <c r="M13" s="22">
        <f t="shared" ref="M13:O80" si="22">IFERROR((I13/E13),"")</f>
        <v>1.4519354709026926</v>
      </c>
      <c r="N13" s="22">
        <f t="shared" ref="M13:P80" si="23">IFERROR((J13/F13),"")</f>
        <v>1.4452977730268846</v>
      </c>
      <c r="O13" s="22" t="str">
        <f t="shared" ref="O13" si="24">IFERROR((K13/G13),"")</f>
        <v/>
      </c>
      <c r="P13" s="22" t="str">
        <f t="shared" ref="P13" si="25">IFERROR((L13/H13),"")</f>
        <v/>
      </c>
      <c r="Q13" s="23">
        <f t="shared" si="12"/>
        <v>674053.14999999991</v>
      </c>
      <c r="R13" s="23">
        <f t="shared" si="13"/>
        <v>664153.14999999991</v>
      </c>
      <c r="S13" s="23">
        <f t="shared" si="14"/>
        <v>9900</v>
      </c>
      <c r="T13" s="23">
        <f t="shared" si="15"/>
        <v>0</v>
      </c>
      <c r="U13" s="129"/>
    </row>
    <row r="14" spans="1:21" s="6" customFormat="1" ht="54">
      <c r="A14" s="103"/>
      <c r="B14" s="103"/>
      <c r="C14" s="103"/>
      <c r="D14" s="88" t="s">
        <v>213</v>
      </c>
      <c r="E14" s="21">
        <f t="shared" si="18"/>
        <v>1837744.98</v>
      </c>
      <c r="F14" s="21">
        <v>1837744.98</v>
      </c>
      <c r="G14" s="21"/>
      <c r="H14" s="21"/>
      <c r="I14" s="21">
        <f t="shared" ref="I14:I72" si="26">J14+K14</f>
        <v>2542171.7999999998</v>
      </c>
      <c r="J14" s="21">
        <v>2542171.7999999998</v>
      </c>
      <c r="K14" s="21"/>
      <c r="L14" s="21"/>
      <c r="M14" s="22">
        <f t="shared" si="22"/>
        <v>1.3833104308085227</v>
      </c>
      <c r="N14" s="22">
        <f t="shared" si="23"/>
        <v>1.3833104308085227</v>
      </c>
      <c r="O14" s="22" t="str">
        <f t="shared" ref="O14:O15" si="27">IFERROR((K14/G14),"")</f>
        <v/>
      </c>
      <c r="P14" s="22" t="str">
        <f t="shared" ref="P14:P15" si="28">IFERROR((L14/H14),"")</f>
        <v/>
      </c>
      <c r="Q14" s="23">
        <f t="shared" si="12"/>
        <v>704426.81999999983</v>
      </c>
      <c r="R14" s="23">
        <f t="shared" si="13"/>
        <v>704426.81999999983</v>
      </c>
      <c r="S14" s="23">
        <f t="shared" si="14"/>
        <v>0</v>
      </c>
      <c r="T14" s="23">
        <f t="shared" si="15"/>
        <v>0</v>
      </c>
      <c r="U14" s="129"/>
    </row>
    <row r="15" spans="1:21" s="9" customFormat="1" ht="54">
      <c r="A15" s="100" t="s">
        <v>114</v>
      </c>
      <c r="B15" s="100" t="s">
        <v>115</v>
      </c>
      <c r="C15" s="100" t="s">
        <v>116</v>
      </c>
      <c r="D15" s="101" t="s">
        <v>117</v>
      </c>
      <c r="E15" s="18">
        <f>F15</f>
        <v>22200</v>
      </c>
      <c r="F15" s="18">
        <v>22200</v>
      </c>
      <c r="G15" s="18"/>
      <c r="H15" s="18"/>
      <c r="I15" s="18">
        <f t="shared" si="26"/>
        <v>4800</v>
      </c>
      <c r="J15" s="18">
        <v>4800</v>
      </c>
      <c r="K15" s="18"/>
      <c r="L15" s="18"/>
      <c r="M15" s="19">
        <f t="shared" si="22"/>
        <v>0.21621621621621623</v>
      </c>
      <c r="N15" s="19">
        <f t="shared" si="23"/>
        <v>0.21621621621621623</v>
      </c>
      <c r="O15" s="19" t="str">
        <f t="shared" si="27"/>
        <v/>
      </c>
      <c r="P15" s="19" t="str">
        <f t="shared" si="28"/>
        <v/>
      </c>
      <c r="Q15" s="20">
        <f t="shared" si="12"/>
        <v>-17400</v>
      </c>
      <c r="R15" s="20">
        <f t="shared" si="13"/>
        <v>-17400</v>
      </c>
      <c r="S15" s="20">
        <f t="shared" si="14"/>
        <v>0</v>
      </c>
      <c r="T15" s="20">
        <f t="shared" si="15"/>
        <v>0</v>
      </c>
      <c r="U15" s="130"/>
    </row>
    <row r="16" spans="1:21" s="9" customFormat="1" ht="36">
      <c r="A16" s="100" t="s">
        <v>118</v>
      </c>
      <c r="B16" s="100" t="s">
        <v>8</v>
      </c>
      <c r="C16" s="100" t="s">
        <v>6</v>
      </c>
      <c r="D16" s="101" t="s">
        <v>119</v>
      </c>
      <c r="E16" s="18">
        <f t="shared" ref="E16:E31" si="29">F16+G16</f>
        <v>932650.79</v>
      </c>
      <c r="F16" s="18">
        <v>932650.79</v>
      </c>
      <c r="G16" s="18"/>
      <c r="H16" s="18"/>
      <c r="I16" s="18">
        <f t="shared" si="26"/>
        <v>1472081.08</v>
      </c>
      <c r="J16" s="18">
        <v>1472081.08</v>
      </c>
      <c r="K16" s="18"/>
      <c r="L16" s="18"/>
      <c r="M16" s="19">
        <f t="shared" si="22"/>
        <v>1.5783839951499961</v>
      </c>
      <c r="N16" s="19">
        <f t="shared" si="23"/>
        <v>1.5783839951499961</v>
      </c>
      <c r="O16" s="19" t="str">
        <f t="shared" ref="O16:O80" si="30">IFERROR((K16/G16),"")</f>
        <v/>
      </c>
      <c r="P16" s="19" t="str">
        <f t="shared" si="11"/>
        <v/>
      </c>
      <c r="Q16" s="20">
        <f t="shared" si="12"/>
        <v>539430.29</v>
      </c>
      <c r="R16" s="20">
        <f t="shared" si="13"/>
        <v>539430.29</v>
      </c>
      <c r="S16" s="20">
        <f t="shared" si="14"/>
        <v>0</v>
      </c>
      <c r="T16" s="20">
        <f t="shared" si="15"/>
        <v>0</v>
      </c>
      <c r="U16" s="130"/>
    </row>
    <row r="17" spans="1:21" s="9" customFormat="1" ht="36">
      <c r="A17" s="100" t="s">
        <v>66</v>
      </c>
      <c r="B17" s="100" t="s">
        <v>28</v>
      </c>
      <c r="C17" s="100" t="s">
        <v>29</v>
      </c>
      <c r="D17" s="109" t="s">
        <v>155</v>
      </c>
      <c r="E17" s="18">
        <f t="shared" si="29"/>
        <v>17049486</v>
      </c>
      <c r="F17" s="18">
        <v>14558289.68</v>
      </c>
      <c r="G17" s="18">
        <v>2491196.3199999998</v>
      </c>
      <c r="H17" s="18">
        <v>2491196.3199999998</v>
      </c>
      <c r="I17" s="18">
        <f t="shared" si="26"/>
        <v>22078253.760000002</v>
      </c>
      <c r="J17" s="18">
        <v>20999138.260000002</v>
      </c>
      <c r="K17" s="18">
        <f>1079115.5</f>
        <v>1079115.5</v>
      </c>
      <c r="L17" s="18">
        <f>K17</f>
        <v>1079115.5</v>
      </c>
      <c r="M17" s="19">
        <f t="shared" si="22"/>
        <v>1.2949512824022966</v>
      </c>
      <c r="N17" s="19">
        <f t="shared" si="23"/>
        <v>1.4424179434242446</v>
      </c>
      <c r="O17" s="19">
        <f t="shared" si="23"/>
        <v>0.43317160166646362</v>
      </c>
      <c r="P17" s="19">
        <f t="shared" si="23"/>
        <v>0.43317160166646362</v>
      </c>
      <c r="Q17" s="20">
        <f t="shared" si="12"/>
        <v>5028767.7600000016</v>
      </c>
      <c r="R17" s="20">
        <f t="shared" si="13"/>
        <v>6440848.5800000019</v>
      </c>
      <c r="S17" s="20">
        <f t="shared" si="14"/>
        <v>-1412080.8199999998</v>
      </c>
      <c r="T17" s="20">
        <f t="shared" si="15"/>
        <v>-1412080.8199999998</v>
      </c>
      <c r="U17" s="128"/>
    </row>
    <row r="18" spans="1:21" s="9" customFormat="1" ht="30" customHeight="1">
      <c r="A18" s="100" t="s">
        <v>67</v>
      </c>
      <c r="B18" s="100" t="s">
        <v>54</v>
      </c>
      <c r="C18" s="100" t="s">
        <v>30</v>
      </c>
      <c r="D18" s="109" t="s">
        <v>217</v>
      </c>
      <c r="E18" s="18">
        <f t="shared" si="29"/>
        <v>5789444.9299999997</v>
      </c>
      <c r="F18" s="18">
        <v>5647054.9299999997</v>
      </c>
      <c r="G18" s="18">
        <v>142390</v>
      </c>
      <c r="H18" s="18">
        <v>142390</v>
      </c>
      <c r="I18" s="18">
        <f t="shared" si="26"/>
        <v>6961367.8499999996</v>
      </c>
      <c r="J18" s="18">
        <v>5999267.8499999996</v>
      </c>
      <c r="K18" s="18">
        <v>962100</v>
      </c>
      <c r="L18" s="18">
        <f>K18</f>
        <v>962100</v>
      </c>
      <c r="M18" s="19">
        <f t="shared" si="22"/>
        <v>1.2024240551848551</v>
      </c>
      <c r="N18" s="19">
        <f t="shared" si="23"/>
        <v>1.0623710809202276</v>
      </c>
      <c r="O18" s="19">
        <f t="shared" si="23"/>
        <v>6.756794718730248</v>
      </c>
      <c r="P18" s="19">
        <f t="shared" si="23"/>
        <v>6.756794718730248</v>
      </c>
      <c r="Q18" s="20">
        <f t="shared" si="12"/>
        <v>1171922.92</v>
      </c>
      <c r="R18" s="20">
        <f t="shared" si="13"/>
        <v>352212.91999999993</v>
      </c>
      <c r="S18" s="20">
        <f t="shared" si="14"/>
        <v>819710</v>
      </c>
      <c r="T18" s="20">
        <f t="shared" si="15"/>
        <v>819710</v>
      </c>
      <c r="U18" s="130"/>
    </row>
    <row r="19" spans="1:21" s="9" customFormat="1" ht="54">
      <c r="A19" s="98" t="s">
        <v>228</v>
      </c>
      <c r="B19" s="98">
        <v>2111</v>
      </c>
      <c r="C19" s="98" t="s">
        <v>229</v>
      </c>
      <c r="D19" s="117" t="s">
        <v>230</v>
      </c>
      <c r="E19" s="18">
        <f t="shared" si="29"/>
        <v>6082607.4199999999</v>
      </c>
      <c r="F19" s="18">
        <v>6082607.4199999999</v>
      </c>
      <c r="G19" s="18"/>
      <c r="H19" s="18"/>
      <c r="I19" s="18">
        <f t="shared" si="26"/>
        <v>2552963.69</v>
      </c>
      <c r="J19" s="18">
        <v>2207633.79</v>
      </c>
      <c r="K19" s="18">
        <v>345329.9</v>
      </c>
      <c r="L19" s="18">
        <f>K19</f>
        <v>345329.9</v>
      </c>
      <c r="M19" s="19">
        <f t="shared" ref="M19" si="31">IFERROR((I19/E19),"")</f>
        <v>0.41971534799462695</v>
      </c>
      <c r="N19" s="19">
        <f t="shared" ref="N19" si="32">IFERROR((J19/F19),"")</f>
        <v>0.36294201442972629</v>
      </c>
      <c r="O19" s="19"/>
      <c r="P19" s="19"/>
      <c r="Q19" s="20">
        <f t="shared" si="12"/>
        <v>-3529643.73</v>
      </c>
      <c r="R19" s="20">
        <f t="shared" si="13"/>
        <v>-3874973.63</v>
      </c>
      <c r="S19" s="20">
        <f t="shared" si="14"/>
        <v>345329.9</v>
      </c>
      <c r="T19" s="20">
        <f t="shared" si="15"/>
        <v>345329.9</v>
      </c>
      <c r="U19" s="130"/>
    </row>
    <row r="20" spans="1:21" s="9" customFormat="1" ht="36">
      <c r="A20" s="98" t="s">
        <v>231</v>
      </c>
      <c r="B20" s="98" t="s">
        <v>183</v>
      </c>
      <c r="C20" s="98" t="s">
        <v>123</v>
      </c>
      <c r="D20" s="117" t="s">
        <v>232</v>
      </c>
      <c r="E20" s="18">
        <f t="shared" si="29"/>
        <v>1052802.68</v>
      </c>
      <c r="F20" s="18">
        <f>162149.18+890653.5</f>
        <v>1052802.68</v>
      </c>
      <c r="G20" s="18"/>
      <c r="H20" s="18"/>
      <c r="I20" s="18">
        <f t="shared" si="26"/>
        <v>9690715.5800000001</v>
      </c>
      <c r="J20" s="18">
        <f>641451.12+1554213.14+7495051.32</f>
        <v>9690715.5800000001</v>
      </c>
      <c r="K20" s="18"/>
      <c r="L20" s="18"/>
      <c r="M20" s="19" t="s">
        <v>387</v>
      </c>
      <c r="N20" s="19" t="s">
        <v>387</v>
      </c>
      <c r="O20" s="19" t="str">
        <f t="shared" si="30"/>
        <v/>
      </c>
      <c r="P20" s="19" t="str">
        <f t="shared" si="11"/>
        <v/>
      </c>
      <c r="Q20" s="20">
        <f t="shared" si="12"/>
        <v>8637912.9000000004</v>
      </c>
      <c r="R20" s="20">
        <f t="shared" si="13"/>
        <v>8637912.9000000004</v>
      </c>
      <c r="S20" s="20">
        <f t="shared" si="14"/>
        <v>0</v>
      </c>
      <c r="T20" s="20">
        <f t="shared" si="15"/>
        <v>0</v>
      </c>
      <c r="U20" s="130"/>
    </row>
    <row r="21" spans="1:21" s="9" customFormat="1" ht="36">
      <c r="A21" s="100" t="s">
        <v>144</v>
      </c>
      <c r="B21" s="100" t="s">
        <v>142</v>
      </c>
      <c r="C21" s="100" t="s">
        <v>4</v>
      </c>
      <c r="D21" s="101" t="s">
        <v>143</v>
      </c>
      <c r="E21" s="18">
        <f t="shared" si="29"/>
        <v>2091500</v>
      </c>
      <c r="F21" s="18">
        <v>2091500</v>
      </c>
      <c r="G21" s="18"/>
      <c r="H21" s="18"/>
      <c r="I21" s="18">
        <f t="shared" si="26"/>
        <v>2739415</v>
      </c>
      <c r="J21" s="18">
        <v>2739415</v>
      </c>
      <c r="K21" s="18"/>
      <c r="L21" s="18"/>
      <c r="M21" s="19">
        <f t="shared" si="22"/>
        <v>1.3097848434138177</v>
      </c>
      <c r="N21" s="19">
        <f t="shared" si="23"/>
        <v>1.3097848434138177</v>
      </c>
      <c r="O21" s="19" t="str">
        <f t="shared" si="30"/>
        <v/>
      </c>
      <c r="P21" s="19" t="str">
        <f t="shared" si="11"/>
        <v/>
      </c>
      <c r="Q21" s="20">
        <f t="shared" si="12"/>
        <v>647915</v>
      </c>
      <c r="R21" s="20">
        <f t="shared" si="13"/>
        <v>647915</v>
      </c>
      <c r="S21" s="20">
        <f t="shared" si="14"/>
        <v>0</v>
      </c>
      <c r="T21" s="20">
        <f t="shared" si="15"/>
        <v>0</v>
      </c>
      <c r="U21" s="130"/>
    </row>
    <row r="22" spans="1:21" s="9" customFormat="1" ht="33.6" customHeight="1">
      <c r="A22" s="100" t="s">
        <v>68</v>
      </c>
      <c r="B22" s="100" t="s">
        <v>40</v>
      </c>
      <c r="C22" s="100" t="s">
        <v>7</v>
      </c>
      <c r="D22" s="101" t="s">
        <v>55</v>
      </c>
      <c r="E22" s="18">
        <f t="shared" si="29"/>
        <v>6362551.1499999994</v>
      </c>
      <c r="F22" s="18">
        <f>F23+F24+F25</f>
        <v>6362551.1499999994</v>
      </c>
      <c r="G22" s="18">
        <f t="shared" ref="G22:L22" si="33">G23+G24+G25</f>
        <v>0</v>
      </c>
      <c r="H22" s="18">
        <f t="shared" si="33"/>
        <v>0</v>
      </c>
      <c r="I22" s="18">
        <f t="shared" si="26"/>
        <v>13046439.32</v>
      </c>
      <c r="J22" s="18">
        <f t="shared" ref="J22" si="34">J23+J24+J25</f>
        <v>13046439.32</v>
      </c>
      <c r="K22" s="18"/>
      <c r="L22" s="18">
        <f t="shared" si="33"/>
        <v>0</v>
      </c>
      <c r="M22" s="19" t="s">
        <v>364</v>
      </c>
      <c r="N22" s="19" t="s">
        <v>364</v>
      </c>
      <c r="O22" s="19" t="str">
        <f t="shared" si="30"/>
        <v/>
      </c>
      <c r="P22" s="19" t="str">
        <f t="shared" si="11"/>
        <v/>
      </c>
      <c r="Q22" s="20">
        <f t="shared" si="12"/>
        <v>6683888.1700000009</v>
      </c>
      <c r="R22" s="20">
        <f t="shared" si="13"/>
        <v>6683888.1700000009</v>
      </c>
      <c r="S22" s="20">
        <f t="shared" si="14"/>
        <v>0</v>
      </c>
      <c r="T22" s="20">
        <f t="shared" si="15"/>
        <v>0</v>
      </c>
      <c r="U22" s="130"/>
    </row>
    <row r="23" spans="1:21" s="6" customFormat="1" ht="54">
      <c r="A23" s="103"/>
      <c r="B23" s="103"/>
      <c r="C23" s="103"/>
      <c r="D23" s="88" t="s">
        <v>211</v>
      </c>
      <c r="E23" s="21">
        <f t="shared" si="29"/>
        <v>5529273.8499999996</v>
      </c>
      <c r="F23" s="21">
        <v>5529273.8499999996</v>
      </c>
      <c r="G23" s="21"/>
      <c r="H23" s="21"/>
      <c r="I23" s="21">
        <f t="shared" si="26"/>
        <v>8398674.4700000007</v>
      </c>
      <c r="J23" s="21">
        <v>8398674.4700000007</v>
      </c>
      <c r="K23" s="21"/>
      <c r="L23" s="21"/>
      <c r="M23" s="19">
        <f t="shared" ref="M23" si="35">IFERROR((I23/E23),"")</f>
        <v>1.5189470982704179</v>
      </c>
      <c r="N23" s="19">
        <f t="shared" ref="N23" si="36">IFERROR((J23/F23),"")</f>
        <v>1.5189470982704179</v>
      </c>
      <c r="O23" s="22" t="str">
        <f t="shared" si="30"/>
        <v/>
      </c>
      <c r="P23" s="22" t="str">
        <f t="shared" si="11"/>
        <v/>
      </c>
      <c r="Q23" s="23">
        <f t="shared" si="12"/>
        <v>2869400.620000001</v>
      </c>
      <c r="R23" s="23">
        <f t="shared" si="13"/>
        <v>2869400.620000001</v>
      </c>
      <c r="S23" s="23">
        <f t="shared" si="14"/>
        <v>0</v>
      </c>
      <c r="T23" s="23">
        <f t="shared" si="15"/>
        <v>0</v>
      </c>
      <c r="U23" s="129"/>
    </row>
    <row r="24" spans="1:21" s="6" customFormat="1" ht="54">
      <c r="A24" s="103"/>
      <c r="B24" s="103"/>
      <c r="C24" s="103"/>
      <c r="D24" s="88" t="s">
        <v>212</v>
      </c>
      <c r="E24" s="21">
        <f t="shared" si="29"/>
        <v>329627.53999999998</v>
      </c>
      <c r="F24" s="21">
        <v>329627.53999999998</v>
      </c>
      <c r="G24" s="21"/>
      <c r="H24" s="21"/>
      <c r="I24" s="21">
        <f t="shared" si="26"/>
        <v>1247689.06</v>
      </c>
      <c r="J24" s="21">
        <v>1247689.06</v>
      </c>
      <c r="K24" s="21"/>
      <c r="L24" s="21"/>
      <c r="M24" s="22" t="s">
        <v>287</v>
      </c>
      <c r="N24" s="22" t="s">
        <v>287</v>
      </c>
      <c r="O24" s="22" t="str">
        <f t="shared" si="30"/>
        <v/>
      </c>
      <c r="P24" s="22" t="str">
        <f t="shared" si="11"/>
        <v/>
      </c>
      <c r="Q24" s="23">
        <f t="shared" si="12"/>
        <v>918061.52</v>
      </c>
      <c r="R24" s="23">
        <f t="shared" si="13"/>
        <v>918061.52</v>
      </c>
      <c r="S24" s="23">
        <f t="shared" si="14"/>
        <v>0</v>
      </c>
      <c r="T24" s="23">
        <f t="shared" si="15"/>
        <v>0</v>
      </c>
      <c r="U24" s="129"/>
    </row>
    <row r="25" spans="1:21" s="6" customFormat="1" ht="54">
      <c r="A25" s="103"/>
      <c r="B25" s="103"/>
      <c r="C25" s="103"/>
      <c r="D25" s="88" t="s">
        <v>213</v>
      </c>
      <c r="E25" s="21">
        <f t="shared" si="29"/>
        <v>503649.76</v>
      </c>
      <c r="F25" s="21">
        <v>503649.76</v>
      </c>
      <c r="G25" s="21"/>
      <c r="H25" s="21"/>
      <c r="I25" s="21">
        <f t="shared" si="26"/>
        <v>3400075.79</v>
      </c>
      <c r="J25" s="21">
        <v>3400075.79</v>
      </c>
      <c r="K25" s="21"/>
      <c r="L25" s="21"/>
      <c r="M25" s="22" t="s">
        <v>391</v>
      </c>
      <c r="N25" s="22" t="s">
        <v>391</v>
      </c>
      <c r="O25" s="22" t="str">
        <f t="shared" si="30"/>
        <v/>
      </c>
      <c r="P25" s="22" t="str">
        <f t="shared" si="11"/>
        <v/>
      </c>
      <c r="Q25" s="23">
        <f t="shared" si="12"/>
        <v>2896426.0300000003</v>
      </c>
      <c r="R25" s="23">
        <f t="shared" si="13"/>
        <v>2896426.0300000003</v>
      </c>
      <c r="S25" s="23">
        <f t="shared" si="14"/>
        <v>0</v>
      </c>
      <c r="T25" s="23">
        <f t="shared" si="15"/>
        <v>0</v>
      </c>
      <c r="U25" s="129"/>
    </row>
    <row r="26" spans="1:21" s="6" customFormat="1">
      <c r="A26" s="70" t="s">
        <v>367</v>
      </c>
      <c r="B26" s="71">
        <v>7130</v>
      </c>
      <c r="C26" s="70" t="s">
        <v>350</v>
      </c>
      <c r="D26" s="122" t="s">
        <v>351</v>
      </c>
      <c r="E26" s="21">
        <f t="shared" ref="E26" si="37">F26+G26</f>
        <v>3000</v>
      </c>
      <c r="F26" s="21">
        <v>3000</v>
      </c>
      <c r="G26" s="21"/>
      <c r="H26" s="21"/>
      <c r="I26" s="21">
        <f t="shared" ref="I26" si="38">J26+K26</f>
        <v>0</v>
      </c>
      <c r="J26" s="21"/>
      <c r="K26" s="21"/>
      <c r="L26" s="21"/>
      <c r="M26" s="22"/>
      <c r="N26" s="22"/>
      <c r="O26" s="22" t="str">
        <f t="shared" ref="O26" si="39">IFERROR((K26/G26),"")</f>
        <v/>
      </c>
      <c r="P26" s="22" t="str">
        <f t="shared" ref="P26" si="40">IFERROR((L26/H26),"")</f>
        <v/>
      </c>
      <c r="Q26" s="23">
        <f t="shared" ref="Q26" si="41">I26-E26</f>
        <v>-3000</v>
      </c>
      <c r="R26" s="23">
        <f t="shared" ref="R26" si="42">J26-F26</f>
        <v>-3000</v>
      </c>
      <c r="S26" s="23">
        <f t="shared" ref="S26" si="43">K26-G26</f>
        <v>0</v>
      </c>
      <c r="T26" s="23">
        <f t="shared" ref="T26" si="44">L26-H26</f>
        <v>0</v>
      </c>
      <c r="U26" s="129"/>
    </row>
    <row r="27" spans="1:21" s="6" customFormat="1" ht="36">
      <c r="A27" s="76" t="s">
        <v>379</v>
      </c>
      <c r="B27" s="76" t="s">
        <v>380</v>
      </c>
      <c r="C27" s="76" t="s">
        <v>255</v>
      </c>
      <c r="D27" s="123" t="s">
        <v>381</v>
      </c>
      <c r="E27" s="21">
        <f t="shared" ref="E27" si="45">F27+G27</f>
        <v>0</v>
      </c>
      <c r="F27" s="21"/>
      <c r="G27" s="21"/>
      <c r="H27" s="21"/>
      <c r="I27" s="21">
        <f t="shared" ref="I27" si="46">J27+K27</f>
        <v>89999.98</v>
      </c>
      <c r="J27" s="21"/>
      <c r="K27" s="21">
        <v>89999.98</v>
      </c>
      <c r="L27" s="21">
        <f>K27</f>
        <v>89999.98</v>
      </c>
      <c r="M27" s="22"/>
      <c r="N27" s="22"/>
      <c r="O27" s="22" t="str">
        <f t="shared" ref="O27" si="47">IFERROR((K27/G27),"")</f>
        <v/>
      </c>
      <c r="P27" s="22" t="str">
        <f t="shared" ref="P27" si="48">IFERROR((L27/H27),"")</f>
        <v/>
      </c>
      <c r="Q27" s="23">
        <f t="shared" ref="Q27" si="49">I27-E27</f>
        <v>89999.98</v>
      </c>
      <c r="R27" s="23">
        <f t="shared" ref="R27" si="50">J27-F27</f>
        <v>0</v>
      </c>
      <c r="S27" s="23">
        <f t="shared" ref="S27" si="51">K27-G27</f>
        <v>89999.98</v>
      </c>
      <c r="T27" s="23">
        <f t="shared" ref="T27" si="52">L27-H27</f>
        <v>89999.98</v>
      </c>
      <c r="U27" s="129"/>
    </row>
    <row r="28" spans="1:21" s="6" customFormat="1" ht="36">
      <c r="A28" s="36" t="s">
        <v>318</v>
      </c>
      <c r="B28" s="37">
        <v>7350</v>
      </c>
      <c r="C28" s="36" t="s">
        <v>255</v>
      </c>
      <c r="D28" s="35" t="s">
        <v>256</v>
      </c>
      <c r="E28" s="21">
        <f t="shared" ref="E28" si="53">F28+G28</f>
        <v>259999</v>
      </c>
      <c r="F28" s="21"/>
      <c r="G28" s="21">
        <v>259999</v>
      </c>
      <c r="H28" s="21">
        <v>259999</v>
      </c>
      <c r="I28" s="21">
        <f t="shared" ref="I28" si="54">J28+K28</f>
        <v>283333.33</v>
      </c>
      <c r="J28" s="21"/>
      <c r="K28" s="21">
        <v>283333.33</v>
      </c>
      <c r="L28" s="21">
        <f>K28</f>
        <v>283333.33</v>
      </c>
      <c r="M28" s="22">
        <f t="shared" ref="M28" si="55">IFERROR((I28/E28),"")</f>
        <v>1.0897477682606471</v>
      </c>
      <c r="N28" s="22" t="str">
        <f t="shared" ref="N28" si="56">IFERROR((J28/F28),"")</f>
        <v/>
      </c>
      <c r="O28" s="22">
        <f t="shared" ref="O28" si="57">IFERROR((K28/G28),"")</f>
        <v>1.0897477682606471</v>
      </c>
      <c r="P28" s="22">
        <f t="shared" ref="P28" si="58">IFERROR((L28/H28),"")</f>
        <v>1.0897477682606471</v>
      </c>
      <c r="Q28" s="23">
        <f t="shared" ref="Q28" si="59">I28-E28</f>
        <v>23334.330000000016</v>
      </c>
      <c r="R28" s="23">
        <f t="shared" ref="R28" si="60">J28-F28</f>
        <v>0</v>
      </c>
      <c r="S28" s="23">
        <f t="shared" ref="S28" si="61">K28-G28</f>
        <v>23334.330000000016</v>
      </c>
      <c r="T28" s="23">
        <f t="shared" ref="T28" si="62">L28-H28</f>
        <v>23334.330000000016</v>
      </c>
      <c r="U28" s="129"/>
    </row>
    <row r="29" spans="1:21" s="6" customFormat="1" ht="36">
      <c r="A29" s="24" t="s">
        <v>293</v>
      </c>
      <c r="B29" s="25">
        <v>7520</v>
      </c>
      <c r="C29" s="24" t="s">
        <v>294</v>
      </c>
      <c r="D29" s="60" t="s">
        <v>295</v>
      </c>
      <c r="E29" s="21">
        <f t="shared" ref="E29" si="63">F29+G29</f>
        <v>0</v>
      </c>
      <c r="F29" s="21"/>
      <c r="G29" s="21"/>
      <c r="H29" s="21"/>
      <c r="I29" s="21">
        <f t="shared" ref="I29" si="64">J29+K29</f>
        <v>1694870.06</v>
      </c>
      <c r="J29" s="21">
        <f>871448.06+5361+5361+11886+95814+142000</f>
        <v>1131870.06</v>
      </c>
      <c r="K29" s="21">
        <v>563000</v>
      </c>
      <c r="L29" s="21">
        <f>K29</f>
        <v>563000</v>
      </c>
      <c r="M29" s="19"/>
      <c r="N29" s="19" t="str">
        <f t="shared" ref="N29" si="65">IFERROR((J29/F29),"")</f>
        <v/>
      </c>
      <c r="O29" s="19" t="str">
        <f t="shared" ref="O29" si="66">IFERROR((K29/G29),"")</f>
        <v/>
      </c>
      <c r="P29" s="19" t="str">
        <f t="shared" ref="P29" si="67">IFERROR((L29/H29),"")</f>
        <v/>
      </c>
      <c r="Q29" s="20">
        <f t="shared" ref="Q29" si="68">I29-E29</f>
        <v>1694870.06</v>
      </c>
      <c r="R29" s="20">
        <f t="shared" ref="R29" si="69">J29-F29</f>
        <v>1131870.06</v>
      </c>
      <c r="S29" s="20">
        <f t="shared" ref="S29" si="70">K29-G29</f>
        <v>563000</v>
      </c>
      <c r="T29" s="20">
        <f t="shared" ref="T29" si="71">L29-H29</f>
        <v>563000</v>
      </c>
      <c r="U29" s="129"/>
    </row>
    <row r="30" spans="1:21" s="6" customFormat="1">
      <c r="A30" s="99" t="s">
        <v>288</v>
      </c>
      <c r="B30" s="99" t="s">
        <v>257</v>
      </c>
      <c r="C30" s="99" t="s">
        <v>258</v>
      </c>
      <c r="D30" s="117" t="s">
        <v>259</v>
      </c>
      <c r="E30" s="21">
        <f t="shared" ref="E30" si="72">F30+G30</f>
        <v>0</v>
      </c>
      <c r="F30" s="21"/>
      <c r="G30" s="21"/>
      <c r="H30" s="21"/>
      <c r="I30" s="21">
        <f t="shared" ref="I30" si="73">J30+K30</f>
        <v>595613.84</v>
      </c>
      <c r="J30" s="21"/>
      <c r="K30" s="21">
        <v>595613.84</v>
      </c>
      <c r="L30" s="21">
        <f>K30</f>
        <v>595613.84</v>
      </c>
      <c r="M30" s="19"/>
      <c r="N30" s="19" t="str">
        <f t="shared" ref="N30" si="74">IFERROR((J30/F30),"")</f>
        <v/>
      </c>
      <c r="O30" s="19" t="str">
        <f t="shared" ref="O30" si="75">IFERROR((K30/G30),"")</f>
        <v/>
      </c>
      <c r="P30" s="19" t="str">
        <f t="shared" ref="P30" si="76">IFERROR((L30/H30),"")</f>
        <v/>
      </c>
      <c r="Q30" s="20">
        <f t="shared" ref="Q30" si="77">I30-E30</f>
        <v>595613.84</v>
      </c>
      <c r="R30" s="20">
        <f t="shared" ref="R30" si="78">J30-F30</f>
        <v>0</v>
      </c>
      <c r="S30" s="20">
        <f t="shared" ref="S30" si="79">K30-G30</f>
        <v>595613.84</v>
      </c>
      <c r="T30" s="20">
        <f t="shared" ref="T30" si="80">L30-H30</f>
        <v>595613.84</v>
      </c>
      <c r="U30" s="129"/>
    </row>
    <row r="31" spans="1:21" s="6" customFormat="1" ht="36">
      <c r="A31" s="98" t="s">
        <v>251</v>
      </c>
      <c r="B31" s="98" t="s">
        <v>252</v>
      </c>
      <c r="C31" s="98" t="s">
        <v>20</v>
      </c>
      <c r="D31" s="117" t="s">
        <v>253</v>
      </c>
      <c r="E31" s="18">
        <f t="shared" si="29"/>
        <v>105295</v>
      </c>
      <c r="F31" s="18">
        <v>105295</v>
      </c>
      <c r="G31" s="18"/>
      <c r="H31" s="18"/>
      <c r="I31" s="18">
        <f t="shared" si="26"/>
        <v>180578</v>
      </c>
      <c r="J31" s="18">
        <v>180578</v>
      </c>
      <c r="K31" s="18"/>
      <c r="L31" s="18"/>
      <c r="M31" s="19">
        <f t="shared" si="23"/>
        <v>1.7149722209031768</v>
      </c>
      <c r="N31" s="19">
        <f t="shared" si="23"/>
        <v>1.7149722209031768</v>
      </c>
      <c r="O31" s="19" t="str">
        <f t="shared" si="30"/>
        <v/>
      </c>
      <c r="P31" s="19" t="str">
        <f t="shared" si="11"/>
        <v/>
      </c>
      <c r="Q31" s="20">
        <f t="shared" si="12"/>
        <v>75283</v>
      </c>
      <c r="R31" s="20">
        <f t="shared" si="13"/>
        <v>75283</v>
      </c>
      <c r="S31" s="20">
        <f t="shared" si="14"/>
        <v>0</v>
      </c>
      <c r="T31" s="20">
        <f t="shared" si="15"/>
        <v>0</v>
      </c>
      <c r="U31" s="129"/>
    </row>
    <row r="32" spans="1:21" s="6" customFormat="1" ht="54">
      <c r="A32" s="56" t="s">
        <v>343</v>
      </c>
      <c r="B32" s="56">
        <v>8110</v>
      </c>
      <c r="C32" s="56" t="s">
        <v>5</v>
      </c>
      <c r="D32" s="61" t="s">
        <v>131</v>
      </c>
      <c r="E32" s="18">
        <f t="shared" ref="E32" si="81">F32+G32</f>
        <v>37442.1</v>
      </c>
      <c r="F32" s="18">
        <v>37442.1</v>
      </c>
      <c r="G32" s="18"/>
      <c r="H32" s="18"/>
      <c r="I32" s="18">
        <f t="shared" ref="I32" si="82">J32+K32</f>
        <v>52963.479999999996</v>
      </c>
      <c r="J32" s="18">
        <f>40387.43+12576.05</f>
        <v>52963.479999999996</v>
      </c>
      <c r="K32" s="18"/>
      <c r="L32" s="18"/>
      <c r="M32" s="19">
        <f t="shared" si="23"/>
        <v>1.4145435218644253</v>
      </c>
      <c r="N32" s="19">
        <f t="shared" ref="N32" si="83">IFERROR((J32/F32),"")</f>
        <v>1.4145435218644253</v>
      </c>
      <c r="O32" s="19" t="str">
        <f t="shared" ref="O32" si="84">IFERROR((K32/G32),"")</f>
        <v/>
      </c>
      <c r="P32" s="19" t="str">
        <f t="shared" ref="P32" si="85">IFERROR((L32/H32),"")</f>
        <v/>
      </c>
      <c r="Q32" s="20">
        <f t="shared" ref="Q32" si="86">I32-E32</f>
        <v>15521.379999999997</v>
      </c>
      <c r="R32" s="20">
        <f t="shared" ref="R32" si="87">J32-F32</f>
        <v>15521.379999999997</v>
      </c>
      <c r="S32" s="20">
        <f t="shared" ref="S32" si="88">K32-G32</f>
        <v>0</v>
      </c>
      <c r="T32" s="20">
        <f t="shared" ref="T32" si="89">L32-H32</f>
        <v>0</v>
      </c>
      <c r="U32" s="129"/>
    </row>
    <row r="33" spans="1:21" s="9" customFormat="1" ht="36">
      <c r="A33" s="100" t="s">
        <v>180</v>
      </c>
      <c r="B33" s="100" t="s">
        <v>181</v>
      </c>
      <c r="C33" s="100" t="s">
        <v>5</v>
      </c>
      <c r="D33" s="109" t="s">
        <v>182</v>
      </c>
      <c r="E33" s="18">
        <f t="shared" ref="E33:E36" si="90">F33+G33</f>
        <v>14021397.130000001</v>
      </c>
      <c r="F33" s="18">
        <v>13985447.130000001</v>
      </c>
      <c r="G33" s="18">
        <v>35950</v>
      </c>
      <c r="H33" s="18">
        <v>35950</v>
      </c>
      <c r="I33" s="18">
        <f t="shared" ref="I33:I36" si="91">J33+K33</f>
        <v>20411761.780000001</v>
      </c>
      <c r="J33" s="18">
        <v>20411761.780000001</v>
      </c>
      <c r="K33" s="18"/>
      <c r="L33" s="18"/>
      <c r="M33" s="19">
        <f t="shared" si="23"/>
        <v>1.4557580525500742</v>
      </c>
      <c r="N33" s="19">
        <f t="shared" si="23"/>
        <v>1.4595001211091061</v>
      </c>
      <c r="O33" s="19">
        <f t="shared" si="30"/>
        <v>0</v>
      </c>
      <c r="P33" s="19">
        <f t="shared" si="11"/>
        <v>0</v>
      </c>
      <c r="Q33" s="20">
        <f t="shared" si="12"/>
        <v>6390364.6500000004</v>
      </c>
      <c r="R33" s="20">
        <f t="shared" si="13"/>
        <v>6426314.6500000004</v>
      </c>
      <c r="S33" s="20">
        <f t="shared" si="14"/>
        <v>-35950</v>
      </c>
      <c r="T33" s="20">
        <f t="shared" si="15"/>
        <v>-35950</v>
      </c>
      <c r="U33" s="130"/>
    </row>
    <row r="34" spans="1:21" s="9" customFormat="1" ht="36">
      <c r="A34" s="99" t="s">
        <v>260</v>
      </c>
      <c r="B34" s="98">
        <v>8220</v>
      </c>
      <c r="C34" s="98" t="s">
        <v>216</v>
      </c>
      <c r="D34" s="117" t="s">
        <v>261</v>
      </c>
      <c r="E34" s="18">
        <f t="shared" si="90"/>
        <v>124020</v>
      </c>
      <c r="F34" s="18">
        <v>124020</v>
      </c>
      <c r="G34" s="18"/>
      <c r="H34" s="18"/>
      <c r="I34" s="18">
        <f t="shared" si="91"/>
        <v>207360</v>
      </c>
      <c r="J34" s="18">
        <v>207360</v>
      </c>
      <c r="K34" s="18"/>
      <c r="L34" s="18"/>
      <c r="M34" s="19" t="s">
        <v>364</v>
      </c>
      <c r="N34" s="19" t="s">
        <v>364</v>
      </c>
      <c r="O34" s="19" t="str">
        <f t="shared" si="30"/>
        <v/>
      </c>
      <c r="P34" s="19" t="str">
        <f t="shared" si="11"/>
        <v/>
      </c>
      <c r="Q34" s="20">
        <f t="shared" si="12"/>
        <v>83340</v>
      </c>
      <c r="R34" s="20">
        <f t="shared" si="13"/>
        <v>83340</v>
      </c>
      <c r="S34" s="20">
        <f t="shared" si="14"/>
        <v>0</v>
      </c>
      <c r="T34" s="20">
        <f t="shared" si="15"/>
        <v>0</v>
      </c>
      <c r="U34" s="130"/>
    </row>
    <row r="35" spans="1:21" s="9" customFormat="1" ht="34.5" customHeight="1">
      <c r="A35" s="100" t="s">
        <v>224</v>
      </c>
      <c r="B35" s="100" t="s">
        <v>225</v>
      </c>
      <c r="C35" s="100" t="s">
        <v>216</v>
      </c>
      <c r="D35" s="101" t="s">
        <v>226</v>
      </c>
      <c r="E35" s="18">
        <f t="shared" si="90"/>
        <v>1430036.4</v>
      </c>
      <c r="F35" s="18">
        <v>1430036.4</v>
      </c>
      <c r="G35" s="18"/>
      <c r="H35" s="18"/>
      <c r="I35" s="18">
        <f t="shared" si="91"/>
        <v>3896752.6</v>
      </c>
      <c r="J35" s="18">
        <v>3076015.6</v>
      </c>
      <c r="K35" s="18">
        <v>820737</v>
      </c>
      <c r="L35" s="18">
        <f>K35</f>
        <v>820737</v>
      </c>
      <c r="M35" s="19" t="s">
        <v>364</v>
      </c>
      <c r="N35" s="19" t="s">
        <v>364</v>
      </c>
      <c r="O35" s="19" t="str">
        <f t="shared" si="30"/>
        <v/>
      </c>
      <c r="P35" s="19" t="str">
        <f t="shared" si="11"/>
        <v/>
      </c>
      <c r="Q35" s="20">
        <f t="shared" si="12"/>
        <v>2466716.2000000002</v>
      </c>
      <c r="R35" s="20">
        <f t="shared" si="13"/>
        <v>1645979.2000000002</v>
      </c>
      <c r="S35" s="20">
        <f t="shared" si="14"/>
        <v>820737</v>
      </c>
      <c r="T35" s="20">
        <f t="shared" si="15"/>
        <v>820737</v>
      </c>
      <c r="U35" s="130"/>
    </row>
    <row r="36" spans="1:21" s="9" customFormat="1" ht="25.95" customHeight="1">
      <c r="A36" s="11" t="s">
        <v>285</v>
      </c>
      <c r="B36" s="12">
        <v>8240</v>
      </c>
      <c r="C36" s="11" t="s">
        <v>216</v>
      </c>
      <c r="D36" s="10" t="s">
        <v>234</v>
      </c>
      <c r="E36" s="18">
        <f t="shared" si="90"/>
        <v>1276500</v>
      </c>
      <c r="F36" s="18"/>
      <c r="G36" s="18">
        <v>1276500</v>
      </c>
      <c r="H36" s="18">
        <v>1276500</v>
      </c>
      <c r="I36" s="18">
        <f t="shared" si="91"/>
        <v>686922</v>
      </c>
      <c r="J36" s="73">
        <v>630266.4</v>
      </c>
      <c r="K36" s="18">
        <v>56655.6</v>
      </c>
      <c r="L36" s="18">
        <f>K36</f>
        <v>56655.6</v>
      </c>
      <c r="M36" s="19">
        <f t="shared" si="23"/>
        <v>0.53812925969447711</v>
      </c>
      <c r="N36" s="19" t="str">
        <f t="shared" si="23"/>
        <v/>
      </c>
      <c r="O36" s="19">
        <f t="shared" si="23"/>
        <v>4.4383548766157459E-2</v>
      </c>
      <c r="P36" s="19">
        <f t="shared" si="23"/>
        <v>4.4383548766157459E-2</v>
      </c>
      <c r="Q36" s="20">
        <f t="shared" si="12"/>
        <v>-589578</v>
      </c>
      <c r="R36" s="20">
        <f t="shared" si="13"/>
        <v>630266.4</v>
      </c>
      <c r="S36" s="20">
        <f t="shared" si="14"/>
        <v>-1219844.3999999999</v>
      </c>
      <c r="T36" s="20">
        <f t="shared" si="15"/>
        <v>-1219844.3999999999</v>
      </c>
      <c r="U36" s="130"/>
    </row>
    <row r="37" spans="1:21" s="33" customFormat="1" ht="40.5" customHeight="1">
      <c r="A37" s="36" t="s">
        <v>319</v>
      </c>
      <c r="B37" s="37">
        <v>8340</v>
      </c>
      <c r="C37" s="37" t="s">
        <v>320</v>
      </c>
      <c r="D37" s="35" t="s">
        <v>321</v>
      </c>
      <c r="E37" s="18">
        <f t="shared" ref="E37" si="92">F37+G37</f>
        <v>20000</v>
      </c>
      <c r="F37" s="18"/>
      <c r="G37" s="18">
        <v>20000</v>
      </c>
      <c r="H37" s="18"/>
      <c r="I37" s="18">
        <f t="shared" ref="I37" si="93">J37+K37</f>
        <v>0</v>
      </c>
      <c r="J37" s="18"/>
      <c r="K37" s="18"/>
      <c r="L37" s="18"/>
      <c r="M37" s="19">
        <f t="shared" ref="M37" si="94">IFERROR((I37/E37),"")</f>
        <v>0</v>
      </c>
      <c r="N37" s="19"/>
      <c r="O37" s="19">
        <f t="shared" ref="O37" si="95">IFERROR((K37/G37),"")</f>
        <v>0</v>
      </c>
      <c r="P37" s="19" t="str">
        <f t="shared" ref="P37" si="96">IFERROR((L37/H37),"")</f>
        <v/>
      </c>
      <c r="Q37" s="20">
        <f t="shared" ref="Q37" si="97">I37-E37</f>
        <v>-20000</v>
      </c>
      <c r="R37" s="20">
        <f t="shared" ref="R37" si="98">J37-F37</f>
        <v>0</v>
      </c>
      <c r="S37" s="20">
        <f t="shared" ref="S37" si="99">K37-G37</f>
        <v>-20000</v>
      </c>
      <c r="T37" s="20">
        <f t="shared" ref="T37" si="100">L37-H37</f>
        <v>0</v>
      </c>
      <c r="U37" s="130"/>
    </row>
    <row r="38" spans="1:21" s="34" customFormat="1" ht="39" customHeight="1">
      <c r="A38" s="39" t="s">
        <v>322</v>
      </c>
      <c r="B38" s="40">
        <v>8775</v>
      </c>
      <c r="C38" s="39" t="s">
        <v>6</v>
      </c>
      <c r="D38" s="38" t="s">
        <v>323</v>
      </c>
      <c r="E38" s="18">
        <f t="shared" ref="E38" si="101">F38+G38</f>
        <v>515422.48</v>
      </c>
      <c r="F38" s="18">
        <f>515422.48</f>
        <v>515422.48</v>
      </c>
      <c r="G38" s="18"/>
      <c r="H38" s="18"/>
      <c r="I38" s="18">
        <f t="shared" ref="I38" si="102">J38+K38</f>
        <v>0</v>
      </c>
      <c r="J38" s="18"/>
      <c r="K38" s="18"/>
      <c r="L38" s="18"/>
      <c r="M38" s="19">
        <f t="shared" ref="M38" si="103">IFERROR((I38/E38),"")</f>
        <v>0</v>
      </c>
      <c r="N38" s="19"/>
      <c r="O38" s="19" t="str">
        <f t="shared" ref="O38" si="104">IFERROR((K38/G38),"")</f>
        <v/>
      </c>
      <c r="P38" s="19" t="str">
        <f t="shared" ref="P38" si="105">IFERROR((L38/H38),"")</f>
        <v/>
      </c>
      <c r="Q38" s="20">
        <f t="shared" ref="Q38" si="106">I38-E38</f>
        <v>-515422.48</v>
      </c>
      <c r="R38" s="20">
        <f t="shared" ref="R38" si="107">J38-F38</f>
        <v>-515422.48</v>
      </c>
      <c r="S38" s="20">
        <f t="shared" ref="S38" si="108">K38-G38</f>
        <v>0</v>
      </c>
      <c r="T38" s="20">
        <f t="shared" ref="T38" si="109">L38-H38</f>
        <v>0</v>
      </c>
      <c r="U38" s="130"/>
    </row>
    <row r="39" spans="1:21" s="5" customFormat="1" ht="34.799999999999997">
      <c r="A39" s="102" t="s">
        <v>56</v>
      </c>
      <c r="B39" s="102"/>
      <c r="C39" s="102"/>
      <c r="D39" s="87" t="s">
        <v>245</v>
      </c>
      <c r="E39" s="17">
        <f t="shared" ref="E39:L39" si="110">E40</f>
        <v>298686630.53000003</v>
      </c>
      <c r="F39" s="17">
        <f t="shared" si="110"/>
        <v>282677729.66000003</v>
      </c>
      <c r="G39" s="17">
        <f t="shared" si="110"/>
        <v>16008900.870000001</v>
      </c>
      <c r="H39" s="17">
        <f t="shared" si="110"/>
        <v>2777105.09</v>
      </c>
      <c r="I39" s="17">
        <f t="shared" si="110"/>
        <v>346999860.26000005</v>
      </c>
      <c r="J39" s="17">
        <f t="shared" si="110"/>
        <v>325108429.52000004</v>
      </c>
      <c r="K39" s="17">
        <f t="shared" si="110"/>
        <v>21891430.740000002</v>
      </c>
      <c r="L39" s="17">
        <f t="shared" si="110"/>
        <v>9081818.0899999999</v>
      </c>
      <c r="M39" s="15">
        <f t="shared" si="22"/>
        <v>1.1617522339191122</v>
      </c>
      <c r="N39" s="15">
        <f t="shared" si="23"/>
        <v>1.1501027332822962</v>
      </c>
      <c r="O39" s="15">
        <f t="shared" si="22"/>
        <v>1.3674537007736498</v>
      </c>
      <c r="P39" s="15" t="s">
        <v>388</v>
      </c>
      <c r="Q39" s="16">
        <f t="shared" si="12"/>
        <v>48313229.730000019</v>
      </c>
      <c r="R39" s="16">
        <f t="shared" si="13"/>
        <v>42430699.860000014</v>
      </c>
      <c r="S39" s="16">
        <f t="shared" si="14"/>
        <v>5882529.870000001</v>
      </c>
      <c r="T39" s="16">
        <f t="shared" si="15"/>
        <v>6304713</v>
      </c>
      <c r="U39" s="127"/>
    </row>
    <row r="40" spans="1:21" s="5" customFormat="1" ht="34.799999999999997">
      <c r="A40" s="102" t="s">
        <v>57</v>
      </c>
      <c r="B40" s="102"/>
      <c r="C40" s="102"/>
      <c r="D40" s="87" t="s">
        <v>246</v>
      </c>
      <c r="E40" s="17">
        <f t="shared" ref="E40:E45" si="111">F40+G40</f>
        <v>298686630.53000003</v>
      </c>
      <c r="F40" s="17">
        <f>F41+F42+F43+F44+F45+F46+F47+F48+F50+F51+F52+F57+F63+F64+F54+F49+F66+F60+F65+F61+F58+F62+F53+F55+F56+F59</f>
        <v>282677729.66000003</v>
      </c>
      <c r="G40" s="17">
        <f t="shared" ref="G40:H40" si="112">G41+G42+G43+G44+G45+G46+G47+G48+G50+G51+G52+G57+G63+G64+G54+G49+G66+G60+G65+G61+G58+G62+G53+G55+G56+G59</f>
        <v>16008900.870000001</v>
      </c>
      <c r="H40" s="17">
        <f t="shared" si="112"/>
        <v>2777105.09</v>
      </c>
      <c r="I40" s="17">
        <f t="shared" si="26"/>
        <v>346999860.26000005</v>
      </c>
      <c r="J40" s="17">
        <f>J41+J42+J43+J44+J45+J46+J47+J48+J50+J51+J52+J57+J63+J64+J54+J49+J66+J60+J65+J61+J58+J62+J53+J55+J56+J59</f>
        <v>325108429.52000004</v>
      </c>
      <c r="K40" s="17">
        <f t="shared" ref="K40:L40" si="113">K41+K42+K43+K44+K45+K46+K47+K48+K50+K51+K52+K57+K63+K64+K54+K49+K66+K60+K65+K61+K58+K62+K53+K55+K56+K59</f>
        <v>21891430.740000002</v>
      </c>
      <c r="L40" s="17">
        <f t="shared" si="113"/>
        <v>9081818.0899999999</v>
      </c>
      <c r="M40" s="15">
        <f t="shared" si="22"/>
        <v>1.1617522339191122</v>
      </c>
      <c r="N40" s="15">
        <f t="shared" si="23"/>
        <v>1.1501027332822962</v>
      </c>
      <c r="O40" s="15">
        <f t="shared" si="22"/>
        <v>1.3674537007736498</v>
      </c>
      <c r="P40" s="15" t="s">
        <v>388</v>
      </c>
      <c r="Q40" s="16">
        <f t="shared" si="12"/>
        <v>48313229.730000019</v>
      </c>
      <c r="R40" s="16">
        <f t="shared" si="13"/>
        <v>42430699.860000014</v>
      </c>
      <c r="S40" s="16">
        <f t="shared" si="14"/>
        <v>5882529.870000001</v>
      </c>
      <c r="T40" s="16">
        <f t="shared" si="15"/>
        <v>6304713</v>
      </c>
      <c r="U40" s="127"/>
    </row>
    <row r="41" spans="1:21" s="9" customFormat="1" ht="60" customHeight="1">
      <c r="A41" s="100" t="s">
        <v>59</v>
      </c>
      <c r="B41" s="100" t="s">
        <v>58</v>
      </c>
      <c r="C41" s="100" t="s">
        <v>3</v>
      </c>
      <c r="D41" s="96" t="s">
        <v>227</v>
      </c>
      <c r="E41" s="18">
        <f t="shared" si="111"/>
        <v>3218727.47</v>
      </c>
      <c r="F41" s="18">
        <v>3218727.47</v>
      </c>
      <c r="G41" s="18"/>
      <c r="H41" s="18"/>
      <c r="I41" s="18">
        <f>J41+K41</f>
        <v>4671523.46</v>
      </c>
      <c r="J41" s="18">
        <v>4671523.46</v>
      </c>
      <c r="K41" s="18"/>
      <c r="L41" s="18"/>
      <c r="M41" s="19">
        <f t="shared" si="22"/>
        <v>1.4513572533060712</v>
      </c>
      <c r="N41" s="19">
        <f t="shared" si="23"/>
        <v>1.4513572533060712</v>
      </c>
      <c r="O41" s="19" t="str">
        <f t="shared" si="30"/>
        <v/>
      </c>
      <c r="P41" s="19" t="str">
        <f t="shared" si="11"/>
        <v/>
      </c>
      <c r="Q41" s="20">
        <f t="shared" si="12"/>
        <v>1452795.9899999998</v>
      </c>
      <c r="R41" s="20">
        <f t="shared" si="13"/>
        <v>1452795.9899999998</v>
      </c>
      <c r="S41" s="20">
        <f t="shared" si="14"/>
        <v>0</v>
      </c>
      <c r="T41" s="20">
        <f t="shared" si="15"/>
        <v>0</v>
      </c>
      <c r="U41" s="130"/>
    </row>
    <row r="42" spans="1:21" s="9" customFormat="1" ht="36">
      <c r="A42" s="100" t="s">
        <v>222</v>
      </c>
      <c r="B42" s="100" t="s">
        <v>8</v>
      </c>
      <c r="C42" s="100" t="s">
        <v>6</v>
      </c>
      <c r="D42" s="96" t="s">
        <v>119</v>
      </c>
      <c r="E42" s="18">
        <f t="shared" si="111"/>
        <v>49900</v>
      </c>
      <c r="F42" s="18">
        <v>49900</v>
      </c>
      <c r="G42" s="18"/>
      <c r="H42" s="18"/>
      <c r="I42" s="18">
        <f t="shared" si="26"/>
        <v>0</v>
      </c>
      <c r="J42" s="18"/>
      <c r="K42" s="18"/>
      <c r="L42" s="18"/>
      <c r="M42" s="19">
        <f t="shared" si="22"/>
        <v>0</v>
      </c>
      <c r="N42" s="19">
        <f t="shared" si="23"/>
        <v>0</v>
      </c>
      <c r="O42" s="19" t="str">
        <f t="shared" si="30"/>
        <v/>
      </c>
      <c r="P42" s="19" t="str">
        <f t="shared" si="11"/>
        <v/>
      </c>
      <c r="Q42" s="20">
        <f t="shared" si="12"/>
        <v>-49900</v>
      </c>
      <c r="R42" s="20">
        <f t="shared" si="13"/>
        <v>-49900</v>
      </c>
      <c r="S42" s="20">
        <f t="shared" si="14"/>
        <v>0</v>
      </c>
      <c r="T42" s="20">
        <f t="shared" si="15"/>
        <v>0</v>
      </c>
      <c r="U42" s="130"/>
    </row>
    <row r="43" spans="1:21" s="9" customFormat="1" ht="33" customHeight="1">
      <c r="A43" s="100" t="s">
        <v>60</v>
      </c>
      <c r="B43" s="100" t="s">
        <v>9</v>
      </c>
      <c r="C43" s="100" t="s">
        <v>10</v>
      </c>
      <c r="D43" s="109" t="s">
        <v>61</v>
      </c>
      <c r="E43" s="18">
        <f t="shared" si="111"/>
        <v>60539928.420000002</v>
      </c>
      <c r="F43" s="18">
        <v>58977196.590000004</v>
      </c>
      <c r="G43" s="18">
        <f>123548.22+1151901+287282.61</f>
        <v>1562731.83</v>
      </c>
      <c r="H43" s="18">
        <v>287282.61</v>
      </c>
      <c r="I43" s="18">
        <f t="shared" si="26"/>
        <v>69882350.189999998</v>
      </c>
      <c r="J43" s="18">
        <v>67114449.159999996</v>
      </c>
      <c r="K43" s="18">
        <f>2046458.35+154842.71+566599.97</f>
        <v>2767901.0300000003</v>
      </c>
      <c r="L43" s="18">
        <v>566599.97</v>
      </c>
      <c r="M43" s="19">
        <f t="shared" si="22"/>
        <v>1.1543183484655992</v>
      </c>
      <c r="N43" s="19">
        <f t="shared" si="23"/>
        <v>1.137972861385204</v>
      </c>
      <c r="O43" s="19">
        <f t="shared" si="23"/>
        <v>1.7711938650408114</v>
      </c>
      <c r="P43" s="19">
        <f t="shared" si="11"/>
        <v>1.9722738177573644</v>
      </c>
      <c r="Q43" s="20">
        <f t="shared" si="12"/>
        <v>9342421.7699999958</v>
      </c>
      <c r="R43" s="20">
        <f t="shared" si="13"/>
        <v>8137252.5699999928</v>
      </c>
      <c r="S43" s="20">
        <f t="shared" si="14"/>
        <v>1205169.2000000002</v>
      </c>
      <c r="T43" s="20">
        <f t="shared" si="15"/>
        <v>279317.36</v>
      </c>
      <c r="U43" s="130"/>
    </row>
    <row r="44" spans="1:21" s="9" customFormat="1" ht="63" customHeight="1">
      <c r="A44" s="100" t="s">
        <v>184</v>
      </c>
      <c r="B44" s="100" t="s">
        <v>186</v>
      </c>
      <c r="C44" s="100" t="s">
        <v>12</v>
      </c>
      <c r="D44" s="96" t="s">
        <v>241</v>
      </c>
      <c r="E44" s="18">
        <f t="shared" si="111"/>
        <v>57953794.75</v>
      </c>
      <c r="F44" s="18">
        <v>52079215.850000001</v>
      </c>
      <c r="G44" s="20">
        <f>4017999.8+56579.1+1800000</f>
        <v>5874578.9000000004</v>
      </c>
      <c r="H44" s="20">
        <v>1800000</v>
      </c>
      <c r="I44" s="18">
        <f t="shared" si="26"/>
        <v>73609591.670000002</v>
      </c>
      <c r="J44" s="18">
        <v>69723736.739999995</v>
      </c>
      <c r="K44" s="20">
        <f>146783.19+3204900.31+534171.43</f>
        <v>3885854.93</v>
      </c>
      <c r="L44" s="20">
        <v>534171.43000000005</v>
      </c>
      <c r="M44" s="19">
        <f t="shared" si="22"/>
        <v>1.2701427402215106</v>
      </c>
      <c r="N44" s="19">
        <f t="shared" si="23"/>
        <v>1.3388015852777091</v>
      </c>
      <c r="O44" s="19">
        <f t="shared" si="30"/>
        <v>0.66146952762861011</v>
      </c>
      <c r="P44" s="19">
        <f t="shared" si="11"/>
        <v>0.29676190555555559</v>
      </c>
      <c r="Q44" s="20">
        <f t="shared" si="12"/>
        <v>15655796.920000002</v>
      </c>
      <c r="R44" s="20">
        <f t="shared" si="13"/>
        <v>17644520.889999993</v>
      </c>
      <c r="S44" s="20">
        <f t="shared" si="14"/>
        <v>-1988723.9700000002</v>
      </c>
      <c r="T44" s="20">
        <f t="shared" si="15"/>
        <v>-1265828.5699999998</v>
      </c>
      <c r="U44" s="130"/>
    </row>
    <row r="45" spans="1:21" s="9" customFormat="1" ht="90">
      <c r="A45" s="100" t="s">
        <v>185</v>
      </c>
      <c r="B45" s="100" t="s">
        <v>187</v>
      </c>
      <c r="C45" s="100" t="s">
        <v>14</v>
      </c>
      <c r="D45" s="96" t="s">
        <v>242</v>
      </c>
      <c r="E45" s="18">
        <f t="shared" si="111"/>
        <v>7390156.5</v>
      </c>
      <c r="F45" s="18">
        <v>7083859.5300000003</v>
      </c>
      <c r="G45" s="20">
        <f>302396.97+3900</f>
        <v>306296.96999999997</v>
      </c>
      <c r="H45" s="20"/>
      <c r="I45" s="18">
        <f t="shared" si="26"/>
        <v>9597455.6099999994</v>
      </c>
      <c r="J45" s="18">
        <v>9344151.0099999998</v>
      </c>
      <c r="K45" s="20">
        <f>4354.16+239881.8+9068.64</f>
        <v>253304.59999999998</v>
      </c>
      <c r="L45" s="20">
        <v>9068.64</v>
      </c>
      <c r="M45" s="19">
        <f t="shared" si="22"/>
        <v>1.2986809697467163</v>
      </c>
      <c r="N45" s="19">
        <f t="shared" si="23"/>
        <v>1.319076270559532</v>
      </c>
      <c r="O45" s="19">
        <f t="shared" si="30"/>
        <v>0.82699022455233562</v>
      </c>
      <c r="P45" s="19" t="str">
        <f t="shared" si="11"/>
        <v/>
      </c>
      <c r="Q45" s="20">
        <f t="shared" si="12"/>
        <v>2207299.1099999994</v>
      </c>
      <c r="R45" s="20">
        <f t="shared" si="13"/>
        <v>2260291.4799999995</v>
      </c>
      <c r="S45" s="20">
        <f t="shared" si="14"/>
        <v>-52992.369999999995</v>
      </c>
      <c r="T45" s="20">
        <f t="shared" si="15"/>
        <v>9068.64</v>
      </c>
      <c r="U45" s="130"/>
    </row>
    <row r="46" spans="1:21" s="9" customFormat="1" ht="64.5" customHeight="1">
      <c r="A46" s="100" t="s">
        <v>191</v>
      </c>
      <c r="B46" s="100" t="s">
        <v>192</v>
      </c>
      <c r="C46" s="100" t="s">
        <v>12</v>
      </c>
      <c r="D46" s="96" t="s">
        <v>243</v>
      </c>
      <c r="E46" s="18">
        <f t="shared" ref="E46:E47" si="114">F46+G46</f>
        <v>107224201.69</v>
      </c>
      <c r="F46" s="18">
        <f>107099123.75+125077.94</f>
        <v>107224201.69</v>
      </c>
      <c r="G46" s="20"/>
      <c r="H46" s="20"/>
      <c r="I46" s="18">
        <f t="shared" si="26"/>
        <v>105948914.76000001</v>
      </c>
      <c r="J46" s="18">
        <f>105765086.34+183828.42</f>
        <v>105948914.76000001</v>
      </c>
      <c r="K46" s="20"/>
      <c r="L46" s="20"/>
      <c r="M46" s="19">
        <f t="shared" si="22"/>
        <v>0.98810635183195838</v>
      </c>
      <c r="N46" s="19">
        <f t="shared" si="23"/>
        <v>0.98810635183195838</v>
      </c>
      <c r="O46" s="19" t="str">
        <f t="shared" si="30"/>
        <v/>
      </c>
      <c r="P46" s="19" t="str">
        <f t="shared" si="11"/>
        <v/>
      </c>
      <c r="Q46" s="20">
        <f t="shared" si="12"/>
        <v>-1275286.9299999923</v>
      </c>
      <c r="R46" s="20">
        <f t="shared" si="13"/>
        <v>-1275286.9299999923</v>
      </c>
      <c r="S46" s="20">
        <f t="shared" si="14"/>
        <v>0</v>
      </c>
      <c r="T46" s="20">
        <f t="shared" si="15"/>
        <v>0</v>
      </c>
      <c r="U46" s="130"/>
    </row>
    <row r="47" spans="1:21" s="9" customFormat="1" ht="90">
      <c r="A47" s="100" t="s">
        <v>193</v>
      </c>
      <c r="B47" s="100" t="s">
        <v>194</v>
      </c>
      <c r="C47" s="100" t="s">
        <v>14</v>
      </c>
      <c r="D47" s="96" t="s">
        <v>244</v>
      </c>
      <c r="E47" s="18">
        <f t="shared" si="114"/>
        <v>9319098.9900000002</v>
      </c>
      <c r="F47" s="18">
        <v>9319098.9900000002</v>
      </c>
      <c r="G47" s="20"/>
      <c r="H47" s="20"/>
      <c r="I47" s="18">
        <f t="shared" si="26"/>
        <v>9814810.5500000007</v>
      </c>
      <c r="J47" s="18">
        <v>9814810.5500000007</v>
      </c>
      <c r="K47" s="20"/>
      <c r="L47" s="20"/>
      <c r="M47" s="19">
        <f t="shared" si="22"/>
        <v>1.0531930780574315</v>
      </c>
      <c r="N47" s="19">
        <f t="shared" si="23"/>
        <v>1.0531930780574315</v>
      </c>
      <c r="O47" s="19" t="str">
        <f t="shared" si="30"/>
        <v/>
      </c>
      <c r="P47" s="19" t="str">
        <f t="shared" si="11"/>
        <v/>
      </c>
      <c r="Q47" s="20">
        <f t="shared" si="12"/>
        <v>495711.56000000052</v>
      </c>
      <c r="R47" s="20">
        <f t="shared" si="13"/>
        <v>495711.56000000052</v>
      </c>
      <c r="S47" s="20">
        <f t="shared" si="14"/>
        <v>0</v>
      </c>
      <c r="T47" s="20">
        <f t="shared" si="15"/>
        <v>0</v>
      </c>
      <c r="U47" s="130"/>
    </row>
    <row r="48" spans="1:21" s="9" customFormat="1" ht="54">
      <c r="A48" s="100" t="s">
        <v>62</v>
      </c>
      <c r="B48" s="100" t="s">
        <v>32</v>
      </c>
      <c r="C48" s="100" t="s">
        <v>15</v>
      </c>
      <c r="D48" s="96" t="s">
        <v>221</v>
      </c>
      <c r="E48" s="18">
        <f t="shared" ref="E48:E66" si="115">F48+G48</f>
        <v>15228865.630000001</v>
      </c>
      <c r="F48" s="18">
        <v>15117989.140000001</v>
      </c>
      <c r="G48" s="20">
        <f>57908+52968.49</f>
        <v>110876.48999999999</v>
      </c>
      <c r="H48" s="20"/>
      <c r="I48" s="18">
        <f t="shared" si="26"/>
        <v>15783342.529999999</v>
      </c>
      <c r="J48" s="18">
        <v>15727339.91</v>
      </c>
      <c r="K48" s="20">
        <f>8951.6+43569+3482.02</f>
        <v>56002.619999999995</v>
      </c>
      <c r="L48" s="20">
        <v>3482.02</v>
      </c>
      <c r="M48" s="19">
        <f t="shared" si="22"/>
        <v>1.0364095996032503</v>
      </c>
      <c r="N48" s="19">
        <f t="shared" si="23"/>
        <v>1.0403063373281403</v>
      </c>
      <c r="O48" s="19">
        <f t="shared" si="30"/>
        <v>0.50509012325336056</v>
      </c>
      <c r="P48" s="19" t="str">
        <f t="shared" si="11"/>
        <v/>
      </c>
      <c r="Q48" s="20">
        <f t="shared" si="12"/>
        <v>554476.89999999851</v>
      </c>
      <c r="R48" s="20">
        <f t="shared" si="13"/>
        <v>609350.76999999955</v>
      </c>
      <c r="S48" s="20">
        <f t="shared" si="14"/>
        <v>-54873.869999999995</v>
      </c>
      <c r="T48" s="20">
        <f t="shared" si="15"/>
        <v>3482.02</v>
      </c>
      <c r="U48" s="130"/>
    </row>
    <row r="49" spans="1:21" s="9" customFormat="1" ht="36">
      <c r="A49" s="98" t="s">
        <v>262</v>
      </c>
      <c r="B49" s="98" t="s">
        <v>263</v>
      </c>
      <c r="C49" s="98" t="s">
        <v>264</v>
      </c>
      <c r="D49" s="117" t="s">
        <v>265</v>
      </c>
      <c r="E49" s="18">
        <f t="shared" si="115"/>
        <v>10400</v>
      </c>
      <c r="F49" s="18">
        <v>10400</v>
      </c>
      <c r="G49" s="20"/>
      <c r="H49" s="20"/>
      <c r="I49" s="18">
        <f t="shared" si="26"/>
        <v>17000</v>
      </c>
      <c r="J49" s="18">
        <v>17000</v>
      </c>
      <c r="K49" s="20"/>
      <c r="L49" s="20"/>
      <c r="M49" s="19">
        <f t="shared" si="23"/>
        <v>1.6346153846153846</v>
      </c>
      <c r="N49" s="19">
        <f t="shared" si="23"/>
        <v>1.6346153846153846</v>
      </c>
      <c r="O49" s="19" t="str">
        <f t="shared" si="30"/>
        <v/>
      </c>
      <c r="P49" s="19" t="str">
        <f t="shared" si="11"/>
        <v/>
      </c>
      <c r="Q49" s="20">
        <f t="shared" si="12"/>
        <v>6600</v>
      </c>
      <c r="R49" s="20">
        <f t="shared" si="13"/>
        <v>6600</v>
      </c>
      <c r="S49" s="20">
        <f t="shared" si="14"/>
        <v>0</v>
      </c>
      <c r="T49" s="20">
        <f t="shared" si="15"/>
        <v>0</v>
      </c>
      <c r="U49" s="130"/>
    </row>
    <row r="50" spans="1:21" s="9" customFormat="1" ht="43.95" customHeight="1">
      <c r="A50" s="100" t="s">
        <v>195</v>
      </c>
      <c r="B50" s="100" t="s">
        <v>196</v>
      </c>
      <c r="C50" s="100" t="s">
        <v>16</v>
      </c>
      <c r="D50" s="96" t="s">
        <v>148</v>
      </c>
      <c r="E50" s="18">
        <f t="shared" si="115"/>
        <v>19836207.239999998</v>
      </c>
      <c r="F50" s="18">
        <v>12391653.039999999</v>
      </c>
      <c r="G50" s="20">
        <f>7444554.2</f>
        <v>7444554.2000000002</v>
      </c>
      <c r="H50" s="20"/>
      <c r="I50" s="18">
        <f t="shared" si="26"/>
        <v>14201658.140000001</v>
      </c>
      <c r="J50" s="18">
        <v>14201658.140000001</v>
      </c>
      <c r="K50" s="20"/>
      <c r="L50" s="20"/>
      <c r="M50" s="19">
        <f t="shared" si="22"/>
        <v>0.71594624759526371</v>
      </c>
      <c r="N50" s="19">
        <f t="shared" si="23"/>
        <v>1.1460664766966395</v>
      </c>
      <c r="O50" s="19"/>
      <c r="P50" s="19" t="str">
        <f t="shared" si="11"/>
        <v/>
      </c>
      <c r="Q50" s="20">
        <f t="shared" si="12"/>
        <v>-5634549.0999999978</v>
      </c>
      <c r="R50" s="20">
        <f t="shared" si="13"/>
        <v>1810005.1000000015</v>
      </c>
      <c r="S50" s="20">
        <f t="shared" si="14"/>
        <v>-7444554.2000000002</v>
      </c>
      <c r="T50" s="20">
        <f t="shared" si="15"/>
        <v>0</v>
      </c>
      <c r="U50" s="130"/>
    </row>
    <row r="51" spans="1:21" s="9" customFormat="1" ht="64.2" customHeight="1">
      <c r="A51" s="100" t="s">
        <v>197</v>
      </c>
      <c r="B51" s="100" t="s">
        <v>198</v>
      </c>
      <c r="C51" s="100" t="s">
        <v>16</v>
      </c>
      <c r="D51" s="96" t="s">
        <v>199</v>
      </c>
      <c r="E51" s="18">
        <f t="shared" si="115"/>
        <v>267324.13</v>
      </c>
      <c r="F51" s="18">
        <v>267324.13</v>
      </c>
      <c r="G51" s="20"/>
      <c r="H51" s="20"/>
      <c r="I51" s="18">
        <f t="shared" si="26"/>
        <v>354463.99</v>
      </c>
      <c r="J51" s="18">
        <v>354463.99</v>
      </c>
      <c r="K51" s="20"/>
      <c r="L51" s="20"/>
      <c r="M51" s="19">
        <f t="shared" si="22"/>
        <v>1.3259707980719884</v>
      </c>
      <c r="N51" s="19">
        <f t="shared" si="23"/>
        <v>1.3259707980719884</v>
      </c>
      <c r="O51" s="19" t="str">
        <f t="shared" si="30"/>
        <v/>
      </c>
      <c r="P51" s="19" t="str">
        <f t="shared" si="11"/>
        <v/>
      </c>
      <c r="Q51" s="20">
        <f t="shared" si="12"/>
        <v>87139.859999999986</v>
      </c>
      <c r="R51" s="20">
        <f t="shared" si="13"/>
        <v>87139.859999999986</v>
      </c>
      <c r="S51" s="20">
        <f t="shared" si="14"/>
        <v>0</v>
      </c>
      <c r="T51" s="20">
        <f t="shared" si="15"/>
        <v>0</v>
      </c>
      <c r="U51" s="130"/>
    </row>
    <row r="52" spans="1:21" s="9" customFormat="1" ht="54">
      <c r="A52" s="100" t="s">
        <v>200</v>
      </c>
      <c r="B52" s="100" t="s">
        <v>201</v>
      </c>
      <c r="C52" s="100" t="s">
        <v>16</v>
      </c>
      <c r="D52" s="96" t="s">
        <v>202</v>
      </c>
      <c r="E52" s="18">
        <f t="shared" si="115"/>
        <v>1427813.76</v>
      </c>
      <c r="F52" s="18">
        <v>1427813.76</v>
      </c>
      <c r="G52" s="20"/>
      <c r="H52" s="20"/>
      <c r="I52" s="18">
        <f t="shared" si="26"/>
        <v>1363625.97</v>
      </c>
      <c r="J52" s="18">
        <f>1363625.97</f>
        <v>1363625.97</v>
      </c>
      <c r="K52" s="20"/>
      <c r="L52" s="20"/>
      <c r="M52" s="19">
        <f t="shared" si="22"/>
        <v>0.95504470414965037</v>
      </c>
      <c r="N52" s="19">
        <f t="shared" si="23"/>
        <v>0.95504470414965037</v>
      </c>
      <c r="O52" s="19" t="str">
        <f t="shared" si="30"/>
        <v/>
      </c>
      <c r="P52" s="19" t="str">
        <f t="shared" si="11"/>
        <v/>
      </c>
      <c r="Q52" s="20">
        <f t="shared" si="12"/>
        <v>-64187.790000000037</v>
      </c>
      <c r="R52" s="20">
        <f t="shared" si="13"/>
        <v>-64187.790000000037</v>
      </c>
      <c r="S52" s="20">
        <f t="shared" si="14"/>
        <v>0</v>
      </c>
      <c r="T52" s="20">
        <f t="shared" si="15"/>
        <v>0</v>
      </c>
      <c r="U52" s="130"/>
    </row>
    <row r="53" spans="1:21" s="45" customFormat="1" ht="126">
      <c r="A53" s="47" t="s">
        <v>330</v>
      </c>
      <c r="B53" s="48">
        <v>1154</v>
      </c>
      <c r="C53" s="47" t="s">
        <v>16</v>
      </c>
      <c r="D53" s="46" t="s">
        <v>331</v>
      </c>
      <c r="E53" s="18">
        <f t="shared" ref="E53" si="116">F53+G53</f>
        <v>245454.99</v>
      </c>
      <c r="F53" s="18">
        <v>245454.99</v>
      </c>
      <c r="G53" s="20"/>
      <c r="H53" s="20"/>
      <c r="I53" s="18">
        <f t="shared" ref="I53" si="117">J53+K53</f>
        <v>0</v>
      </c>
      <c r="J53" s="18"/>
      <c r="K53" s="20"/>
      <c r="L53" s="20"/>
      <c r="M53" s="19">
        <f t="shared" ref="M53" si="118">IFERROR((I53/E53),"")</f>
        <v>0</v>
      </c>
      <c r="N53" s="19">
        <f t="shared" ref="N53" si="119">IFERROR((J53/F53),"")</f>
        <v>0</v>
      </c>
      <c r="O53" s="19" t="str">
        <f t="shared" ref="O53" si="120">IFERROR((K53/G53),"")</f>
        <v/>
      </c>
      <c r="P53" s="19" t="str">
        <f t="shared" ref="P53" si="121">IFERROR((L53/H53),"")</f>
        <v/>
      </c>
      <c r="Q53" s="20">
        <f t="shared" ref="Q53" si="122">I53-E53</f>
        <v>-245454.99</v>
      </c>
      <c r="R53" s="20">
        <f t="shared" ref="R53" si="123">J53-F53</f>
        <v>-245454.99</v>
      </c>
      <c r="S53" s="20">
        <f t="shared" ref="S53" si="124">K53-G53</f>
        <v>0</v>
      </c>
      <c r="T53" s="20">
        <f t="shared" ref="T53" si="125">L53-H53</f>
        <v>0</v>
      </c>
      <c r="U53" s="130"/>
    </row>
    <row r="54" spans="1:21" s="9" customFormat="1" ht="36">
      <c r="A54" s="99" t="s">
        <v>278</v>
      </c>
      <c r="B54" s="99">
        <v>1160</v>
      </c>
      <c r="C54" s="98" t="s">
        <v>16</v>
      </c>
      <c r="D54" s="117" t="s">
        <v>240</v>
      </c>
      <c r="E54" s="18">
        <f t="shared" ref="E54" si="126">F54+G54</f>
        <v>2753605.14</v>
      </c>
      <c r="F54" s="18">
        <v>2753605.14</v>
      </c>
      <c r="G54" s="20"/>
      <c r="H54" s="20"/>
      <c r="I54" s="18">
        <f t="shared" si="26"/>
        <v>3199918.23</v>
      </c>
      <c r="J54" s="18">
        <v>3199918.23</v>
      </c>
      <c r="K54" s="20"/>
      <c r="L54" s="20"/>
      <c r="M54" s="19">
        <f t="shared" si="22"/>
        <v>1.1620831845193316</v>
      </c>
      <c r="N54" s="19">
        <f t="shared" si="23"/>
        <v>1.1620831845193316</v>
      </c>
      <c r="O54" s="19" t="str">
        <f t="shared" si="30"/>
        <v/>
      </c>
      <c r="P54" s="19" t="str">
        <f t="shared" si="11"/>
        <v/>
      </c>
      <c r="Q54" s="20">
        <f t="shared" si="12"/>
        <v>446313.08999999985</v>
      </c>
      <c r="R54" s="20">
        <f t="shared" si="13"/>
        <v>446313.08999999985</v>
      </c>
      <c r="S54" s="20">
        <f t="shared" si="14"/>
        <v>0</v>
      </c>
      <c r="T54" s="20">
        <f t="shared" si="15"/>
        <v>0</v>
      </c>
      <c r="U54" s="130"/>
    </row>
    <row r="55" spans="1:21" s="55" customFormat="1" ht="108">
      <c r="A55" s="56" t="s">
        <v>352</v>
      </c>
      <c r="B55" s="56" t="s">
        <v>353</v>
      </c>
      <c r="C55" s="56" t="s">
        <v>16</v>
      </c>
      <c r="D55" s="61" t="s">
        <v>354</v>
      </c>
      <c r="E55" s="18">
        <f t="shared" ref="E55" si="127">F55+G55</f>
        <v>0</v>
      </c>
      <c r="F55" s="18"/>
      <c r="G55" s="20"/>
      <c r="H55" s="20"/>
      <c r="I55" s="18">
        <f t="shared" ref="I55" si="128">J55+K55</f>
        <v>1291800</v>
      </c>
      <c r="J55" s="18"/>
      <c r="K55" s="20">
        <v>1291800</v>
      </c>
      <c r="L55" s="20">
        <v>1291800</v>
      </c>
      <c r="M55" s="19" t="str">
        <f t="shared" ref="M55" si="129">IFERROR((I55/E55),"")</f>
        <v/>
      </c>
      <c r="N55" s="19" t="str">
        <f t="shared" ref="N55" si="130">IFERROR((J55/F55),"")</f>
        <v/>
      </c>
      <c r="O55" s="19" t="str">
        <f t="shared" ref="O55" si="131">IFERROR((K55/G55),"")</f>
        <v/>
      </c>
      <c r="P55" s="19" t="str">
        <f t="shared" ref="P55" si="132">IFERROR((L55/H55),"")</f>
        <v/>
      </c>
      <c r="Q55" s="20">
        <f t="shared" ref="Q55" si="133">I55-E55</f>
        <v>1291800</v>
      </c>
      <c r="R55" s="20">
        <f t="shared" ref="R55" si="134">J55-F55</f>
        <v>0</v>
      </c>
      <c r="S55" s="20">
        <f t="shared" ref="S55" si="135">K55-G55</f>
        <v>1291800</v>
      </c>
      <c r="T55" s="20">
        <f t="shared" ref="T55" si="136">L55-H55</f>
        <v>1291800</v>
      </c>
      <c r="U55" s="130"/>
    </row>
    <row r="56" spans="1:21" s="55" customFormat="1" ht="103.5" customHeight="1">
      <c r="A56" s="56" t="s">
        <v>355</v>
      </c>
      <c r="B56" s="56" t="s">
        <v>356</v>
      </c>
      <c r="C56" s="56" t="s">
        <v>16</v>
      </c>
      <c r="D56" s="61" t="s">
        <v>357</v>
      </c>
      <c r="E56" s="18">
        <f t="shared" ref="E56" si="137">F56+G56</f>
        <v>0</v>
      </c>
      <c r="F56" s="18"/>
      <c r="G56" s="20"/>
      <c r="H56" s="20"/>
      <c r="I56" s="18">
        <f t="shared" ref="I56" si="138">J56+K56</f>
        <v>3043200</v>
      </c>
      <c r="J56" s="18"/>
      <c r="K56" s="20">
        <v>3043200</v>
      </c>
      <c r="L56" s="20">
        <v>3043200</v>
      </c>
      <c r="M56" s="19" t="str">
        <f t="shared" ref="M56" si="139">IFERROR((I56/E56),"")</f>
        <v/>
      </c>
      <c r="N56" s="19" t="str">
        <f t="shared" ref="N56" si="140">IFERROR((J56/F56),"")</f>
        <v/>
      </c>
      <c r="O56" s="19" t="str">
        <f t="shared" ref="O56" si="141">IFERROR((K56/G56),"")</f>
        <v/>
      </c>
      <c r="P56" s="19" t="str">
        <f t="shared" ref="P56" si="142">IFERROR((L56/H56),"")</f>
        <v/>
      </c>
      <c r="Q56" s="20">
        <f t="shared" ref="Q56" si="143">I56-E56</f>
        <v>3043200</v>
      </c>
      <c r="R56" s="20">
        <f t="shared" ref="R56" si="144">J56-F56</f>
        <v>0</v>
      </c>
      <c r="S56" s="20">
        <f t="shared" ref="S56" si="145">K56-G56</f>
        <v>3043200</v>
      </c>
      <c r="T56" s="20">
        <f t="shared" ref="T56" si="146">L56-H56</f>
        <v>3043200</v>
      </c>
      <c r="U56" s="130"/>
    </row>
    <row r="57" spans="1:21" s="9" customFormat="1" ht="93.75" customHeight="1">
      <c r="A57" s="100" t="s">
        <v>218</v>
      </c>
      <c r="B57" s="100" t="s">
        <v>219</v>
      </c>
      <c r="C57" s="100" t="s">
        <v>16</v>
      </c>
      <c r="D57" s="101" t="s">
        <v>220</v>
      </c>
      <c r="E57" s="18">
        <f t="shared" si="115"/>
        <v>216561.31</v>
      </c>
      <c r="F57" s="18">
        <v>216561.31</v>
      </c>
      <c r="G57" s="18"/>
      <c r="H57" s="18"/>
      <c r="I57" s="18">
        <f t="shared" si="26"/>
        <v>198162.83</v>
      </c>
      <c r="J57" s="18">
        <v>198162.83</v>
      </c>
      <c r="K57" s="18"/>
      <c r="L57" s="18"/>
      <c r="M57" s="19">
        <f t="shared" si="22"/>
        <v>0.91504262695861971</v>
      </c>
      <c r="N57" s="19">
        <f t="shared" si="23"/>
        <v>0.91504262695861971</v>
      </c>
      <c r="O57" s="19" t="str">
        <f t="shared" si="30"/>
        <v/>
      </c>
      <c r="P57" s="19" t="str">
        <f t="shared" si="11"/>
        <v/>
      </c>
      <c r="Q57" s="20">
        <f t="shared" si="12"/>
        <v>-18398.48000000001</v>
      </c>
      <c r="R57" s="20">
        <f t="shared" si="13"/>
        <v>-18398.48000000001</v>
      </c>
      <c r="S57" s="20">
        <f t="shared" si="14"/>
        <v>0</v>
      </c>
      <c r="T57" s="20">
        <f t="shared" si="15"/>
        <v>0</v>
      </c>
      <c r="U57" s="130"/>
    </row>
    <row r="58" spans="1:21" s="41" customFormat="1" ht="93.75" customHeight="1">
      <c r="A58" s="44" t="s">
        <v>324</v>
      </c>
      <c r="B58" s="44" t="s">
        <v>325</v>
      </c>
      <c r="C58" s="44" t="s">
        <v>16</v>
      </c>
      <c r="D58" s="43" t="s">
        <v>326</v>
      </c>
      <c r="E58" s="18">
        <f t="shared" ref="E58" si="147">F58+G58</f>
        <v>97284</v>
      </c>
      <c r="F58" s="18">
        <v>97284</v>
      </c>
      <c r="G58" s="18"/>
      <c r="H58" s="18"/>
      <c r="I58" s="18">
        <f t="shared" ref="I58" si="148">J58+K58</f>
        <v>0</v>
      </c>
      <c r="J58" s="18"/>
      <c r="K58" s="18"/>
      <c r="L58" s="18"/>
      <c r="M58" s="19">
        <f t="shared" ref="M58" si="149">IFERROR((I58/E58),"")</f>
        <v>0</v>
      </c>
      <c r="N58" s="19">
        <f t="shared" ref="N58" si="150">IFERROR((J58/F58),"")</f>
        <v>0</v>
      </c>
      <c r="O58" s="19" t="str">
        <f t="shared" ref="O58" si="151">IFERROR((K58/G58),"")</f>
        <v/>
      </c>
      <c r="P58" s="19" t="str">
        <f t="shared" ref="P58" si="152">IFERROR((L58/H58),"")</f>
        <v/>
      </c>
      <c r="Q58" s="20">
        <f t="shared" ref="Q58" si="153">I58-E58</f>
        <v>-97284</v>
      </c>
      <c r="R58" s="20">
        <f t="shared" ref="R58" si="154">J58-F58</f>
        <v>-97284</v>
      </c>
      <c r="S58" s="20">
        <f t="shared" ref="S58" si="155">K58-G58</f>
        <v>0</v>
      </c>
      <c r="T58" s="20">
        <f t="shared" ref="T58" si="156">L58-H58</f>
        <v>0</v>
      </c>
      <c r="U58" s="130"/>
    </row>
    <row r="59" spans="1:21" s="55" customFormat="1" ht="93.75" customHeight="1">
      <c r="A59" s="76" t="s">
        <v>382</v>
      </c>
      <c r="B59" s="76" t="s">
        <v>383</v>
      </c>
      <c r="C59" s="76" t="s">
        <v>16</v>
      </c>
      <c r="D59" s="123" t="s">
        <v>384</v>
      </c>
      <c r="E59" s="18">
        <f t="shared" ref="E59" si="157">F59+G59</f>
        <v>0</v>
      </c>
      <c r="F59" s="18"/>
      <c r="G59" s="18"/>
      <c r="H59" s="18"/>
      <c r="I59" s="18">
        <f t="shared" ref="I59" si="158">J59+K59</f>
        <v>33235.199999999997</v>
      </c>
      <c r="J59" s="18"/>
      <c r="K59" s="18">
        <v>33235.199999999997</v>
      </c>
      <c r="L59" s="18">
        <v>33235.199999999997</v>
      </c>
      <c r="M59" s="19" t="str">
        <f t="shared" ref="M59" si="159">IFERROR((I59/E59),"")</f>
        <v/>
      </c>
      <c r="N59" s="19" t="str">
        <f t="shared" ref="N59" si="160">IFERROR((J59/F59),"")</f>
        <v/>
      </c>
      <c r="O59" s="19" t="str">
        <f t="shared" ref="O59" si="161">IFERROR((K59/G59),"")</f>
        <v/>
      </c>
      <c r="P59" s="19" t="str">
        <f t="shared" ref="P59" si="162">IFERROR((L59/H59),"")</f>
        <v/>
      </c>
      <c r="Q59" s="20">
        <f t="shared" ref="Q59" si="163">I59-E59</f>
        <v>33235.199999999997</v>
      </c>
      <c r="R59" s="20">
        <f t="shared" ref="R59" si="164">J59-F59</f>
        <v>0</v>
      </c>
      <c r="S59" s="20">
        <f t="shared" ref="S59" si="165">K59-G59</f>
        <v>33235.199999999997</v>
      </c>
      <c r="T59" s="20">
        <f t="shared" ref="T59" si="166">L59-H59</f>
        <v>33235.199999999997</v>
      </c>
      <c r="U59" s="130"/>
    </row>
    <row r="60" spans="1:21" s="9" customFormat="1" ht="69.75" customHeight="1">
      <c r="A60" s="28" t="s">
        <v>296</v>
      </c>
      <c r="B60" s="28" t="s">
        <v>297</v>
      </c>
      <c r="C60" s="28" t="s">
        <v>16</v>
      </c>
      <c r="D60" s="62" t="s">
        <v>298</v>
      </c>
      <c r="E60" s="18">
        <f t="shared" ref="E60" si="167">F60+G60</f>
        <v>0</v>
      </c>
      <c r="F60" s="18"/>
      <c r="G60" s="20"/>
      <c r="H60" s="18"/>
      <c r="I60" s="18">
        <f t="shared" ref="I60" si="168">J60+K60</f>
        <v>6909881.5300000003</v>
      </c>
      <c r="J60" s="18"/>
      <c r="K60" s="18">
        <v>6909881.5300000003</v>
      </c>
      <c r="L60" s="18"/>
      <c r="M60" s="19" t="str">
        <f t="shared" ref="M60" si="169">IFERROR((I60/E60),"")</f>
        <v/>
      </c>
      <c r="N60" s="19" t="str">
        <f t="shared" ref="N60" si="170">IFERROR((J60/F60),"")</f>
        <v/>
      </c>
      <c r="O60" s="19" t="str">
        <f t="shared" ref="O60" si="171">IFERROR((K60/G60),"")</f>
        <v/>
      </c>
      <c r="P60" s="19" t="str">
        <f t="shared" ref="P60" si="172">IFERROR((L60/H60),"")</f>
        <v/>
      </c>
      <c r="Q60" s="20">
        <f t="shared" ref="Q60" si="173">I60-E60</f>
        <v>6909881.5300000003</v>
      </c>
      <c r="R60" s="20">
        <f t="shared" ref="R60" si="174">J60-F60</f>
        <v>0</v>
      </c>
      <c r="S60" s="20">
        <f t="shared" ref="S60" si="175">K60-G60</f>
        <v>6909881.5300000003</v>
      </c>
      <c r="T60" s="20">
        <f t="shared" ref="T60" si="176">L60-H60</f>
        <v>0</v>
      </c>
      <c r="U60" s="130"/>
    </row>
    <row r="61" spans="1:21" s="9" customFormat="1" ht="72.75" customHeight="1">
      <c r="A61" s="28" t="s">
        <v>307</v>
      </c>
      <c r="B61" s="57" t="s">
        <v>308</v>
      </c>
      <c r="C61" s="57" t="s">
        <v>16</v>
      </c>
      <c r="D61" s="63" t="s">
        <v>309</v>
      </c>
      <c r="E61" s="18">
        <f t="shared" ref="E61" si="177">F61+G61</f>
        <v>0</v>
      </c>
      <c r="F61" s="18"/>
      <c r="G61" s="20"/>
      <c r="H61" s="18"/>
      <c r="I61" s="18">
        <f t="shared" ref="I61:I66" si="178">J61+K61</f>
        <v>9708276.3000000007</v>
      </c>
      <c r="J61" s="18">
        <v>9708276.3000000007</v>
      </c>
      <c r="K61" s="18"/>
      <c r="L61" s="18"/>
      <c r="M61" s="19" t="str">
        <f t="shared" ref="M61" si="179">IFERROR((I61/E61),"")</f>
        <v/>
      </c>
      <c r="N61" s="19" t="str">
        <f t="shared" ref="N61" si="180">IFERROR((J61/F61),"")</f>
        <v/>
      </c>
      <c r="O61" s="19" t="str">
        <f t="shared" ref="O61" si="181">IFERROR((K61/G61),"")</f>
        <v/>
      </c>
      <c r="P61" s="19" t="str">
        <f t="shared" ref="P61" si="182">IFERROR((L61/H61),"")</f>
        <v/>
      </c>
      <c r="Q61" s="20">
        <f t="shared" ref="Q61" si="183">I61-E61</f>
        <v>9708276.3000000007</v>
      </c>
      <c r="R61" s="20">
        <f t="shared" ref="R61" si="184">J61-F61</f>
        <v>9708276.3000000007</v>
      </c>
      <c r="S61" s="20">
        <f t="shared" ref="S61" si="185">K61-G61</f>
        <v>0</v>
      </c>
      <c r="T61" s="20">
        <f t="shared" ref="T61" si="186">L61-H61</f>
        <v>0</v>
      </c>
      <c r="U61" s="130"/>
    </row>
    <row r="62" spans="1:21" s="42" customFormat="1" ht="72.75" customHeight="1">
      <c r="A62" s="98" t="s">
        <v>327</v>
      </c>
      <c r="B62" s="98" t="s">
        <v>328</v>
      </c>
      <c r="C62" s="98" t="s">
        <v>17</v>
      </c>
      <c r="D62" s="117" t="s">
        <v>329</v>
      </c>
      <c r="E62" s="18">
        <f t="shared" ref="E62" si="187">F62+G62</f>
        <v>3016013.47</v>
      </c>
      <c r="F62" s="18">
        <v>3016013.47</v>
      </c>
      <c r="G62" s="18"/>
      <c r="H62" s="18"/>
      <c r="I62" s="18">
        <f t="shared" si="178"/>
        <v>2184638.2000000002</v>
      </c>
      <c r="J62" s="18">
        <v>2184638.2000000002</v>
      </c>
      <c r="K62" s="18"/>
      <c r="L62" s="18"/>
      <c r="M62" s="19">
        <f t="shared" ref="M62" si="188">IFERROR((I62/E62),"")</f>
        <v>0.72434630074778816</v>
      </c>
      <c r="N62" s="19">
        <f t="shared" ref="N62" si="189">IFERROR((J62/F62),"")</f>
        <v>0.72434630074778816</v>
      </c>
      <c r="O62" s="19" t="str">
        <f t="shared" ref="O62" si="190">IFERROR((K62/G62),"")</f>
        <v/>
      </c>
      <c r="P62" s="19" t="str">
        <f t="shared" ref="P62" si="191">IFERROR((L62/H62),"")</f>
        <v/>
      </c>
      <c r="Q62" s="20">
        <f t="shared" ref="Q62" si="192">I62-E62</f>
        <v>-831375.27</v>
      </c>
      <c r="R62" s="20">
        <f t="shared" ref="R62" si="193">J62-F62</f>
        <v>-831375.27</v>
      </c>
      <c r="S62" s="20">
        <f t="shared" ref="S62" si="194">K62-G62</f>
        <v>0</v>
      </c>
      <c r="T62" s="20">
        <f t="shared" ref="T62" si="195">L62-H62</f>
        <v>0</v>
      </c>
      <c r="U62" s="130"/>
    </row>
    <row r="63" spans="1:21" s="9" customFormat="1" ht="45.6" customHeight="1">
      <c r="A63" s="100" t="s">
        <v>145</v>
      </c>
      <c r="B63" s="100" t="s">
        <v>142</v>
      </c>
      <c r="C63" s="100" t="s">
        <v>4</v>
      </c>
      <c r="D63" s="96" t="s">
        <v>143</v>
      </c>
      <c r="E63" s="18">
        <f t="shared" si="115"/>
        <v>1433953.17</v>
      </c>
      <c r="F63" s="18">
        <v>1433953.17</v>
      </c>
      <c r="G63" s="18"/>
      <c r="H63" s="18"/>
      <c r="I63" s="18">
        <f t="shared" si="178"/>
        <v>2291375.12</v>
      </c>
      <c r="J63" s="18">
        <v>2291375.12</v>
      </c>
      <c r="K63" s="18"/>
      <c r="L63" s="18"/>
      <c r="M63" s="19">
        <f t="shared" si="22"/>
        <v>1.5979427835847668</v>
      </c>
      <c r="N63" s="19">
        <f t="shared" si="23"/>
        <v>1.5979427835847668</v>
      </c>
      <c r="O63" s="19" t="str">
        <f t="shared" si="30"/>
        <v/>
      </c>
      <c r="P63" s="19" t="str">
        <f t="shared" si="11"/>
        <v/>
      </c>
      <c r="Q63" s="20">
        <f t="shared" si="12"/>
        <v>857421.95000000019</v>
      </c>
      <c r="R63" s="20">
        <f t="shared" si="13"/>
        <v>857421.95000000019</v>
      </c>
      <c r="S63" s="20">
        <f t="shared" si="14"/>
        <v>0</v>
      </c>
      <c r="T63" s="20">
        <f t="shared" si="15"/>
        <v>0</v>
      </c>
      <c r="U63" s="130"/>
    </row>
    <row r="64" spans="1:21" s="9" customFormat="1" ht="54">
      <c r="A64" s="100" t="s">
        <v>69</v>
      </c>
      <c r="B64" s="100" t="s">
        <v>47</v>
      </c>
      <c r="C64" s="100" t="s">
        <v>18</v>
      </c>
      <c r="D64" s="109" t="s">
        <v>19</v>
      </c>
      <c r="E64" s="18">
        <f t="shared" si="115"/>
        <v>7588078.3499999996</v>
      </c>
      <c r="F64" s="18">
        <v>7568038.3499999996</v>
      </c>
      <c r="G64" s="20">
        <v>20040</v>
      </c>
      <c r="H64" s="20"/>
      <c r="I64" s="18">
        <f t="shared" si="178"/>
        <v>8730985.1500000004</v>
      </c>
      <c r="J64" s="18">
        <v>8376725.1500000004</v>
      </c>
      <c r="K64" s="20">
        <f>49990+304270</f>
        <v>354260</v>
      </c>
      <c r="L64" s="20">
        <v>304270</v>
      </c>
      <c r="M64" s="19">
        <f t="shared" si="22"/>
        <v>1.1506187399870484</v>
      </c>
      <c r="N64" s="19">
        <f t="shared" si="23"/>
        <v>1.1068555367455295</v>
      </c>
      <c r="O64" s="19" t="s">
        <v>389</v>
      </c>
      <c r="P64" s="19" t="str">
        <f t="shared" si="11"/>
        <v/>
      </c>
      <c r="Q64" s="20">
        <f t="shared" si="12"/>
        <v>1142906.8000000007</v>
      </c>
      <c r="R64" s="20">
        <f t="shared" si="13"/>
        <v>808686.80000000075</v>
      </c>
      <c r="S64" s="20">
        <f t="shared" si="14"/>
        <v>334220</v>
      </c>
      <c r="T64" s="20">
        <f t="shared" si="15"/>
        <v>304270</v>
      </c>
      <c r="U64" s="130"/>
    </row>
    <row r="65" spans="1:21" s="9" customFormat="1" ht="33.75" customHeight="1">
      <c r="A65" s="24" t="s">
        <v>299</v>
      </c>
      <c r="B65" s="25">
        <v>7520</v>
      </c>
      <c r="C65" s="24" t="s">
        <v>294</v>
      </c>
      <c r="D65" s="60" t="s">
        <v>295</v>
      </c>
      <c r="E65" s="18">
        <f t="shared" ref="E65" si="196">F65+G65</f>
        <v>0</v>
      </c>
      <c r="F65" s="18"/>
      <c r="G65" s="20"/>
      <c r="H65" s="20"/>
      <c r="I65" s="18">
        <f t="shared" si="178"/>
        <v>867660</v>
      </c>
      <c r="J65" s="18">
        <v>867660</v>
      </c>
      <c r="K65" s="20"/>
      <c r="L65" s="20"/>
      <c r="M65" s="19" t="str">
        <f t="shared" ref="M65" si="197">IFERROR((I65/E65),"")</f>
        <v/>
      </c>
      <c r="N65" s="19" t="str">
        <f t="shared" ref="N65" si="198">IFERROR((J65/F65),"")</f>
        <v/>
      </c>
      <c r="O65" s="19" t="str">
        <f t="shared" ref="O65" si="199">IFERROR((K65/G65),"")</f>
        <v/>
      </c>
      <c r="P65" s="19" t="str">
        <f t="shared" ref="P65" si="200">IFERROR((L65/H65),"")</f>
        <v/>
      </c>
      <c r="Q65" s="20">
        <f t="shared" ref="Q65:Q66" si="201">I65-E65</f>
        <v>867660</v>
      </c>
      <c r="R65" s="20">
        <f t="shared" ref="R65" si="202">J65-F65</f>
        <v>867660</v>
      </c>
      <c r="S65" s="20">
        <f t="shared" ref="S65" si="203">K65-G65</f>
        <v>0</v>
      </c>
      <c r="T65" s="20">
        <f t="shared" ref="T65" si="204">L65-H65</f>
        <v>0</v>
      </c>
      <c r="U65" s="130"/>
    </row>
    <row r="66" spans="1:21" s="9" customFormat="1" ht="68.25" customHeight="1">
      <c r="A66" s="99" t="s">
        <v>281</v>
      </c>
      <c r="B66" s="98">
        <v>8110</v>
      </c>
      <c r="C66" s="99" t="s">
        <v>5</v>
      </c>
      <c r="D66" s="117" t="s">
        <v>131</v>
      </c>
      <c r="E66" s="18">
        <f t="shared" si="115"/>
        <v>869261.52</v>
      </c>
      <c r="F66" s="18">
        <v>179439.04</v>
      </c>
      <c r="G66" s="20">
        <v>689822.48</v>
      </c>
      <c r="H66" s="20">
        <v>689822.48</v>
      </c>
      <c r="I66" s="18">
        <f t="shared" si="178"/>
        <v>3295990.83</v>
      </c>
      <c r="J66" s="18"/>
      <c r="K66" s="20">
        <v>3295990.83</v>
      </c>
      <c r="L66" s="20">
        <f>K66</f>
        <v>3295990.83</v>
      </c>
      <c r="M66" s="19"/>
      <c r="N66" s="19">
        <f t="shared" si="23"/>
        <v>0</v>
      </c>
      <c r="O66" s="19" t="s">
        <v>396</v>
      </c>
      <c r="P66" s="19" t="s">
        <v>396</v>
      </c>
      <c r="Q66" s="20">
        <f t="shared" si="201"/>
        <v>2426729.31</v>
      </c>
      <c r="R66" s="20">
        <f t="shared" si="13"/>
        <v>-179439.04</v>
      </c>
      <c r="S66" s="20">
        <f t="shared" si="14"/>
        <v>2606168.35</v>
      </c>
      <c r="T66" s="20">
        <f t="shared" si="15"/>
        <v>2606168.35</v>
      </c>
      <c r="U66" s="130"/>
    </row>
    <row r="67" spans="1:21" s="5" customFormat="1" ht="52.2">
      <c r="A67" s="102" t="s">
        <v>70</v>
      </c>
      <c r="B67" s="102"/>
      <c r="C67" s="102"/>
      <c r="D67" s="87" t="s">
        <v>205</v>
      </c>
      <c r="E67" s="17">
        <f t="shared" ref="E67:L67" si="205">E68</f>
        <v>70814684.429999992</v>
      </c>
      <c r="F67" s="17">
        <f t="shared" si="205"/>
        <v>63504959.229999997</v>
      </c>
      <c r="G67" s="17">
        <f t="shared" si="205"/>
        <v>7309725.2000000002</v>
      </c>
      <c r="H67" s="17">
        <f t="shared" si="205"/>
        <v>6600229.0200000005</v>
      </c>
      <c r="I67" s="17">
        <f t="shared" si="205"/>
        <v>79833181.810000002</v>
      </c>
      <c r="J67" s="17">
        <f t="shared" si="205"/>
        <v>76646914.689999998</v>
      </c>
      <c r="K67" s="17">
        <f t="shared" si="205"/>
        <v>3186267.12</v>
      </c>
      <c r="L67" s="17">
        <f t="shared" si="205"/>
        <v>3012252.12</v>
      </c>
      <c r="M67" s="15">
        <f t="shared" si="22"/>
        <v>1.1273534924654611</v>
      </c>
      <c r="N67" s="15">
        <f t="shared" si="23"/>
        <v>1.2069437665868414</v>
      </c>
      <c r="O67" s="15">
        <f t="shared" si="23"/>
        <v>0.43589424127736021</v>
      </c>
      <c r="P67" s="15">
        <f t="shared" si="11"/>
        <v>0.45638599976944433</v>
      </c>
      <c r="Q67" s="16">
        <f t="shared" si="12"/>
        <v>9018497.3800000101</v>
      </c>
      <c r="R67" s="16">
        <f t="shared" si="13"/>
        <v>13141955.460000001</v>
      </c>
      <c r="S67" s="16">
        <f t="shared" si="14"/>
        <v>-4123458.08</v>
      </c>
      <c r="T67" s="16">
        <f t="shared" si="15"/>
        <v>-3587976.9000000004</v>
      </c>
      <c r="U67" s="131"/>
    </row>
    <row r="68" spans="1:21" s="5" customFormat="1" ht="52.2">
      <c r="A68" s="102" t="s">
        <v>71</v>
      </c>
      <c r="B68" s="102"/>
      <c r="C68" s="102"/>
      <c r="D68" s="87" t="s">
        <v>205</v>
      </c>
      <c r="E68" s="17">
        <f t="shared" ref="E68:E78" si="206">F68+G68</f>
        <v>70814684.429999992</v>
      </c>
      <c r="F68" s="17">
        <f>F69+F70+F71+F72+F74+F75+F76+F78+F79+F80+F81+F87+F73+F82+F88+F86+F77+F85+F83+F84</f>
        <v>63504959.229999997</v>
      </c>
      <c r="G68" s="17">
        <f t="shared" ref="G68:H68" si="207">G69+G70+G71+G72+G74+G75+G76+G78+G79+G80+G81+G87+G73+G82+G88+G86+G77+G85+G83+G84</f>
        <v>7309725.2000000002</v>
      </c>
      <c r="H68" s="17">
        <f t="shared" si="207"/>
        <v>6600229.0200000005</v>
      </c>
      <c r="I68" s="17">
        <f t="shared" ref="I68" si="208">J68+K68</f>
        <v>79833181.810000002</v>
      </c>
      <c r="J68" s="17">
        <f>J69+J70+J71+J72+J74+J75+J76+J78+J79+J80+J81+J87+J73+J82+J88+J86+J77+J85+J83+J84</f>
        <v>76646914.689999998</v>
      </c>
      <c r="K68" s="17">
        <f t="shared" ref="K68:L68" si="209">K69+K70+K71+K72+K74+K75+K76+K78+K79+K80+K81+K87+K73+K82+K88+K86+K77+K85+K83+K84</f>
        <v>3186267.12</v>
      </c>
      <c r="L68" s="17">
        <f t="shared" si="209"/>
        <v>3012252.12</v>
      </c>
      <c r="M68" s="15">
        <f t="shared" si="22"/>
        <v>1.1273534924654611</v>
      </c>
      <c r="N68" s="15">
        <f t="shared" si="23"/>
        <v>1.2069437665868414</v>
      </c>
      <c r="O68" s="15">
        <f t="shared" si="23"/>
        <v>0.43589424127736021</v>
      </c>
      <c r="P68" s="15">
        <f t="shared" si="11"/>
        <v>0.45638599976944433</v>
      </c>
      <c r="Q68" s="16">
        <f t="shared" si="12"/>
        <v>9018497.3800000101</v>
      </c>
      <c r="R68" s="16">
        <f t="shared" si="13"/>
        <v>13141955.460000001</v>
      </c>
      <c r="S68" s="16">
        <f t="shared" si="14"/>
        <v>-4123458.08</v>
      </c>
      <c r="T68" s="16">
        <f t="shared" si="15"/>
        <v>-3587976.9000000004</v>
      </c>
      <c r="U68" s="127"/>
    </row>
    <row r="69" spans="1:21" s="9" customFormat="1" ht="54">
      <c r="A69" s="100" t="s">
        <v>72</v>
      </c>
      <c r="B69" s="100" t="s">
        <v>58</v>
      </c>
      <c r="C69" s="100" t="s">
        <v>3</v>
      </c>
      <c r="D69" s="101" t="s">
        <v>227</v>
      </c>
      <c r="E69" s="18">
        <f t="shared" si="206"/>
        <v>12289833.99</v>
      </c>
      <c r="F69" s="18">
        <v>12289833.99</v>
      </c>
      <c r="G69" s="18"/>
      <c r="H69" s="18"/>
      <c r="I69" s="18">
        <f t="shared" si="26"/>
        <v>15700291.550000001</v>
      </c>
      <c r="J69" s="18">
        <v>15700291.550000001</v>
      </c>
      <c r="K69" s="18"/>
      <c r="L69" s="18"/>
      <c r="M69" s="19">
        <f t="shared" si="22"/>
        <v>1.2775023293866317</v>
      </c>
      <c r="N69" s="19">
        <f t="shared" si="23"/>
        <v>1.2775023293866317</v>
      </c>
      <c r="O69" s="19" t="str">
        <f t="shared" si="30"/>
        <v/>
      </c>
      <c r="P69" s="19" t="str">
        <f t="shared" si="11"/>
        <v/>
      </c>
      <c r="Q69" s="20">
        <f t="shared" si="12"/>
        <v>3410457.5600000005</v>
      </c>
      <c r="R69" s="20">
        <f t="shared" si="13"/>
        <v>3410457.5600000005</v>
      </c>
      <c r="S69" s="20">
        <f t="shared" si="14"/>
        <v>0</v>
      </c>
      <c r="T69" s="20">
        <f t="shared" si="15"/>
        <v>0</v>
      </c>
      <c r="U69" s="130"/>
    </row>
    <row r="70" spans="1:21" s="9" customFormat="1" ht="36">
      <c r="A70" s="100" t="s">
        <v>159</v>
      </c>
      <c r="B70" s="100" t="s">
        <v>8</v>
      </c>
      <c r="C70" s="100" t="s">
        <v>6</v>
      </c>
      <c r="D70" s="89" t="s">
        <v>106</v>
      </c>
      <c r="E70" s="18">
        <f t="shared" si="206"/>
        <v>94505</v>
      </c>
      <c r="F70" s="18">
        <v>94505</v>
      </c>
      <c r="G70" s="18"/>
      <c r="H70" s="18"/>
      <c r="I70" s="18">
        <f t="shared" si="26"/>
        <v>20956.8</v>
      </c>
      <c r="J70" s="18">
        <v>20956.8</v>
      </c>
      <c r="K70" s="18"/>
      <c r="L70" s="18"/>
      <c r="M70" s="19">
        <f t="shared" si="22"/>
        <v>0.22175334638378921</v>
      </c>
      <c r="N70" s="19">
        <f t="shared" si="23"/>
        <v>0.22175334638378921</v>
      </c>
      <c r="O70" s="19" t="str">
        <f t="shared" si="30"/>
        <v/>
      </c>
      <c r="P70" s="19" t="str">
        <f t="shared" si="11"/>
        <v/>
      </c>
      <c r="Q70" s="20">
        <f t="shared" si="12"/>
        <v>-73548.2</v>
      </c>
      <c r="R70" s="20">
        <f t="shared" si="13"/>
        <v>-73548.2</v>
      </c>
      <c r="S70" s="20">
        <f t="shared" si="14"/>
        <v>0</v>
      </c>
      <c r="T70" s="20">
        <f t="shared" si="15"/>
        <v>0</v>
      </c>
      <c r="U70" s="130"/>
    </row>
    <row r="71" spans="1:21" s="9" customFormat="1" ht="36">
      <c r="A71" s="100" t="s">
        <v>111</v>
      </c>
      <c r="B71" s="100" t="s">
        <v>31</v>
      </c>
      <c r="C71" s="100" t="s">
        <v>13</v>
      </c>
      <c r="D71" s="109" t="s">
        <v>110</v>
      </c>
      <c r="E71" s="18">
        <f t="shared" si="206"/>
        <v>750418.74</v>
      </c>
      <c r="F71" s="18">
        <v>750418.74</v>
      </c>
      <c r="G71" s="18"/>
      <c r="H71" s="18"/>
      <c r="I71" s="18">
        <f t="shared" si="26"/>
        <v>1003264.11</v>
      </c>
      <c r="J71" s="18">
        <v>1003264.11</v>
      </c>
      <c r="K71" s="18"/>
      <c r="L71" s="18"/>
      <c r="M71" s="19">
        <f t="shared" ref="M71" si="210">IFERROR((I71/E71),"")</f>
        <v>1.3369390401950783</v>
      </c>
      <c r="N71" s="19">
        <f t="shared" ref="N71" si="211">IFERROR((J71/F71),"")</f>
        <v>1.3369390401950783</v>
      </c>
      <c r="O71" s="19" t="str">
        <f t="shared" si="30"/>
        <v/>
      </c>
      <c r="P71" s="19" t="str">
        <f t="shared" si="11"/>
        <v/>
      </c>
      <c r="Q71" s="20">
        <f t="shared" si="12"/>
        <v>252845.37</v>
      </c>
      <c r="R71" s="20">
        <f t="shared" si="13"/>
        <v>252845.37</v>
      </c>
      <c r="S71" s="20">
        <f t="shared" si="14"/>
        <v>0</v>
      </c>
      <c r="T71" s="20">
        <f t="shared" si="15"/>
        <v>0</v>
      </c>
      <c r="U71" s="130"/>
    </row>
    <row r="72" spans="1:21" s="9" customFormat="1" ht="36">
      <c r="A72" s="100" t="s">
        <v>112</v>
      </c>
      <c r="B72" s="100" t="s">
        <v>113</v>
      </c>
      <c r="C72" s="100" t="s">
        <v>32</v>
      </c>
      <c r="D72" s="109" t="s">
        <v>33</v>
      </c>
      <c r="E72" s="18">
        <f t="shared" si="206"/>
        <v>3433.36</v>
      </c>
      <c r="F72" s="18">
        <v>3433.36</v>
      </c>
      <c r="G72" s="18"/>
      <c r="H72" s="18"/>
      <c r="I72" s="18">
        <f t="shared" si="26"/>
        <v>2933.71</v>
      </c>
      <c r="J72" s="18">
        <v>2933.71</v>
      </c>
      <c r="K72" s="18"/>
      <c r="L72" s="18"/>
      <c r="M72" s="19">
        <f t="shared" si="22"/>
        <v>0.85447200410093904</v>
      </c>
      <c r="N72" s="19">
        <f t="shared" si="23"/>
        <v>0.85447200410093904</v>
      </c>
      <c r="O72" s="19" t="str">
        <f t="shared" si="30"/>
        <v/>
      </c>
      <c r="P72" s="19" t="str">
        <f t="shared" si="11"/>
        <v/>
      </c>
      <c r="Q72" s="20">
        <f t="shared" si="12"/>
        <v>-499.65000000000009</v>
      </c>
      <c r="R72" s="20">
        <f t="shared" si="13"/>
        <v>-499.65000000000009</v>
      </c>
      <c r="S72" s="20">
        <f t="shared" si="14"/>
        <v>0</v>
      </c>
      <c r="T72" s="20">
        <f t="shared" si="15"/>
        <v>0</v>
      </c>
      <c r="U72" s="130"/>
    </row>
    <row r="73" spans="1:21" s="9" customFormat="1" ht="54">
      <c r="A73" s="100" t="s">
        <v>166</v>
      </c>
      <c r="B73" s="100" t="s">
        <v>164</v>
      </c>
      <c r="C73" s="100" t="s">
        <v>32</v>
      </c>
      <c r="D73" s="90" t="s">
        <v>165</v>
      </c>
      <c r="E73" s="18">
        <f t="shared" si="206"/>
        <v>228673.81</v>
      </c>
      <c r="F73" s="18">
        <v>228673.81</v>
      </c>
      <c r="G73" s="18"/>
      <c r="H73" s="18"/>
      <c r="I73" s="18">
        <f t="shared" ref="I73:I157" si="212">J73+K73</f>
        <v>327726.39</v>
      </c>
      <c r="J73" s="18">
        <v>327726.39</v>
      </c>
      <c r="K73" s="18"/>
      <c r="L73" s="18"/>
      <c r="M73" s="19">
        <f t="shared" si="22"/>
        <v>1.4331610165589144</v>
      </c>
      <c r="N73" s="19">
        <f t="shared" si="23"/>
        <v>1.4331610165589144</v>
      </c>
      <c r="O73" s="19" t="str">
        <f t="shared" si="30"/>
        <v/>
      </c>
      <c r="P73" s="19" t="str">
        <f t="shared" si="11"/>
        <v/>
      </c>
      <c r="Q73" s="20">
        <f t="shared" si="12"/>
        <v>99052.580000000016</v>
      </c>
      <c r="R73" s="20">
        <f t="shared" si="13"/>
        <v>99052.580000000016</v>
      </c>
      <c r="S73" s="20">
        <f t="shared" si="14"/>
        <v>0</v>
      </c>
      <c r="T73" s="20">
        <f t="shared" si="15"/>
        <v>0</v>
      </c>
      <c r="U73" s="130"/>
    </row>
    <row r="74" spans="1:21" s="9" customFormat="1" ht="36">
      <c r="A74" s="100" t="s">
        <v>167</v>
      </c>
      <c r="B74" s="100" t="s">
        <v>168</v>
      </c>
      <c r="C74" s="100" t="s">
        <v>13</v>
      </c>
      <c r="D74" s="109" t="s">
        <v>169</v>
      </c>
      <c r="E74" s="18">
        <f>F74+G74</f>
        <v>47347</v>
      </c>
      <c r="F74" s="20">
        <v>47347</v>
      </c>
      <c r="G74" s="20"/>
      <c r="H74" s="20"/>
      <c r="I74" s="18">
        <f t="shared" si="212"/>
        <v>61161</v>
      </c>
      <c r="J74" s="20">
        <v>61161</v>
      </c>
      <c r="K74" s="20"/>
      <c r="L74" s="20"/>
      <c r="M74" s="19">
        <f t="shared" si="22"/>
        <v>1.2917608296196168</v>
      </c>
      <c r="N74" s="19">
        <f>IFERROR((J74/F74),"")</f>
        <v>1.2917608296196168</v>
      </c>
      <c r="O74" s="19" t="str">
        <f>IFERROR((K74/G74),"")</f>
        <v/>
      </c>
      <c r="P74" s="19" t="str">
        <f t="shared" si="11"/>
        <v/>
      </c>
      <c r="Q74" s="20">
        <f t="shared" si="12"/>
        <v>13814</v>
      </c>
      <c r="R74" s="20">
        <f t="shared" ref="R74:S77" si="213">J74-F74</f>
        <v>13814</v>
      </c>
      <c r="S74" s="20">
        <f t="shared" si="213"/>
        <v>0</v>
      </c>
      <c r="T74" s="20">
        <f t="shared" si="15"/>
        <v>0</v>
      </c>
      <c r="U74" s="130"/>
    </row>
    <row r="75" spans="1:21" s="9" customFormat="1" ht="72">
      <c r="A75" s="100" t="s">
        <v>121</v>
      </c>
      <c r="B75" s="100" t="s">
        <v>120</v>
      </c>
      <c r="C75" s="100" t="s">
        <v>11</v>
      </c>
      <c r="D75" s="109" t="s">
        <v>132</v>
      </c>
      <c r="E75" s="18">
        <f>F75+G75</f>
        <v>11885255.26</v>
      </c>
      <c r="F75" s="18">
        <v>11862255.26</v>
      </c>
      <c r="G75" s="18">
        <v>23000</v>
      </c>
      <c r="H75" s="18"/>
      <c r="I75" s="18">
        <f t="shared" si="212"/>
        <v>12625865.52</v>
      </c>
      <c r="J75" s="18">
        <v>12511875.52</v>
      </c>
      <c r="K75" s="18">
        <f>113990</f>
        <v>113990</v>
      </c>
      <c r="L75" s="18"/>
      <c r="M75" s="19">
        <f t="shared" si="22"/>
        <v>1.0623133659141957</v>
      </c>
      <c r="N75" s="19">
        <f>IFERROR((J75/F75),"")</f>
        <v>1.0547636385966626</v>
      </c>
      <c r="O75" s="19" t="s">
        <v>286</v>
      </c>
      <c r="P75" s="19" t="str">
        <f t="shared" si="11"/>
        <v/>
      </c>
      <c r="Q75" s="20">
        <f t="shared" si="12"/>
        <v>740610.25999999978</v>
      </c>
      <c r="R75" s="20">
        <f t="shared" si="213"/>
        <v>649620.25999999978</v>
      </c>
      <c r="S75" s="20">
        <f t="shared" si="213"/>
        <v>90990</v>
      </c>
      <c r="T75" s="20">
        <f t="shared" si="15"/>
        <v>0</v>
      </c>
      <c r="U75" s="130"/>
    </row>
    <row r="76" spans="1:21" s="9" customFormat="1" ht="36">
      <c r="A76" s="100" t="s">
        <v>74</v>
      </c>
      <c r="B76" s="100" t="s">
        <v>73</v>
      </c>
      <c r="C76" s="100" t="s">
        <v>17</v>
      </c>
      <c r="D76" s="109" t="s">
        <v>75</v>
      </c>
      <c r="E76" s="18">
        <f>F76+G76</f>
        <v>5995636.3799999999</v>
      </c>
      <c r="F76" s="18">
        <v>5973669.3799999999</v>
      </c>
      <c r="G76" s="18">
        <f>21967</f>
        <v>21967</v>
      </c>
      <c r="H76" s="18"/>
      <c r="I76" s="18">
        <f t="shared" si="212"/>
        <v>8322432.0999999996</v>
      </c>
      <c r="J76" s="18">
        <v>7844405.8799999999</v>
      </c>
      <c r="K76" s="18">
        <v>478026.22</v>
      </c>
      <c r="L76" s="18">
        <v>478026.22</v>
      </c>
      <c r="M76" s="19">
        <f t="shared" si="22"/>
        <v>1.3880815267186033</v>
      </c>
      <c r="N76" s="19">
        <f>IFERROR((J76/F76),"")</f>
        <v>1.3131637157997518</v>
      </c>
      <c r="O76" s="19" t="s">
        <v>390</v>
      </c>
      <c r="P76" s="19"/>
      <c r="Q76" s="20">
        <f t="shared" si="12"/>
        <v>2326795.7199999997</v>
      </c>
      <c r="R76" s="20">
        <f t="shared" si="213"/>
        <v>1870736.5</v>
      </c>
      <c r="S76" s="20">
        <f t="shared" si="213"/>
        <v>456059.22</v>
      </c>
      <c r="T76" s="20">
        <f t="shared" si="15"/>
        <v>478026.22</v>
      </c>
      <c r="U76" s="130"/>
    </row>
    <row r="77" spans="1:21" s="55" customFormat="1">
      <c r="A77" s="72" t="s">
        <v>369</v>
      </c>
      <c r="B77" s="72" t="s">
        <v>370</v>
      </c>
      <c r="C77" s="72" t="s">
        <v>17</v>
      </c>
      <c r="D77" s="124" t="s">
        <v>371</v>
      </c>
      <c r="E77" s="18">
        <f>F77+G77</f>
        <v>271500</v>
      </c>
      <c r="F77" s="18">
        <v>271500</v>
      </c>
      <c r="G77" s="18"/>
      <c r="H77" s="18"/>
      <c r="I77" s="18">
        <f t="shared" ref="I77" si="214">J77+K77</f>
        <v>255500</v>
      </c>
      <c r="J77" s="18">
        <v>255500</v>
      </c>
      <c r="K77" s="18"/>
      <c r="L77" s="18"/>
      <c r="M77" s="19">
        <f t="shared" ref="M77" si="215">IFERROR((I77/E77),"")</f>
        <v>0.94106813996316763</v>
      </c>
      <c r="N77" s="19">
        <f>IFERROR((J77/F77),"")</f>
        <v>0.94106813996316763</v>
      </c>
      <c r="O77" s="19"/>
      <c r="P77" s="19"/>
      <c r="Q77" s="20">
        <f t="shared" ref="Q77" si="216">I77-E77</f>
        <v>-16000</v>
      </c>
      <c r="R77" s="20">
        <f t="shared" si="213"/>
        <v>-16000</v>
      </c>
      <c r="S77" s="20">
        <f t="shared" si="213"/>
        <v>0</v>
      </c>
      <c r="T77" s="20">
        <f t="shared" ref="T77" si="217">L77-H77</f>
        <v>0</v>
      </c>
      <c r="U77" s="130"/>
    </row>
    <row r="78" spans="1:21" s="9" customFormat="1" ht="108">
      <c r="A78" s="100" t="s">
        <v>133</v>
      </c>
      <c r="B78" s="100" t="s">
        <v>134</v>
      </c>
      <c r="C78" s="100" t="s">
        <v>9</v>
      </c>
      <c r="D78" s="109" t="s">
        <v>135</v>
      </c>
      <c r="E78" s="18">
        <f t="shared" si="206"/>
        <v>2064623.27</v>
      </c>
      <c r="F78" s="18">
        <v>2064623.27</v>
      </c>
      <c r="G78" s="18"/>
      <c r="H78" s="18"/>
      <c r="I78" s="18">
        <f t="shared" si="212"/>
        <v>1695362.66</v>
      </c>
      <c r="J78" s="18">
        <v>1695362.66</v>
      </c>
      <c r="K78" s="18"/>
      <c r="L78" s="18"/>
      <c r="M78" s="19">
        <f t="shared" si="22"/>
        <v>0.82114867377233425</v>
      </c>
      <c r="N78" s="19">
        <f t="shared" si="23"/>
        <v>0.82114867377233425</v>
      </c>
      <c r="O78" s="19" t="str">
        <f t="shared" si="30"/>
        <v/>
      </c>
      <c r="P78" s="19" t="str">
        <f t="shared" si="11"/>
        <v/>
      </c>
      <c r="Q78" s="20">
        <f t="shared" si="12"/>
        <v>-369260.6100000001</v>
      </c>
      <c r="R78" s="20">
        <f t="shared" si="13"/>
        <v>-369260.6100000001</v>
      </c>
      <c r="S78" s="20">
        <f t="shared" si="14"/>
        <v>0</v>
      </c>
      <c r="T78" s="20">
        <f t="shared" si="15"/>
        <v>0</v>
      </c>
      <c r="U78" s="130"/>
    </row>
    <row r="79" spans="1:21" s="9" customFormat="1" ht="72">
      <c r="A79" s="100" t="s">
        <v>170</v>
      </c>
      <c r="B79" s="100" t="s">
        <v>171</v>
      </c>
      <c r="C79" s="100" t="s">
        <v>9</v>
      </c>
      <c r="D79" s="109" t="s">
        <v>172</v>
      </c>
      <c r="E79" s="18">
        <f t="shared" ref="E79:E87" si="218">F79+G79</f>
        <v>27368.9</v>
      </c>
      <c r="F79" s="18">
        <v>27368.9</v>
      </c>
      <c r="G79" s="18"/>
      <c r="H79" s="18"/>
      <c r="I79" s="18">
        <f t="shared" si="212"/>
        <v>11113.03</v>
      </c>
      <c r="J79" s="18">
        <v>11113.03</v>
      </c>
      <c r="K79" s="18"/>
      <c r="L79" s="18"/>
      <c r="M79" s="19">
        <f t="shared" si="22"/>
        <v>0.40604591342728424</v>
      </c>
      <c r="N79" s="19">
        <f t="shared" si="23"/>
        <v>0.40604591342728424</v>
      </c>
      <c r="O79" s="19" t="str">
        <f t="shared" si="30"/>
        <v/>
      </c>
      <c r="P79" s="19" t="str">
        <f t="shared" si="11"/>
        <v/>
      </c>
      <c r="Q79" s="20">
        <f t="shared" si="12"/>
        <v>-16255.87</v>
      </c>
      <c r="R79" s="20">
        <f t="shared" si="13"/>
        <v>-16255.87</v>
      </c>
      <c r="S79" s="20">
        <f t="shared" si="14"/>
        <v>0</v>
      </c>
      <c r="T79" s="20">
        <f t="shared" si="15"/>
        <v>0</v>
      </c>
      <c r="U79" s="130"/>
    </row>
    <row r="80" spans="1:21" s="9" customFormat="1" ht="110.4" customHeight="1">
      <c r="A80" s="100" t="s">
        <v>136</v>
      </c>
      <c r="B80" s="100" t="s">
        <v>137</v>
      </c>
      <c r="C80" s="100" t="s">
        <v>27</v>
      </c>
      <c r="D80" s="109" t="s">
        <v>138</v>
      </c>
      <c r="E80" s="18">
        <f t="shared" si="218"/>
        <v>789835.65</v>
      </c>
      <c r="F80" s="18">
        <v>789835.65</v>
      </c>
      <c r="G80" s="18"/>
      <c r="H80" s="18"/>
      <c r="I80" s="18">
        <f t="shared" si="212"/>
        <v>547755.78</v>
      </c>
      <c r="J80" s="18">
        <v>547755.78</v>
      </c>
      <c r="K80" s="18"/>
      <c r="L80" s="18"/>
      <c r="M80" s="19">
        <f t="shared" si="22"/>
        <v>0.6935060224237789</v>
      </c>
      <c r="N80" s="19">
        <f t="shared" si="23"/>
        <v>0.6935060224237789</v>
      </c>
      <c r="O80" s="19" t="str">
        <f t="shared" si="30"/>
        <v/>
      </c>
      <c r="P80" s="19" t="str">
        <f t="shared" si="11"/>
        <v/>
      </c>
      <c r="Q80" s="20">
        <f t="shared" si="12"/>
        <v>-242079.87</v>
      </c>
      <c r="R80" s="20">
        <f t="shared" si="13"/>
        <v>-242079.87</v>
      </c>
      <c r="S80" s="20">
        <f t="shared" si="14"/>
        <v>0</v>
      </c>
      <c r="T80" s="20">
        <f t="shared" si="15"/>
        <v>0</v>
      </c>
      <c r="U80" s="130"/>
    </row>
    <row r="81" spans="1:21" s="9" customFormat="1" ht="54">
      <c r="A81" s="100" t="s">
        <v>139</v>
      </c>
      <c r="B81" s="100" t="s">
        <v>140</v>
      </c>
      <c r="C81" s="100" t="s">
        <v>13</v>
      </c>
      <c r="D81" s="109" t="s">
        <v>141</v>
      </c>
      <c r="E81" s="18">
        <f t="shared" si="218"/>
        <v>35123.620000000003</v>
      </c>
      <c r="F81" s="18">
        <v>35123.620000000003</v>
      </c>
      <c r="G81" s="18"/>
      <c r="H81" s="18"/>
      <c r="I81" s="18">
        <f t="shared" si="212"/>
        <v>36068.720000000001</v>
      </c>
      <c r="J81" s="18">
        <v>36068.720000000001</v>
      </c>
      <c r="K81" s="18"/>
      <c r="L81" s="18"/>
      <c r="M81" s="19">
        <f t="shared" ref="M81:M149" si="219">IFERROR((I81/E81),"")</f>
        <v>1.026907818727113</v>
      </c>
      <c r="N81" s="19">
        <f t="shared" ref="N81:N149" si="220">IFERROR((J81/F81),"")</f>
        <v>1.026907818727113</v>
      </c>
      <c r="O81" s="19" t="str">
        <f t="shared" ref="O81:P149" si="221">IFERROR((K81/G81),"")</f>
        <v/>
      </c>
      <c r="P81" s="19" t="str">
        <f t="shared" ref="P81:P149" si="222">IFERROR((L81/H81),"")</f>
        <v/>
      </c>
      <c r="Q81" s="20">
        <f t="shared" ref="Q81:Q150" si="223">I81-E81</f>
        <v>945.09999999999854</v>
      </c>
      <c r="R81" s="20">
        <f t="shared" ref="R81:R150" si="224">J81-F81</f>
        <v>945.09999999999854</v>
      </c>
      <c r="S81" s="20">
        <f t="shared" ref="S81:S150" si="225">K81-G81</f>
        <v>0</v>
      </c>
      <c r="T81" s="20">
        <f t="shared" ref="T81:T150" si="226">L81-H81</f>
        <v>0</v>
      </c>
      <c r="U81" s="130"/>
    </row>
    <row r="82" spans="1:21" s="9" customFormat="1" ht="108" customHeight="1">
      <c r="A82" s="100" t="s">
        <v>300</v>
      </c>
      <c r="B82" s="100" t="s">
        <v>301</v>
      </c>
      <c r="C82" s="100" t="s">
        <v>13</v>
      </c>
      <c r="D82" s="64" t="s">
        <v>302</v>
      </c>
      <c r="E82" s="18">
        <f t="shared" ref="E82:E85" si="227">F82+G82</f>
        <v>0</v>
      </c>
      <c r="F82" s="18"/>
      <c r="G82" s="18"/>
      <c r="H82" s="18"/>
      <c r="I82" s="18">
        <f t="shared" ref="I82:I85" si="228">J82+K82</f>
        <v>427249.03</v>
      </c>
      <c r="J82" s="18">
        <v>427249.03</v>
      </c>
      <c r="K82" s="18"/>
      <c r="L82" s="18"/>
      <c r="M82" s="19" t="str">
        <f t="shared" ref="M82" si="229">IFERROR((I82/E82),"")</f>
        <v/>
      </c>
      <c r="N82" s="19" t="str">
        <f t="shared" ref="N82" si="230">IFERROR((J82/F82),"")</f>
        <v/>
      </c>
      <c r="O82" s="19" t="str">
        <f t="shared" ref="O82" si="231">IFERROR((K82/G82),"")</f>
        <v/>
      </c>
      <c r="P82" s="19" t="str">
        <f t="shared" ref="P82" si="232">IFERROR((L82/H82),"")</f>
        <v/>
      </c>
      <c r="Q82" s="20">
        <f t="shared" ref="Q82" si="233">I82-E82</f>
        <v>427249.03</v>
      </c>
      <c r="R82" s="20">
        <f t="shared" ref="R82" si="234">J82-F82</f>
        <v>427249.03</v>
      </c>
      <c r="S82" s="20">
        <f t="shared" ref="S82" si="235">K82-G82</f>
        <v>0</v>
      </c>
      <c r="T82" s="20">
        <f t="shared" ref="T82" si="236">L82-H82</f>
        <v>0</v>
      </c>
      <c r="U82" s="130"/>
    </row>
    <row r="83" spans="1:21" s="55" customFormat="1" ht="409.6">
      <c r="A83" s="118" t="s">
        <v>392</v>
      </c>
      <c r="B83" s="119">
        <v>3221</v>
      </c>
      <c r="C83" s="119">
        <v>1060</v>
      </c>
      <c r="D83" s="125" t="s">
        <v>393</v>
      </c>
      <c r="E83" s="18">
        <f t="shared" ref="E83" si="237">F83+G83</f>
        <v>1859157.58</v>
      </c>
      <c r="F83" s="18"/>
      <c r="G83" s="18">
        <v>1859157.58</v>
      </c>
      <c r="H83" s="18">
        <f>G83</f>
        <v>1859157.58</v>
      </c>
      <c r="I83" s="18">
        <f t="shared" ref="I83" si="238">J83+K83</f>
        <v>0</v>
      </c>
      <c r="J83" s="18"/>
      <c r="K83" s="18"/>
      <c r="L83" s="18"/>
      <c r="M83" s="19">
        <f t="shared" ref="M83" si="239">IFERROR((I83/E83),"")</f>
        <v>0</v>
      </c>
      <c r="N83" s="19" t="str">
        <f t="shared" ref="N83" si="240">IFERROR((J83/F83),"")</f>
        <v/>
      </c>
      <c r="O83" s="19">
        <f t="shared" ref="O83" si="241">IFERROR((K83/G83),"")</f>
        <v>0</v>
      </c>
      <c r="P83" s="19">
        <f t="shared" ref="P83" si="242">IFERROR((L83/H83),"")</f>
        <v>0</v>
      </c>
      <c r="Q83" s="20">
        <f t="shared" ref="Q83" si="243">I83-E83</f>
        <v>-1859157.58</v>
      </c>
      <c r="R83" s="20">
        <f t="shared" ref="R83" si="244">J83-F83</f>
        <v>0</v>
      </c>
      <c r="S83" s="20">
        <f t="shared" ref="S83" si="245">K83-G83</f>
        <v>-1859157.58</v>
      </c>
      <c r="T83" s="20">
        <f t="shared" ref="T83" si="246">L83-H83</f>
        <v>-1859157.58</v>
      </c>
      <c r="U83" s="130"/>
    </row>
    <row r="84" spans="1:21" s="55" customFormat="1" ht="324.75" customHeight="1">
      <c r="A84" s="118" t="s">
        <v>394</v>
      </c>
      <c r="B84" s="119">
        <v>3223</v>
      </c>
      <c r="C84" s="119">
        <v>1060</v>
      </c>
      <c r="D84" s="125" t="s">
        <v>395</v>
      </c>
      <c r="E84" s="18">
        <f t="shared" ref="E84" si="247">F84+G84</f>
        <v>4741071.4400000004</v>
      </c>
      <c r="F84" s="18"/>
      <c r="G84" s="18">
        <v>4741071.4400000004</v>
      </c>
      <c r="H84" s="18">
        <f>G84</f>
        <v>4741071.4400000004</v>
      </c>
      <c r="I84" s="18">
        <f t="shared" ref="I84" si="248">J84+K84</f>
        <v>0</v>
      </c>
      <c r="J84" s="18"/>
      <c r="K84" s="18"/>
      <c r="L84" s="18"/>
      <c r="M84" s="19">
        <f t="shared" ref="M84" si="249">IFERROR((I84/E84),"")</f>
        <v>0</v>
      </c>
      <c r="N84" s="19" t="str">
        <f t="shared" ref="N84" si="250">IFERROR((J84/F84),"")</f>
        <v/>
      </c>
      <c r="O84" s="19">
        <f t="shared" ref="O84" si="251">IFERROR((K84/G84),"")</f>
        <v>0</v>
      </c>
      <c r="P84" s="19">
        <f t="shared" ref="P84" si="252">IFERROR((L84/H84),"")</f>
        <v>0</v>
      </c>
      <c r="Q84" s="20">
        <f t="shared" ref="Q84" si="253">I84-E84</f>
        <v>-4741071.4400000004</v>
      </c>
      <c r="R84" s="20">
        <f t="shared" ref="R84" si="254">J84-F84</f>
        <v>0</v>
      </c>
      <c r="S84" s="20">
        <f t="shared" ref="S84" si="255">K84-G84</f>
        <v>-4741071.4400000004</v>
      </c>
      <c r="T84" s="20">
        <f t="shared" ref="T84" si="256">L84-H84</f>
        <v>-4741071.4400000004</v>
      </c>
      <c r="U84" s="130"/>
    </row>
    <row r="85" spans="1:21" s="55" customFormat="1" ht="409.6">
      <c r="A85" s="77" t="s">
        <v>385</v>
      </c>
      <c r="B85" s="74">
        <v>3225</v>
      </c>
      <c r="C85" s="74">
        <v>1060</v>
      </c>
      <c r="D85" s="126" t="s">
        <v>386</v>
      </c>
      <c r="E85" s="18">
        <f t="shared" si="227"/>
        <v>0</v>
      </c>
      <c r="F85" s="18"/>
      <c r="G85" s="18"/>
      <c r="H85" s="18"/>
      <c r="I85" s="18">
        <f t="shared" si="228"/>
        <v>2534225.9</v>
      </c>
      <c r="J85" s="18"/>
      <c r="K85" s="18">
        <v>2534225.9</v>
      </c>
      <c r="L85" s="18">
        <v>2534225.9</v>
      </c>
      <c r="M85" s="19" t="str">
        <f t="shared" ref="M85" si="257">IFERROR((I85/E85),"")</f>
        <v/>
      </c>
      <c r="N85" s="19" t="str">
        <f t="shared" ref="N85" si="258">IFERROR((J85/F85),"")</f>
        <v/>
      </c>
      <c r="O85" s="19" t="str">
        <f t="shared" ref="O85" si="259">IFERROR((K85/G85),"")</f>
        <v/>
      </c>
      <c r="P85" s="19" t="str">
        <f t="shared" ref="P85" si="260">IFERROR((L85/H85),"")</f>
        <v/>
      </c>
      <c r="Q85" s="20">
        <f t="shared" ref="Q85" si="261">I85-E85</f>
        <v>2534225.9</v>
      </c>
      <c r="R85" s="20">
        <f t="shared" ref="R85" si="262">J85-F85</f>
        <v>0</v>
      </c>
      <c r="S85" s="20">
        <f t="shared" ref="S85" si="263">K85-G85</f>
        <v>2534225.9</v>
      </c>
      <c r="T85" s="20">
        <f t="shared" ref="T85" si="264">L85-H85</f>
        <v>2534225.9</v>
      </c>
      <c r="U85" s="130"/>
    </row>
    <row r="86" spans="1:21" s="49" customFormat="1" ht="108" customHeight="1">
      <c r="A86" s="99" t="s">
        <v>332</v>
      </c>
      <c r="B86" s="98">
        <v>3230</v>
      </c>
      <c r="C86" s="98">
        <v>1070</v>
      </c>
      <c r="D86" s="117" t="s">
        <v>333</v>
      </c>
      <c r="E86" s="18">
        <f t="shared" ref="E86" si="265">F86+G86</f>
        <v>692095.5</v>
      </c>
      <c r="F86" s="18">
        <v>122680</v>
      </c>
      <c r="G86" s="18">
        <f>569415.5</f>
        <v>569415.5</v>
      </c>
      <c r="H86" s="18"/>
      <c r="I86" s="18">
        <f t="shared" ref="I86" si="266">J86+K86</f>
        <v>12.5</v>
      </c>
      <c r="J86" s="18"/>
      <c r="K86" s="18">
        <f>12.5</f>
        <v>12.5</v>
      </c>
      <c r="L86" s="18"/>
      <c r="M86" s="19"/>
      <c r="N86" s="19">
        <f t="shared" ref="N86" si="267">IFERROR((J86/F86),"")</f>
        <v>0</v>
      </c>
      <c r="O86" s="19"/>
      <c r="P86" s="19" t="str">
        <f t="shared" ref="P86" si="268">IFERROR((L86/H86),"")</f>
        <v/>
      </c>
      <c r="Q86" s="20">
        <f t="shared" ref="Q86" si="269">I86-E86</f>
        <v>-692083</v>
      </c>
      <c r="R86" s="20">
        <f t="shared" ref="R86" si="270">J86-F86</f>
        <v>-122680</v>
      </c>
      <c r="S86" s="20">
        <f t="shared" ref="S86" si="271">K86-G86</f>
        <v>-569403</v>
      </c>
      <c r="T86" s="20">
        <f t="shared" ref="T86" si="272">L86-H86</f>
        <v>0</v>
      </c>
      <c r="U86" s="130"/>
    </row>
    <row r="87" spans="1:21" s="9" customFormat="1" ht="36">
      <c r="A87" s="100" t="s">
        <v>146</v>
      </c>
      <c r="B87" s="100" t="s">
        <v>142</v>
      </c>
      <c r="C87" s="100" t="s">
        <v>4</v>
      </c>
      <c r="D87" s="109" t="s">
        <v>143</v>
      </c>
      <c r="E87" s="18">
        <f t="shared" si="218"/>
        <v>29038804.93</v>
      </c>
      <c r="F87" s="18">
        <f>28463254.45+480436.8</f>
        <v>28943691.25</v>
      </c>
      <c r="G87" s="18">
        <f>95113.68</f>
        <v>95113.68</v>
      </c>
      <c r="H87" s="18"/>
      <c r="I87" s="18">
        <f t="shared" si="212"/>
        <v>35981279.009999998</v>
      </c>
      <c r="J87" s="18">
        <f>35461612.64+459653.87</f>
        <v>35921266.509999998</v>
      </c>
      <c r="K87" s="18">
        <f>60012.5</f>
        <v>60012.5</v>
      </c>
      <c r="L87" s="18"/>
      <c r="M87" s="19">
        <f t="shared" si="219"/>
        <v>1.2390757504220749</v>
      </c>
      <c r="N87" s="19">
        <f t="shared" si="220"/>
        <v>1.2410741325192929</v>
      </c>
      <c r="O87" s="19">
        <f t="shared" si="221"/>
        <v>0.63095550503355569</v>
      </c>
      <c r="P87" s="19" t="str">
        <f t="shared" si="222"/>
        <v/>
      </c>
      <c r="Q87" s="20">
        <f t="shared" si="223"/>
        <v>6942474.0799999982</v>
      </c>
      <c r="R87" s="20">
        <f t="shared" si="224"/>
        <v>6977575.2599999979</v>
      </c>
      <c r="S87" s="20">
        <f t="shared" si="225"/>
        <v>-35101.179999999993</v>
      </c>
      <c r="T87" s="20">
        <f t="shared" si="226"/>
        <v>0</v>
      </c>
      <c r="U87" s="130"/>
    </row>
    <row r="88" spans="1:21" s="9" customFormat="1" ht="36">
      <c r="A88" s="29" t="s">
        <v>303</v>
      </c>
      <c r="B88" s="29">
        <v>7520</v>
      </c>
      <c r="C88" s="29" t="s">
        <v>294</v>
      </c>
      <c r="D88" s="65" t="s">
        <v>295</v>
      </c>
      <c r="E88" s="18">
        <f t="shared" ref="E88" si="273">F88+G88</f>
        <v>0</v>
      </c>
      <c r="F88" s="18"/>
      <c r="G88" s="18"/>
      <c r="H88" s="18"/>
      <c r="I88" s="18">
        <f t="shared" ref="I88" si="274">J88+K88</f>
        <v>279984</v>
      </c>
      <c r="J88" s="18">
        <f>75806+184056+20122</f>
        <v>279984</v>
      </c>
      <c r="K88" s="18"/>
      <c r="L88" s="18"/>
      <c r="M88" s="19" t="str">
        <f t="shared" ref="M88" si="275">IFERROR((I88/E88),"")</f>
        <v/>
      </c>
      <c r="N88" s="19" t="str">
        <f t="shared" ref="N88" si="276">IFERROR((J88/F88),"")</f>
        <v/>
      </c>
      <c r="O88" s="19" t="str">
        <f t="shared" ref="O88" si="277">IFERROR((K88/G88),"")</f>
        <v/>
      </c>
      <c r="P88" s="19" t="str">
        <f t="shared" ref="P88" si="278">IFERROR((L88/H88),"")</f>
        <v/>
      </c>
      <c r="Q88" s="20">
        <f t="shared" ref="Q88" si="279">I88-E88</f>
        <v>279984</v>
      </c>
      <c r="R88" s="20">
        <f t="shared" ref="R88" si="280">J88-F88</f>
        <v>279984</v>
      </c>
      <c r="S88" s="20">
        <f t="shared" ref="S88" si="281">K88-G88</f>
        <v>0</v>
      </c>
      <c r="T88" s="20">
        <f t="shared" ref="T88" si="282">L88-H88</f>
        <v>0</v>
      </c>
      <c r="U88" s="130"/>
    </row>
    <row r="89" spans="1:21" s="5" customFormat="1" ht="52.2">
      <c r="A89" s="104" t="s">
        <v>266</v>
      </c>
      <c r="B89" s="107" t="s">
        <v>267</v>
      </c>
      <c r="C89" s="107" t="s">
        <v>267</v>
      </c>
      <c r="D89" s="95" t="s">
        <v>268</v>
      </c>
      <c r="E89" s="17">
        <f t="shared" ref="E89:L89" si="283">E90</f>
        <v>1822753.82</v>
      </c>
      <c r="F89" s="17">
        <f t="shared" si="283"/>
        <v>1822753.82</v>
      </c>
      <c r="G89" s="17">
        <f t="shared" si="283"/>
        <v>0</v>
      </c>
      <c r="H89" s="17">
        <f t="shared" si="283"/>
        <v>0</v>
      </c>
      <c r="I89" s="17">
        <f>J89+K89</f>
        <v>2661048.2999999998</v>
      </c>
      <c r="J89" s="17">
        <f t="shared" si="283"/>
        <v>2661048.2999999998</v>
      </c>
      <c r="K89" s="17">
        <f t="shared" si="283"/>
        <v>0</v>
      </c>
      <c r="L89" s="17">
        <f t="shared" si="283"/>
        <v>0</v>
      </c>
      <c r="M89" s="15">
        <f t="shared" ref="M89:M90" si="284">I89/E89</f>
        <v>1.4599054852069928</v>
      </c>
      <c r="N89" s="15">
        <f t="shared" ref="N89:N90" si="285">J89/F89</f>
        <v>1.4599054852069928</v>
      </c>
      <c r="O89" s="15" t="str">
        <f t="shared" si="221"/>
        <v/>
      </c>
      <c r="P89" s="15" t="str">
        <f t="shared" si="221"/>
        <v/>
      </c>
      <c r="Q89" s="16">
        <f t="shared" si="223"/>
        <v>838294.47999999975</v>
      </c>
      <c r="R89" s="16">
        <f t="shared" si="224"/>
        <v>838294.47999999975</v>
      </c>
      <c r="S89" s="16">
        <f t="shared" si="225"/>
        <v>0</v>
      </c>
      <c r="T89" s="16">
        <f t="shared" si="226"/>
        <v>0</v>
      </c>
      <c r="U89" s="127"/>
    </row>
    <row r="90" spans="1:21" s="5" customFormat="1" ht="52.2">
      <c r="A90" s="104" t="s">
        <v>269</v>
      </c>
      <c r="B90" s="107" t="s">
        <v>267</v>
      </c>
      <c r="C90" s="107" t="s">
        <v>267</v>
      </c>
      <c r="D90" s="95" t="s">
        <v>268</v>
      </c>
      <c r="E90" s="17">
        <f t="shared" ref="E90:E93" si="286">F90+G90</f>
        <v>1822753.82</v>
      </c>
      <c r="F90" s="17">
        <f>F91+F92+F93</f>
        <v>1822753.82</v>
      </c>
      <c r="G90" s="17">
        <f t="shared" ref="G90:H90" si="287">G91+G92+G93</f>
        <v>0</v>
      </c>
      <c r="H90" s="17">
        <f t="shared" si="287"/>
        <v>0</v>
      </c>
      <c r="I90" s="17">
        <f t="shared" ref="I90:I93" si="288">J90+K90</f>
        <v>2661048.2999999998</v>
      </c>
      <c r="J90" s="17">
        <f>J91+J92+J93</f>
        <v>2661048.2999999998</v>
      </c>
      <c r="K90" s="17">
        <f t="shared" ref="K90:L90" si="289">K91+K92+K93</f>
        <v>0</v>
      </c>
      <c r="L90" s="17">
        <f t="shared" si="289"/>
        <v>0</v>
      </c>
      <c r="M90" s="15">
        <f t="shared" si="284"/>
        <v>1.4599054852069928</v>
      </c>
      <c r="N90" s="15">
        <f t="shared" si="285"/>
        <v>1.4599054852069928</v>
      </c>
      <c r="O90" s="15" t="str">
        <f t="shared" si="221"/>
        <v/>
      </c>
      <c r="P90" s="15" t="str">
        <f t="shared" si="221"/>
        <v/>
      </c>
      <c r="Q90" s="16">
        <f t="shared" si="223"/>
        <v>838294.47999999975</v>
      </c>
      <c r="R90" s="16">
        <f t="shared" si="224"/>
        <v>838294.47999999975</v>
      </c>
      <c r="S90" s="16">
        <f t="shared" si="225"/>
        <v>0</v>
      </c>
      <c r="T90" s="16">
        <f t="shared" si="226"/>
        <v>0</v>
      </c>
      <c r="U90" s="127"/>
    </row>
    <row r="91" spans="1:21" s="9" customFormat="1" ht="54">
      <c r="A91" s="99" t="s">
        <v>270</v>
      </c>
      <c r="B91" s="98" t="s">
        <v>58</v>
      </c>
      <c r="C91" s="98" t="s">
        <v>3</v>
      </c>
      <c r="D91" s="117" t="s">
        <v>227</v>
      </c>
      <c r="E91" s="18">
        <f t="shared" si="286"/>
        <v>1747261.82</v>
      </c>
      <c r="F91" s="18">
        <v>1747261.82</v>
      </c>
      <c r="G91" s="18"/>
      <c r="H91" s="18"/>
      <c r="I91" s="18">
        <f t="shared" si="288"/>
        <v>2434197.4</v>
      </c>
      <c r="J91" s="18">
        <v>2434197.4</v>
      </c>
      <c r="K91" s="18"/>
      <c r="L91" s="18"/>
      <c r="M91" s="19">
        <f>I91/E91</f>
        <v>1.3931497684760259</v>
      </c>
      <c r="N91" s="19">
        <f>J91/F91</f>
        <v>1.3931497684760259</v>
      </c>
      <c r="O91" s="19" t="str">
        <f t="shared" si="221"/>
        <v/>
      </c>
      <c r="P91" s="19" t="str">
        <f t="shared" si="222"/>
        <v/>
      </c>
      <c r="Q91" s="20">
        <f t="shared" si="223"/>
        <v>686935.57999999984</v>
      </c>
      <c r="R91" s="20">
        <f t="shared" si="224"/>
        <v>686935.57999999984</v>
      </c>
      <c r="S91" s="20">
        <f t="shared" si="225"/>
        <v>0</v>
      </c>
      <c r="T91" s="20">
        <f t="shared" si="226"/>
        <v>0</v>
      </c>
      <c r="U91" s="130"/>
    </row>
    <row r="92" spans="1:21" s="9" customFormat="1" ht="36">
      <c r="A92" s="99" t="s">
        <v>271</v>
      </c>
      <c r="B92" s="98" t="s">
        <v>34</v>
      </c>
      <c r="C92" s="98" t="s">
        <v>17</v>
      </c>
      <c r="D92" s="117" t="s">
        <v>43</v>
      </c>
      <c r="E92" s="18">
        <f t="shared" si="286"/>
        <v>75492</v>
      </c>
      <c r="F92" s="18">
        <v>75492</v>
      </c>
      <c r="G92" s="18"/>
      <c r="H92" s="18"/>
      <c r="I92" s="18">
        <f t="shared" si="288"/>
        <v>131574.9</v>
      </c>
      <c r="J92" s="18">
        <v>131574.9</v>
      </c>
      <c r="K92" s="18"/>
      <c r="L92" s="18"/>
      <c r="M92" s="19">
        <f>I92/E92</f>
        <v>1.7428985852805594</v>
      </c>
      <c r="N92" s="19">
        <f>J92/F92</f>
        <v>1.7428985852805594</v>
      </c>
      <c r="O92" s="19" t="str">
        <f t="shared" si="221"/>
        <v/>
      </c>
      <c r="P92" s="19" t="str">
        <f t="shared" si="222"/>
        <v/>
      </c>
      <c r="Q92" s="20">
        <f t="shared" si="223"/>
        <v>56082.899999999994</v>
      </c>
      <c r="R92" s="20">
        <f t="shared" si="224"/>
        <v>56082.899999999994</v>
      </c>
      <c r="S92" s="20">
        <f t="shared" si="225"/>
        <v>0</v>
      </c>
      <c r="T92" s="20">
        <f t="shared" si="226"/>
        <v>0</v>
      </c>
      <c r="U92" s="130"/>
    </row>
    <row r="93" spans="1:21" s="9" customFormat="1" ht="39.75" customHeight="1">
      <c r="A93" s="57" t="s">
        <v>310</v>
      </c>
      <c r="B93" s="57" t="s">
        <v>311</v>
      </c>
      <c r="C93" s="57" t="s">
        <v>294</v>
      </c>
      <c r="D93" s="63" t="s">
        <v>295</v>
      </c>
      <c r="E93" s="18">
        <f t="shared" si="286"/>
        <v>0</v>
      </c>
      <c r="F93" s="18"/>
      <c r="G93" s="18"/>
      <c r="H93" s="18"/>
      <c r="I93" s="18">
        <f t="shared" si="288"/>
        <v>95276</v>
      </c>
      <c r="J93" s="18">
        <v>95276</v>
      </c>
      <c r="K93" s="18"/>
      <c r="L93" s="18"/>
      <c r="M93" s="19"/>
      <c r="N93" s="19"/>
      <c r="O93" s="19" t="str">
        <f t="shared" ref="O93" si="290">IFERROR((K93/G93),"")</f>
        <v/>
      </c>
      <c r="P93" s="19" t="str">
        <f t="shared" ref="P93" si="291">IFERROR((L93/H93),"")</f>
        <v/>
      </c>
      <c r="Q93" s="20">
        <f t="shared" ref="Q93" si="292">I93-E93</f>
        <v>95276</v>
      </c>
      <c r="R93" s="20">
        <f t="shared" ref="R93" si="293">J93-F93</f>
        <v>95276</v>
      </c>
      <c r="S93" s="20">
        <f t="shared" ref="S93" si="294">K93-G93</f>
        <v>0</v>
      </c>
      <c r="T93" s="20">
        <f t="shared" ref="T93" si="295">L93-H93</f>
        <v>0</v>
      </c>
      <c r="U93" s="130"/>
    </row>
    <row r="94" spans="1:21" s="5" customFormat="1" ht="34.799999999999997">
      <c r="A94" s="102" t="s">
        <v>76</v>
      </c>
      <c r="B94" s="102"/>
      <c r="C94" s="102"/>
      <c r="D94" s="87" t="s">
        <v>206</v>
      </c>
      <c r="E94" s="17">
        <f t="shared" ref="E94:L94" si="296">E95</f>
        <v>38125968.25</v>
      </c>
      <c r="F94" s="17">
        <f t="shared" si="296"/>
        <v>37504034.560000002</v>
      </c>
      <c r="G94" s="17">
        <f t="shared" si="296"/>
        <v>621933.68999999994</v>
      </c>
      <c r="H94" s="17">
        <f t="shared" si="296"/>
        <v>0</v>
      </c>
      <c r="I94" s="17">
        <f t="shared" si="296"/>
        <v>40513196.140000001</v>
      </c>
      <c r="J94" s="17">
        <f t="shared" si="296"/>
        <v>39309005.350000001</v>
      </c>
      <c r="K94" s="17">
        <f t="shared" si="296"/>
        <v>1204190.79</v>
      </c>
      <c r="L94" s="17">
        <f t="shared" si="296"/>
        <v>500062</v>
      </c>
      <c r="M94" s="15">
        <f t="shared" si="219"/>
        <v>1.0626142233122171</v>
      </c>
      <c r="N94" s="15">
        <f t="shared" si="220"/>
        <v>1.0481273764589876</v>
      </c>
      <c r="O94" s="15">
        <f t="shared" si="221"/>
        <v>1.936204469000546</v>
      </c>
      <c r="P94" s="15" t="str">
        <f t="shared" si="222"/>
        <v/>
      </c>
      <c r="Q94" s="16">
        <f t="shared" si="223"/>
        <v>2387227.8900000006</v>
      </c>
      <c r="R94" s="16">
        <f t="shared" si="224"/>
        <v>1804970.7899999991</v>
      </c>
      <c r="S94" s="16">
        <f t="shared" si="225"/>
        <v>582257.10000000009</v>
      </c>
      <c r="T94" s="16">
        <f t="shared" si="226"/>
        <v>500062</v>
      </c>
      <c r="U94" s="127"/>
    </row>
    <row r="95" spans="1:21" s="5" customFormat="1" ht="34.799999999999997">
      <c r="A95" s="102" t="s">
        <v>77</v>
      </c>
      <c r="B95" s="102"/>
      <c r="C95" s="102"/>
      <c r="D95" s="87" t="s">
        <v>206</v>
      </c>
      <c r="E95" s="17">
        <f t="shared" ref="E95:E104" si="297">F95+G95</f>
        <v>38125968.25</v>
      </c>
      <c r="F95" s="17">
        <f>F96+F98+F100+F101+F102+F103+F104+F97+F105+F99</f>
        <v>37504034.560000002</v>
      </c>
      <c r="G95" s="17">
        <f t="shared" ref="G95:H95" si="298">G96+G98+G100+G101+G102+G103+G104+G97+G105+G99</f>
        <v>621933.68999999994</v>
      </c>
      <c r="H95" s="17">
        <f t="shared" si="298"/>
        <v>0</v>
      </c>
      <c r="I95" s="17">
        <f t="shared" si="212"/>
        <v>40513196.140000001</v>
      </c>
      <c r="J95" s="17">
        <f>J96+J98+J100+J101+J102+J103+J104+J97+J105+J99</f>
        <v>39309005.350000001</v>
      </c>
      <c r="K95" s="17">
        <f t="shared" ref="K95:L95" si="299">K96+K98+K100+K101+K102+K103+K104+K97+K105+K99</f>
        <v>1204190.79</v>
      </c>
      <c r="L95" s="17">
        <f t="shared" si="299"/>
        <v>500062</v>
      </c>
      <c r="M95" s="15">
        <f t="shared" si="219"/>
        <v>1.0626142233122171</v>
      </c>
      <c r="N95" s="15">
        <f t="shared" si="220"/>
        <v>1.0481273764589876</v>
      </c>
      <c r="O95" s="15">
        <f t="shared" si="221"/>
        <v>1.936204469000546</v>
      </c>
      <c r="P95" s="15" t="str">
        <f t="shared" si="222"/>
        <v/>
      </c>
      <c r="Q95" s="16">
        <f t="shared" si="223"/>
        <v>2387227.8900000006</v>
      </c>
      <c r="R95" s="16">
        <f t="shared" si="224"/>
        <v>1804970.7899999991</v>
      </c>
      <c r="S95" s="16">
        <f t="shared" si="225"/>
        <v>582257.10000000009</v>
      </c>
      <c r="T95" s="16">
        <f t="shared" si="226"/>
        <v>500062</v>
      </c>
      <c r="U95" s="127"/>
    </row>
    <row r="96" spans="1:21" s="9" customFormat="1" ht="54">
      <c r="A96" s="100" t="s">
        <v>78</v>
      </c>
      <c r="B96" s="100" t="s">
        <v>58</v>
      </c>
      <c r="C96" s="100" t="s">
        <v>3</v>
      </c>
      <c r="D96" s="101" t="s">
        <v>227</v>
      </c>
      <c r="E96" s="18">
        <f t="shared" si="297"/>
        <v>696566.11</v>
      </c>
      <c r="F96" s="18">
        <v>696566.11</v>
      </c>
      <c r="G96" s="18"/>
      <c r="H96" s="18"/>
      <c r="I96" s="18">
        <f t="shared" si="212"/>
        <v>1019736.82</v>
      </c>
      <c r="J96" s="18">
        <v>1019736.82</v>
      </c>
      <c r="K96" s="18"/>
      <c r="L96" s="18"/>
      <c r="M96" s="19">
        <f t="shared" si="219"/>
        <v>1.4639483680881344</v>
      </c>
      <c r="N96" s="19">
        <f t="shared" si="220"/>
        <v>1.4639483680881344</v>
      </c>
      <c r="O96" s="19" t="str">
        <f t="shared" si="221"/>
        <v/>
      </c>
      <c r="P96" s="19" t="str">
        <f t="shared" si="222"/>
        <v/>
      </c>
      <c r="Q96" s="20">
        <f t="shared" si="223"/>
        <v>323170.70999999996</v>
      </c>
      <c r="R96" s="20">
        <f t="shared" si="224"/>
        <v>323170.70999999996</v>
      </c>
      <c r="S96" s="20">
        <f t="shared" si="225"/>
        <v>0</v>
      </c>
      <c r="T96" s="20">
        <f t="shared" si="226"/>
        <v>0</v>
      </c>
      <c r="U96" s="130"/>
    </row>
    <row r="97" spans="1:21" s="9" customFormat="1" ht="36">
      <c r="A97" s="98" t="s">
        <v>249</v>
      </c>
      <c r="B97" s="98" t="s">
        <v>8</v>
      </c>
      <c r="C97" s="98" t="s">
        <v>6</v>
      </c>
      <c r="D97" s="117" t="s">
        <v>106</v>
      </c>
      <c r="E97" s="18">
        <f t="shared" si="297"/>
        <v>94810</v>
      </c>
      <c r="F97" s="18">
        <v>94810</v>
      </c>
      <c r="G97" s="18"/>
      <c r="H97" s="18"/>
      <c r="I97" s="18">
        <f t="shared" si="212"/>
        <v>0</v>
      </c>
      <c r="J97" s="18"/>
      <c r="K97" s="18"/>
      <c r="L97" s="18"/>
      <c r="M97" s="19">
        <f t="shared" si="219"/>
        <v>0</v>
      </c>
      <c r="N97" s="19">
        <f t="shared" si="220"/>
        <v>0</v>
      </c>
      <c r="O97" s="19" t="str">
        <f t="shared" si="221"/>
        <v/>
      </c>
      <c r="P97" s="19" t="str">
        <f t="shared" si="222"/>
        <v/>
      </c>
      <c r="Q97" s="20">
        <f t="shared" si="223"/>
        <v>-94810</v>
      </c>
      <c r="R97" s="20">
        <f t="shared" si="224"/>
        <v>-94810</v>
      </c>
      <c r="S97" s="20">
        <f t="shared" si="225"/>
        <v>0</v>
      </c>
      <c r="T97" s="20">
        <f t="shared" si="226"/>
        <v>0</v>
      </c>
      <c r="U97" s="130"/>
    </row>
    <row r="98" spans="1:21" s="9" customFormat="1" ht="36">
      <c r="A98" s="100" t="s">
        <v>189</v>
      </c>
      <c r="B98" s="100" t="s">
        <v>190</v>
      </c>
      <c r="C98" s="100" t="s">
        <v>15</v>
      </c>
      <c r="D98" s="91" t="s">
        <v>188</v>
      </c>
      <c r="E98" s="18">
        <f t="shared" si="297"/>
        <v>18042228.699999999</v>
      </c>
      <c r="F98" s="18">
        <v>17561254.289999999</v>
      </c>
      <c r="G98" s="20">
        <f>298964.41+182010</f>
        <v>480974.41</v>
      </c>
      <c r="H98" s="20"/>
      <c r="I98" s="18">
        <f t="shared" si="212"/>
        <v>18157562.549999997</v>
      </c>
      <c r="J98" s="18">
        <v>17692499.239999998</v>
      </c>
      <c r="K98" s="20">
        <f>465063.31</f>
        <v>465063.31</v>
      </c>
      <c r="L98" s="20"/>
      <c r="M98" s="19">
        <f t="shared" si="219"/>
        <v>1.0063924392001526</v>
      </c>
      <c r="N98" s="19">
        <f t="shared" si="220"/>
        <v>1.0074735521639098</v>
      </c>
      <c r="O98" s="19">
        <f t="shared" si="221"/>
        <v>0.96691903005816882</v>
      </c>
      <c r="P98" s="19" t="str">
        <f t="shared" si="222"/>
        <v/>
      </c>
      <c r="Q98" s="20">
        <f t="shared" si="223"/>
        <v>115333.84999999776</v>
      </c>
      <c r="R98" s="20">
        <f t="shared" si="224"/>
        <v>131244.94999999925</v>
      </c>
      <c r="S98" s="20">
        <f t="shared" si="225"/>
        <v>-15911.099999999977</v>
      </c>
      <c r="T98" s="20">
        <f t="shared" si="226"/>
        <v>0</v>
      </c>
      <c r="U98" s="130"/>
    </row>
    <row r="99" spans="1:21" s="50" customFormat="1" ht="90">
      <c r="A99" s="113">
        <v>1013140</v>
      </c>
      <c r="B99" s="113">
        <v>3140</v>
      </c>
      <c r="C99" s="113">
        <v>1040</v>
      </c>
      <c r="D99" s="110" t="s">
        <v>329</v>
      </c>
      <c r="E99" s="18">
        <f t="shared" ref="E99" si="300">F99+G99</f>
        <v>149320</v>
      </c>
      <c r="F99" s="18">
        <v>149320</v>
      </c>
      <c r="G99" s="20"/>
      <c r="H99" s="20"/>
      <c r="I99" s="18">
        <f t="shared" ref="I99" si="301">J99+K99</f>
        <v>149320</v>
      </c>
      <c r="J99" s="18">
        <v>149320</v>
      </c>
      <c r="K99" s="20"/>
      <c r="L99" s="20"/>
      <c r="M99" s="19"/>
      <c r="N99" s="19"/>
      <c r="O99" s="19"/>
      <c r="P99" s="19" t="str">
        <f t="shared" ref="P99" si="302">IFERROR((L99/H99),"")</f>
        <v/>
      </c>
      <c r="Q99" s="20">
        <f t="shared" ref="Q99" si="303">I99-E99</f>
        <v>0</v>
      </c>
      <c r="R99" s="20">
        <f t="shared" ref="R99" si="304">J99-F99</f>
        <v>0</v>
      </c>
      <c r="S99" s="20">
        <f t="shared" ref="S99" si="305">K99-G99</f>
        <v>0</v>
      </c>
      <c r="T99" s="20">
        <f t="shared" ref="T99" si="306">L99-H99</f>
        <v>0</v>
      </c>
      <c r="U99" s="130"/>
    </row>
    <row r="100" spans="1:21" s="9" customFormat="1">
      <c r="A100" s="100" t="s">
        <v>80</v>
      </c>
      <c r="B100" s="100" t="s">
        <v>79</v>
      </c>
      <c r="C100" s="100" t="s">
        <v>36</v>
      </c>
      <c r="D100" s="109" t="s">
        <v>81</v>
      </c>
      <c r="E100" s="18">
        <f t="shared" si="297"/>
        <v>6480643.9100000001</v>
      </c>
      <c r="F100" s="18">
        <v>6417337.4100000001</v>
      </c>
      <c r="G100" s="20">
        <v>63306.5</v>
      </c>
      <c r="H100" s="20"/>
      <c r="I100" s="18">
        <f t="shared" si="212"/>
        <v>6324563.5899999999</v>
      </c>
      <c r="J100" s="18">
        <v>6279403.0899999999</v>
      </c>
      <c r="K100" s="20">
        <f>45160.5</f>
        <v>45160.5</v>
      </c>
      <c r="L100" s="20"/>
      <c r="M100" s="19">
        <f t="shared" ref="M100" si="307">IFERROR((I100/E100),"")</f>
        <v>0.97591592407057581</v>
      </c>
      <c r="N100" s="19">
        <f t="shared" ref="N100" si="308">IFERROR((J100/F100),"")</f>
        <v>0.97850598913732345</v>
      </c>
      <c r="O100" s="19">
        <f t="shared" ref="O100" si="309">IFERROR((K100/G100),"")</f>
        <v>0.71336276685648392</v>
      </c>
      <c r="P100" s="19" t="str">
        <f t="shared" si="222"/>
        <v/>
      </c>
      <c r="Q100" s="20">
        <f t="shared" si="223"/>
        <v>-156080.3200000003</v>
      </c>
      <c r="R100" s="20">
        <f t="shared" si="224"/>
        <v>-137934.3200000003</v>
      </c>
      <c r="S100" s="20">
        <f t="shared" si="225"/>
        <v>-18146</v>
      </c>
      <c r="T100" s="20">
        <f t="shared" si="226"/>
        <v>0</v>
      </c>
      <c r="U100" s="130"/>
    </row>
    <row r="101" spans="1:21" s="9" customFormat="1">
      <c r="A101" s="100" t="s">
        <v>83</v>
      </c>
      <c r="B101" s="100" t="s">
        <v>82</v>
      </c>
      <c r="C101" s="100" t="s">
        <v>36</v>
      </c>
      <c r="D101" s="109" t="s">
        <v>84</v>
      </c>
      <c r="E101" s="18">
        <f>F101+G101</f>
        <v>2739360.19</v>
      </c>
      <c r="F101" s="18">
        <v>2721682.77</v>
      </c>
      <c r="G101" s="20">
        <v>17677.419999999998</v>
      </c>
      <c r="H101" s="20"/>
      <c r="I101" s="18">
        <f t="shared" si="212"/>
        <v>2928033.34</v>
      </c>
      <c r="J101" s="18">
        <v>2908775.34</v>
      </c>
      <c r="K101" s="20">
        <f>5800+13458</f>
        <v>19258</v>
      </c>
      <c r="L101" s="20"/>
      <c r="M101" s="19">
        <f t="shared" ref="M101" si="310">IFERROR((I101/E101),"")</f>
        <v>1.0688748966597197</v>
      </c>
      <c r="N101" s="19">
        <f t="shared" ref="N101" si="311">IFERROR((J101/F101),"")</f>
        <v>1.0687415050946587</v>
      </c>
      <c r="O101" s="19">
        <f t="shared" ref="O101" si="312">IFERROR((K101/G101),"")</f>
        <v>1.0894123689995487</v>
      </c>
      <c r="P101" s="19" t="str">
        <f t="shared" si="222"/>
        <v/>
      </c>
      <c r="Q101" s="20">
        <f t="shared" si="223"/>
        <v>188673.14999999991</v>
      </c>
      <c r="R101" s="20">
        <f t="shared" si="224"/>
        <v>187092.56999999983</v>
      </c>
      <c r="S101" s="20">
        <f>K101-G101</f>
        <v>1580.5800000000017</v>
      </c>
      <c r="T101" s="20">
        <f t="shared" si="226"/>
        <v>0</v>
      </c>
      <c r="U101" s="130"/>
    </row>
    <row r="102" spans="1:21" s="9" customFormat="1" ht="54">
      <c r="A102" s="100" t="s">
        <v>85</v>
      </c>
      <c r="B102" s="100" t="s">
        <v>35</v>
      </c>
      <c r="C102" s="100" t="s">
        <v>37</v>
      </c>
      <c r="D102" s="109" t="s">
        <v>86</v>
      </c>
      <c r="E102" s="18">
        <f t="shared" si="297"/>
        <v>8055676.8900000006</v>
      </c>
      <c r="F102" s="18">
        <v>7995701.5300000003</v>
      </c>
      <c r="G102" s="20">
        <v>59975.360000000001</v>
      </c>
      <c r="H102" s="20"/>
      <c r="I102" s="18">
        <f t="shared" si="212"/>
        <v>9367033.3000000007</v>
      </c>
      <c r="J102" s="18">
        <v>8772324.3200000003</v>
      </c>
      <c r="K102" s="20">
        <f>174646.98+420062</f>
        <v>594708.98</v>
      </c>
      <c r="L102" s="20">
        <v>420062</v>
      </c>
      <c r="M102" s="19">
        <f t="shared" ref="M102" si="313">IFERROR((I102/E102),"")</f>
        <v>1.1627866196604615</v>
      </c>
      <c r="N102" s="19">
        <f t="shared" ref="N102" si="314">IFERROR((J102/F102),"")</f>
        <v>1.0971300375690738</v>
      </c>
      <c r="O102" s="19">
        <f t="shared" ref="O102" si="315">IFERROR((K102/G102),"")</f>
        <v>9.9158884581934981</v>
      </c>
      <c r="P102" s="19" t="str">
        <f t="shared" si="222"/>
        <v/>
      </c>
      <c r="Q102" s="20">
        <f t="shared" si="223"/>
        <v>1311356.4100000001</v>
      </c>
      <c r="R102" s="20">
        <f t="shared" si="224"/>
        <v>776622.79</v>
      </c>
      <c r="S102" s="20">
        <f t="shared" si="225"/>
        <v>534733.62</v>
      </c>
      <c r="T102" s="20">
        <f t="shared" si="226"/>
        <v>420062</v>
      </c>
      <c r="U102" s="130"/>
    </row>
    <row r="103" spans="1:21" s="9" customFormat="1" ht="36">
      <c r="A103" s="100" t="s">
        <v>147</v>
      </c>
      <c r="B103" s="100" t="s">
        <v>126</v>
      </c>
      <c r="C103" s="100" t="s">
        <v>38</v>
      </c>
      <c r="D103" s="109" t="s">
        <v>127</v>
      </c>
      <c r="E103" s="18">
        <f t="shared" si="297"/>
        <v>1709518.45</v>
      </c>
      <c r="F103" s="18">
        <v>1709518.45</v>
      </c>
      <c r="G103" s="20"/>
      <c r="H103" s="20"/>
      <c r="I103" s="18">
        <f t="shared" si="212"/>
        <v>1912832.89</v>
      </c>
      <c r="J103" s="18">
        <v>1912832.89</v>
      </c>
      <c r="K103" s="20"/>
      <c r="L103" s="20"/>
      <c r="M103" s="19">
        <f t="shared" ref="M103" si="316">IFERROR((I103/E103),"")</f>
        <v>1.1189308252274199</v>
      </c>
      <c r="N103" s="19">
        <f t="shared" ref="N103" si="317">IFERROR((J103/F103),"")</f>
        <v>1.1189308252274199</v>
      </c>
      <c r="O103" s="19" t="str">
        <f t="shared" ref="O103" si="318">IFERROR((K103/G103),"")</f>
        <v/>
      </c>
      <c r="P103" s="19" t="str">
        <f t="shared" si="222"/>
        <v/>
      </c>
      <c r="Q103" s="20">
        <f t="shared" si="223"/>
        <v>203314.43999999994</v>
      </c>
      <c r="R103" s="20">
        <f t="shared" si="224"/>
        <v>203314.43999999994</v>
      </c>
      <c r="S103" s="20">
        <f t="shared" si="225"/>
        <v>0</v>
      </c>
      <c r="T103" s="20">
        <f t="shared" si="226"/>
        <v>0</v>
      </c>
      <c r="U103" s="130"/>
    </row>
    <row r="104" spans="1:21" s="9" customFormat="1">
      <c r="A104" s="100" t="s">
        <v>124</v>
      </c>
      <c r="B104" s="100" t="s">
        <v>125</v>
      </c>
      <c r="C104" s="100" t="s">
        <v>38</v>
      </c>
      <c r="D104" s="109" t="s">
        <v>128</v>
      </c>
      <c r="E104" s="18">
        <f t="shared" si="297"/>
        <v>157844</v>
      </c>
      <c r="F104" s="18">
        <v>157844</v>
      </c>
      <c r="G104" s="20"/>
      <c r="H104" s="20"/>
      <c r="I104" s="18">
        <f t="shared" si="212"/>
        <v>465879</v>
      </c>
      <c r="J104" s="18">
        <v>465879</v>
      </c>
      <c r="K104" s="20"/>
      <c r="L104" s="20"/>
      <c r="M104" s="19">
        <f t="shared" ref="M104" si="319">IFERROR((I104/E104),"")</f>
        <v>2.951515420288386</v>
      </c>
      <c r="N104" s="19">
        <f t="shared" ref="N104" si="320">IFERROR((J104/F104),"")</f>
        <v>2.951515420288386</v>
      </c>
      <c r="O104" s="19" t="str">
        <f t="shared" ref="O104" si="321">IFERROR((K104/G104),"")</f>
        <v/>
      </c>
      <c r="P104" s="19" t="str">
        <f t="shared" si="222"/>
        <v/>
      </c>
      <c r="Q104" s="20">
        <f t="shared" si="223"/>
        <v>308035</v>
      </c>
      <c r="R104" s="20">
        <f t="shared" si="224"/>
        <v>308035</v>
      </c>
      <c r="S104" s="20">
        <f t="shared" si="225"/>
        <v>0</v>
      </c>
      <c r="T104" s="20">
        <f t="shared" si="226"/>
        <v>0</v>
      </c>
      <c r="U104" s="130"/>
    </row>
    <row r="105" spans="1:21" s="9" customFormat="1" ht="36.75" customHeight="1">
      <c r="A105" s="30">
        <v>1017520</v>
      </c>
      <c r="B105" s="30">
        <v>7520</v>
      </c>
      <c r="C105" s="31" t="s">
        <v>294</v>
      </c>
      <c r="D105" s="66" t="s">
        <v>295</v>
      </c>
      <c r="E105" s="18">
        <f t="shared" ref="E105" si="322">F105+G105</f>
        <v>0</v>
      </c>
      <c r="F105" s="18"/>
      <c r="G105" s="20"/>
      <c r="H105" s="20"/>
      <c r="I105" s="18">
        <f t="shared" ref="I105" si="323">J105+K105</f>
        <v>188234.65</v>
      </c>
      <c r="J105" s="18">
        <v>108234.65</v>
      </c>
      <c r="K105" s="20">
        <v>80000</v>
      </c>
      <c r="L105" s="20">
        <v>80000</v>
      </c>
      <c r="M105" s="19"/>
      <c r="N105" s="19"/>
      <c r="O105" s="19"/>
      <c r="P105" s="19" t="str">
        <f t="shared" ref="P105" si="324">IFERROR((L105/H105),"")</f>
        <v/>
      </c>
      <c r="Q105" s="20">
        <f t="shared" ref="Q105" si="325">I105-E105</f>
        <v>188234.65</v>
      </c>
      <c r="R105" s="20">
        <f t="shared" ref="R105" si="326">J105-F105</f>
        <v>108234.65</v>
      </c>
      <c r="S105" s="20">
        <f t="shared" ref="S105" si="327">K105-G105</f>
        <v>80000</v>
      </c>
      <c r="T105" s="20">
        <f t="shared" ref="T105" si="328">L105-H105</f>
        <v>80000</v>
      </c>
      <c r="U105" s="130"/>
    </row>
    <row r="106" spans="1:21" s="5" customFormat="1" ht="52.2">
      <c r="A106" s="102" t="s">
        <v>21</v>
      </c>
      <c r="B106" s="102"/>
      <c r="C106" s="102"/>
      <c r="D106" s="87" t="s">
        <v>247</v>
      </c>
      <c r="E106" s="17">
        <f t="shared" ref="E106:L106" si="329">E107</f>
        <v>4962360.33</v>
      </c>
      <c r="F106" s="17">
        <f t="shared" si="329"/>
        <v>4962360.33</v>
      </c>
      <c r="G106" s="17">
        <f t="shared" si="329"/>
        <v>0</v>
      </c>
      <c r="H106" s="17">
        <f t="shared" si="329"/>
        <v>0</v>
      </c>
      <c r="I106" s="17">
        <f t="shared" si="329"/>
        <v>7111717.5200000005</v>
      </c>
      <c r="J106" s="17">
        <f t="shared" si="329"/>
        <v>7018421.8600000003</v>
      </c>
      <c r="K106" s="17">
        <f t="shared" si="329"/>
        <v>93295.66</v>
      </c>
      <c r="L106" s="17">
        <f t="shared" si="329"/>
        <v>35000</v>
      </c>
      <c r="M106" s="15">
        <f t="shared" si="219"/>
        <v>1.4331320273149128</v>
      </c>
      <c r="N106" s="15">
        <f t="shared" si="220"/>
        <v>1.4143313651711382</v>
      </c>
      <c r="O106" s="15" t="str">
        <f t="shared" si="221"/>
        <v/>
      </c>
      <c r="P106" s="15" t="str">
        <f t="shared" si="222"/>
        <v/>
      </c>
      <c r="Q106" s="16">
        <f t="shared" si="223"/>
        <v>2149357.1900000004</v>
      </c>
      <c r="R106" s="16">
        <f t="shared" si="224"/>
        <v>2056061.5300000003</v>
      </c>
      <c r="S106" s="16">
        <f t="shared" si="225"/>
        <v>93295.66</v>
      </c>
      <c r="T106" s="16">
        <f t="shared" si="226"/>
        <v>35000</v>
      </c>
      <c r="U106" s="127"/>
    </row>
    <row r="107" spans="1:21" s="5" customFormat="1" ht="52.2">
      <c r="A107" s="102" t="s">
        <v>22</v>
      </c>
      <c r="B107" s="102"/>
      <c r="C107" s="102"/>
      <c r="D107" s="87" t="s">
        <v>248</v>
      </c>
      <c r="E107" s="17">
        <f t="shared" ref="E107:E116" si="330">F107+G107</f>
        <v>4962360.33</v>
      </c>
      <c r="F107" s="17">
        <f>F108+F110+F111+F112+F114+F109+F116+F113+F115</f>
        <v>4962360.33</v>
      </c>
      <c r="G107" s="17">
        <f t="shared" ref="G107:H107" si="331">G108+G110+G111+G112+G114+G109+G116+G113+G115</f>
        <v>0</v>
      </c>
      <c r="H107" s="17">
        <f t="shared" si="331"/>
        <v>0</v>
      </c>
      <c r="I107" s="17">
        <f t="shared" si="212"/>
        <v>7111717.5200000005</v>
      </c>
      <c r="J107" s="17">
        <f>J108+J110+J111+J112+J114+J109+J116+J113+J115</f>
        <v>7018421.8600000003</v>
      </c>
      <c r="K107" s="17">
        <f t="shared" ref="K107:L107" si="332">K108+K110+K111+K112+K114+K109+K116+K113+K115</f>
        <v>93295.66</v>
      </c>
      <c r="L107" s="17">
        <f t="shared" si="332"/>
        <v>35000</v>
      </c>
      <c r="M107" s="15">
        <f t="shared" si="219"/>
        <v>1.4331320273149128</v>
      </c>
      <c r="N107" s="15">
        <f t="shared" si="220"/>
        <v>1.4143313651711382</v>
      </c>
      <c r="O107" s="15" t="str">
        <f t="shared" si="221"/>
        <v/>
      </c>
      <c r="P107" s="15" t="str">
        <f t="shared" si="222"/>
        <v/>
      </c>
      <c r="Q107" s="16">
        <f t="shared" si="223"/>
        <v>2149357.1900000004</v>
      </c>
      <c r="R107" s="16">
        <f t="shared" si="224"/>
        <v>2056061.5300000003</v>
      </c>
      <c r="S107" s="16">
        <f t="shared" si="225"/>
        <v>93295.66</v>
      </c>
      <c r="T107" s="16">
        <f t="shared" si="226"/>
        <v>35000</v>
      </c>
      <c r="U107" s="127"/>
    </row>
    <row r="108" spans="1:21" s="9" customFormat="1" ht="54">
      <c r="A108" s="100" t="s">
        <v>87</v>
      </c>
      <c r="B108" s="100" t="s">
        <v>58</v>
      </c>
      <c r="C108" s="100" t="s">
        <v>3</v>
      </c>
      <c r="D108" s="101" t="s">
        <v>227</v>
      </c>
      <c r="E108" s="18">
        <f t="shared" si="330"/>
        <v>1500356.44</v>
      </c>
      <c r="F108" s="20">
        <v>1500356.44</v>
      </c>
      <c r="G108" s="18"/>
      <c r="H108" s="18"/>
      <c r="I108" s="18">
        <f t="shared" si="212"/>
        <v>2138169.4300000002</v>
      </c>
      <c r="J108" s="20">
        <v>2103169.4300000002</v>
      </c>
      <c r="K108" s="18">
        <v>35000</v>
      </c>
      <c r="L108" s="18">
        <v>35000</v>
      </c>
      <c r="M108" s="15">
        <f t="shared" ref="M108" si="333">IFERROR((I108/E108),"")</f>
        <v>1.4251076430877987</v>
      </c>
      <c r="N108" s="15">
        <f t="shared" ref="N108" si="334">IFERROR((J108/F108),"")</f>
        <v>1.4017798530594505</v>
      </c>
      <c r="O108" s="15" t="str">
        <f t="shared" ref="O108" si="335">IFERROR((K108/G108),"")</f>
        <v/>
      </c>
      <c r="P108" s="15" t="str">
        <f t="shared" ref="P108" si="336">IFERROR((L108/H108),"")</f>
        <v/>
      </c>
      <c r="Q108" s="20">
        <f t="shared" si="223"/>
        <v>637812.99000000022</v>
      </c>
      <c r="R108" s="20">
        <f t="shared" si="224"/>
        <v>602812.99000000022</v>
      </c>
      <c r="S108" s="20">
        <f t="shared" si="225"/>
        <v>35000</v>
      </c>
      <c r="T108" s="20">
        <f t="shared" si="226"/>
        <v>35000</v>
      </c>
      <c r="U108" s="130"/>
    </row>
    <row r="109" spans="1:21" s="9" customFormat="1" ht="36">
      <c r="A109" s="98" t="s">
        <v>250</v>
      </c>
      <c r="B109" s="98" t="s">
        <v>8</v>
      </c>
      <c r="C109" s="98" t="s">
        <v>6</v>
      </c>
      <c r="D109" s="117" t="s">
        <v>106</v>
      </c>
      <c r="E109" s="18">
        <f t="shared" si="330"/>
        <v>64630</v>
      </c>
      <c r="F109" s="20">
        <v>64630</v>
      </c>
      <c r="G109" s="18"/>
      <c r="H109" s="18"/>
      <c r="I109" s="18">
        <f t="shared" si="212"/>
        <v>0</v>
      </c>
      <c r="J109" s="20"/>
      <c r="K109" s="18"/>
      <c r="L109" s="18"/>
      <c r="M109" s="19"/>
      <c r="N109" s="19"/>
      <c r="O109" s="19" t="str">
        <f t="shared" si="221"/>
        <v/>
      </c>
      <c r="P109" s="19" t="str">
        <f t="shared" si="222"/>
        <v/>
      </c>
      <c r="Q109" s="20">
        <f t="shared" si="223"/>
        <v>-64630</v>
      </c>
      <c r="R109" s="20">
        <f t="shared" si="224"/>
        <v>-64630</v>
      </c>
      <c r="S109" s="20">
        <f t="shared" si="225"/>
        <v>0</v>
      </c>
      <c r="T109" s="20">
        <f t="shared" si="226"/>
        <v>0</v>
      </c>
      <c r="U109" s="130"/>
    </row>
    <row r="110" spans="1:21" s="9" customFormat="1">
      <c r="A110" s="100" t="s">
        <v>89</v>
      </c>
      <c r="B110" s="100" t="s">
        <v>88</v>
      </c>
      <c r="C110" s="100" t="s">
        <v>17</v>
      </c>
      <c r="D110" s="109" t="s">
        <v>48</v>
      </c>
      <c r="E110" s="18">
        <f t="shared" si="330"/>
        <v>1173220.6200000001</v>
      </c>
      <c r="F110" s="18">
        <f>489667.6+683553.02</f>
        <v>1173220.6200000001</v>
      </c>
      <c r="G110" s="18"/>
      <c r="H110" s="18"/>
      <c r="I110" s="18">
        <f t="shared" si="212"/>
        <v>1292088.2</v>
      </c>
      <c r="J110" s="18">
        <f>560816.8+672975.74</f>
        <v>1233792.54</v>
      </c>
      <c r="K110" s="18">
        <f>58295.66</f>
        <v>58295.66</v>
      </c>
      <c r="L110" s="18"/>
      <c r="M110" s="15">
        <f t="shared" ref="M110" si="337">IFERROR((I110/E110),"")</f>
        <v>1.1013173293868632</v>
      </c>
      <c r="N110" s="15">
        <f t="shared" ref="N110" si="338">IFERROR((J110/F110),"")</f>
        <v>1.0516287550418266</v>
      </c>
      <c r="O110" s="15" t="str">
        <f t="shared" si="221"/>
        <v/>
      </c>
      <c r="P110" s="15" t="str">
        <f t="shared" si="222"/>
        <v/>
      </c>
      <c r="Q110" s="20">
        <f t="shared" si="223"/>
        <v>118867.57999999984</v>
      </c>
      <c r="R110" s="20">
        <f t="shared" si="224"/>
        <v>60571.919999999925</v>
      </c>
      <c r="S110" s="20">
        <f t="shared" si="225"/>
        <v>58295.66</v>
      </c>
      <c r="T110" s="20">
        <f t="shared" si="226"/>
        <v>0</v>
      </c>
      <c r="U110" s="130"/>
    </row>
    <row r="111" spans="1:21" s="9" customFormat="1" ht="36">
      <c r="A111" s="100" t="s">
        <v>24</v>
      </c>
      <c r="B111" s="100" t="s">
        <v>23</v>
      </c>
      <c r="C111" s="100" t="s">
        <v>18</v>
      </c>
      <c r="D111" s="109" t="s">
        <v>42</v>
      </c>
      <c r="E111" s="18">
        <f t="shared" si="330"/>
        <v>534634.64</v>
      </c>
      <c r="F111" s="18">
        <v>534634.64</v>
      </c>
      <c r="G111" s="18"/>
      <c r="H111" s="18"/>
      <c r="I111" s="18">
        <f t="shared" si="212"/>
        <v>834650.52</v>
      </c>
      <c r="J111" s="18">
        <v>834650.52</v>
      </c>
      <c r="K111" s="18"/>
      <c r="L111" s="18"/>
      <c r="M111" s="15">
        <f t="shared" ref="M111" si="339">IFERROR((I111/E111),"")</f>
        <v>1.5611605712641441</v>
      </c>
      <c r="N111" s="15">
        <f t="shared" ref="N111" si="340">IFERROR((J111/F111),"")</f>
        <v>1.5611605712641441</v>
      </c>
      <c r="O111" s="15" t="str">
        <f t="shared" ref="O111:O112" si="341">IFERROR((K111/G111),"")</f>
        <v/>
      </c>
      <c r="P111" s="15" t="str">
        <f t="shared" ref="P111:P112" si="342">IFERROR((L111/H111),"")</f>
        <v/>
      </c>
      <c r="Q111" s="20">
        <f t="shared" si="223"/>
        <v>300015.88</v>
      </c>
      <c r="R111" s="20">
        <f t="shared" si="224"/>
        <v>300015.88</v>
      </c>
      <c r="S111" s="20">
        <f t="shared" si="225"/>
        <v>0</v>
      </c>
      <c r="T111" s="20">
        <f t="shared" si="226"/>
        <v>0</v>
      </c>
      <c r="U111" s="130"/>
    </row>
    <row r="112" spans="1:21" s="9" customFormat="1" ht="36">
      <c r="A112" s="100" t="s">
        <v>44</v>
      </c>
      <c r="B112" s="100" t="s">
        <v>45</v>
      </c>
      <c r="C112" s="100" t="s">
        <v>18</v>
      </c>
      <c r="D112" s="109" t="s">
        <v>46</v>
      </c>
      <c r="E112" s="18">
        <f t="shared" si="330"/>
        <v>226490.63</v>
      </c>
      <c r="F112" s="18">
        <v>226490.63</v>
      </c>
      <c r="G112" s="18"/>
      <c r="H112" s="18"/>
      <c r="I112" s="18">
        <f t="shared" si="212"/>
        <v>684501.57</v>
      </c>
      <c r="J112" s="18">
        <v>684501.57</v>
      </c>
      <c r="K112" s="18"/>
      <c r="L112" s="18"/>
      <c r="M112" s="15" t="s">
        <v>388</v>
      </c>
      <c r="N112" s="15" t="s">
        <v>388</v>
      </c>
      <c r="O112" s="15" t="str">
        <f t="shared" si="341"/>
        <v/>
      </c>
      <c r="P112" s="15" t="str">
        <f t="shared" si="342"/>
        <v/>
      </c>
      <c r="Q112" s="20">
        <f t="shared" si="223"/>
        <v>458010.93999999994</v>
      </c>
      <c r="R112" s="20">
        <f t="shared" si="224"/>
        <v>458010.93999999994</v>
      </c>
      <c r="S112" s="20">
        <f t="shared" si="225"/>
        <v>0</v>
      </c>
      <c r="T112" s="20">
        <f t="shared" si="226"/>
        <v>0</v>
      </c>
      <c r="U112" s="130"/>
    </row>
    <row r="113" spans="1:21" s="51" customFormat="1" ht="54">
      <c r="A113" s="52" t="s">
        <v>334</v>
      </c>
      <c r="B113" s="52" t="s">
        <v>335</v>
      </c>
      <c r="C113" s="52" t="s">
        <v>18</v>
      </c>
      <c r="D113" s="67" t="s">
        <v>336</v>
      </c>
      <c r="E113" s="18">
        <f t="shared" ref="E113" si="343">F113+G113</f>
        <v>51972</v>
      </c>
      <c r="F113" s="18">
        <v>51972</v>
      </c>
      <c r="G113" s="18"/>
      <c r="H113" s="18"/>
      <c r="I113" s="18">
        <f t="shared" ref="I113" si="344">J113+K113</f>
        <v>46848</v>
      </c>
      <c r="J113" s="18">
        <v>46848</v>
      </c>
      <c r="K113" s="18"/>
      <c r="L113" s="18"/>
      <c r="M113" s="19">
        <f t="shared" ref="M113" si="345">IFERROR((I113/E113),"")</f>
        <v>0.90140845070422537</v>
      </c>
      <c r="N113" s="19">
        <f t="shared" ref="N113" si="346">IFERROR((J113/F113),"")</f>
        <v>0.90140845070422537</v>
      </c>
      <c r="O113" s="19" t="str">
        <f t="shared" ref="O113" si="347">IFERROR((K113/G113),"")</f>
        <v/>
      </c>
      <c r="P113" s="19" t="str">
        <f t="shared" ref="P113" si="348">IFERROR((L113/H113),"")</f>
        <v/>
      </c>
      <c r="Q113" s="20">
        <f t="shared" ref="Q113" si="349">I113-E113</f>
        <v>-5124</v>
      </c>
      <c r="R113" s="20">
        <f t="shared" ref="R113" si="350">J113-F113</f>
        <v>-5124</v>
      </c>
      <c r="S113" s="20">
        <f t="shared" ref="S113" si="351">K113-G113</f>
        <v>0</v>
      </c>
      <c r="T113" s="20">
        <f t="shared" ref="T113" si="352">L113-H113</f>
        <v>0</v>
      </c>
      <c r="U113" s="130"/>
    </row>
    <row r="114" spans="1:21" s="9" customFormat="1" ht="72">
      <c r="A114" s="100" t="s">
        <v>49</v>
      </c>
      <c r="B114" s="100" t="s">
        <v>50</v>
      </c>
      <c r="C114" s="100" t="s">
        <v>18</v>
      </c>
      <c r="D114" s="101" t="s">
        <v>51</v>
      </c>
      <c r="E114" s="18">
        <f t="shared" si="330"/>
        <v>1411056</v>
      </c>
      <c r="F114" s="18">
        <v>1411056</v>
      </c>
      <c r="G114" s="18"/>
      <c r="H114" s="18"/>
      <c r="I114" s="18">
        <f t="shared" si="212"/>
        <v>1971631.8</v>
      </c>
      <c r="J114" s="18">
        <v>1971631.8</v>
      </c>
      <c r="K114" s="18"/>
      <c r="L114" s="18"/>
      <c r="M114" s="19">
        <f t="shared" si="219"/>
        <v>1.3972739565261763</v>
      </c>
      <c r="N114" s="19">
        <f t="shared" si="220"/>
        <v>1.3972739565261763</v>
      </c>
      <c r="O114" s="19" t="str">
        <f t="shared" si="221"/>
        <v/>
      </c>
      <c r="P114" s="19" t="str">
        <f t="shared" si="222"/>
        <v/>
      </c>
      <c r="Q114" s="20">
        <f t="shared" si="223"/>
        <v>560575.80000000005</v>
      </c>
      <c r="R114" s="20">
        <f t="shared" si="224"/>
        <v>560575.80000000005</v>
      </c>
      <c r="S114" s="20">
        <f t="shared" si="225"/>
        <v>0</v>
      </c>
      <c r="T114" s="20">
        <f t="shared" si="226"/>
        <v>0</v>
      </c>
      <c r="U114" s="130"/>
    </row>
    <row r="115" spans="1:21" s="55" customFormat="1" ht="54">
      <c r="A115" s="75">
        <v>1115062</v>
      </c>
      <c r="B115" s="75">
        <v>5062</v>
      </c>
      <c r="C115" s="76" t="s">
        <v>18</v>
      </c>
      <c r="D115" s="123" t="s">
        <v>378</v>
      </c>
      <c r="E115" s="18">
        <f t="shared" ref="E115" si="353">F115+G115</f>
        <v>0</v>
      </c>
      <c r="F115" s="18"/>
      <c r="G115" s="18"/>
      <c r="H115" s="18"/>
      <c r="I115" s="18">
        <f t="shared" ref="I115" si="354">J115+K115</f>
        <v>104368</v>
      </c>
      <c r="J115" s="18">
        <v>104368</v>
      </c>
      <c r="K115" s="18"/>
      <c r="L115" s="18"/>
      <c r="M115" s="19" t="str">
        <f t="shared" ref="M115" si="355">IFERROR((I115/E115),"")</f>
        <v/>
      </c>
      <c r="N115" s="19" t="str">
        <f t="shared" ref="N115" si="356">IFERROR((J115/F115),"")</f>
        <v/>
      </c>
      <c r="O115" s="19" t="str">
        <f t="shared" ref="O115" si="357">IFERROR((K115/G115),"")</f>
        <v/>
      </c>
      <c r="P115" s="19" t="str">
        <f t="shared" ref="P115" si="358">IFERROR((L115/H115),"")</f>
        <v/>
      </c>
      <c r="Q115" s="20">
        <f t="shared" ref="Q115" si="359">I115-E115</f>
        <v>104368</v>
      </c>
      <c r="R115" s="20">
        <f t="shared" ref="R115" si="360">J115-F115</f>
        <v>104368</v>
      </c>
      <c r="S115" s="20">
        <f t="shared" ref="S115" si="361">K115-G115</f>
        <v>0</v>
      </c>
      <c r="T115" s="20">
        <f t="shared" ref="T115" si="362">L115-H115</f>
        <v>0</v>
      </c>
      <c r="U115" s="130"/>
    </row>
    <row r="116" spans="1:21" s="9" customFormat="1" ht="40.5" customHeight="1">
      <c r="A116" s="57" t="s">
        <v>312</v>
      </c>
      <c r="B116" s="57" t="s">
        <v>311</v>
      </c>
      <c r="C116" s="57" t="s">
        <v>294</v>
      </c>
      <c r="D116" s="63" t="s">
        <v>295</v>
      </c>
      <c r="E116" s="18">
        <f t="shared" si="330"/>
        <v>0</v>
      </c>
      <c r="F116" s="18"/>
      <c r="G116" s="18"/>
      <c r="H116" s="18"/>
      <c r="I116" s="18">
        <f t="shared" si="212"/>
        <v>39460</v>
      </c>
      <c r="J116" s="18">
        <f>15160+24300</f>
        <v>39460</v>
      </c>
      <c r="K116" s="18"/>
      <c r="L116" s="18"/>
      <c r="M116" s="19" t="str">
        <f t="shared" ref="M116" si="363">IFERROR((I116/E116),"")</f>
        <v/>
      </c>
      <c r="N116" s="19" t="str">
        <f t="shared" ref="N116" si="364">IFERROR((J116/F116),"")</f>
        <v/>
      </c>
      <c r="O116" s="19" t="str">
        <f t="shared" ref="O116" si="365">IFERROR((K116/G116),"")</f>
        <v/>
      </c>
      <c r="P116" s="19" t="str">
        <f t="shared" ref="P116" si="366">IFERROR((L116/H116),"")</f>
        <v/>
      </c>
      <c r="Q116" s="20">
        <f t="shared" ref="Q116" si="367">I116-E116</f>
        <v>39460</v>
      </c>
      <c r="R116" s="20">
        <f t="shared" ref="R116" si="368">J116-F116</f>
        <v>39460</v>
      </c>
      <c r="S116" s="20">
        <f t="shared" ref="S116" si="369">K116-G116</f>
        <v>0</v>
      </c>
      <c r="T116" s="20">
        <f t="shared" ref="T116" si="370">L116-H116</f>
        <v>0</v>
      </c>
      <c r="U116" s="130"/>
    </row>
    <row r="117" spans="1:21" s="5" customFormat="1" ht="52.2">
      <c r="A117" s="102" t="s">
        <v>90</v>
      </c>
      <c r="B117" s="102"/>
      <c r="C117" s="102"/>
      <c r="D117" s="87" t="s">
        <v>215</v>
      </c>
      <c r="E117" s="17">
        <f t="shared" ref="E117:L117" si="371">E118</f>
        <v>114003906.91</v>
      </c>
      <c r="F117" s="17">
        <f t="shared" si="371"/>
        <v>109581911.64</v>
      </c>
      <c r="G117" s="17">
        <f t="shared" si="371"/>
        <v>4421995.2699999996</v>
      </c>
      <c r="H117" s="17">
        <f t="shared" si="371"/>
        <v>3291798.6399999997</v>
      </c>
      <c r="I117" s="17">
        <f t="shared" si="371"/>
        <v>153231186.66000003</v>
      </c>
      <c r="J117" s="17">
        <f t="shared" si="371"/>
        <v>139095895.33000001</v>
      </c>
      <c r="K117" s="17">
        <f t="shared" si="371"/>
        <v>14135291.329999998</v>
      </c>
      <c r="L117" s="17">
        <f t="shared" si="371"/>
        <v>13907539.139999999</v>
      </c>
      <c r="M117" s="15">
        <f t="shared" si="219"/>
        <v>1.3440871529163283</v>
      </c>
      <c r="N117" s="15">
        <f t="shared" si="220"/>
        <v>1.2693326229511286</v>
      </c>
      <c r="O117" s="15" t="s">
        <v>388</v>
      </c>
      <c r="P117" s="15" t="s">
        <v>287</v>
      </c>
      <c r="Q117" s="16">
        <f t="shared" si="223"/>
        <v>39227279.75000003</v>
      </c>
      <c r="R117" s="16">
        <f t="shared" si="224"/>
        <v>29513983.690000013</v>
      </c>
      <c r="S117" s="16">
        <f t="shared" si="225"/>
        <v>9713296.0599999987</v>
      </c>
      <c r="T117" s="16">
        <f t="shared" si="226"/>
        <v>10615740.5</v>
      </c>
      <c r="U117" s="127"/>
    </row>
    <row r="118" spans="1:21" s="5" customFormat="1" ht="52.2">
      <c r="A118" s="102" t="s">
        <v>91</v>
      </c>
      <c r="B118" s="102"/>
      <c r="C118" s="102"/>
      <c r="D118" s="87" t="s">
        <v>215</v>
      </c>
      <c r="E118" s="17">
        <f t="shared" ref="E118:E137" si="372">F118+G118</f>
        <v>114003906.91</v>
      </c>
      <c r="F118" s="17">
        <f>F119+F121+F126+F127+F130+F134+F136+F123+F125+F133+F137+F120+F132+F139+F122+F129+F131+F138+F128+F124+F135+F140</f>
        <v>109581911.64</v>
      </c>
      <c r="G118" s="17">
        <f>G119+G121+G126+G127+G130+G134+G136+G123+G125+G133+G137+G120+G132+G139+G122+G129+G131+G138+G128+G124+G135+G140</f>
        <v>4421995.2699999996</v>
      </c>
      <c r="H118" s="17">
        <f>H119+H121+H126+H127+H130+H134+H136+H123+H125+H133+H137+H120+H132+H139+H122+H129+H131+H138+H128+H124+H135+H140</f>
        <v>3291798.6399999997</v>
      </c>
      <c r="I118" s="17">
        <f t="shared" ref="I118" si="373">J118+K118</f>
        <v>153231186.66000003</v>
      </c>
      <c r="J118" s="17">
        <f>J119+J121+J126+J127+J130+J134+J136+J123+J125+J133+J137+J120+J132+J139+J122+J129+J131+J138+J128+J124+J135+J140</f>
        <v>139095895.33000001</v>
      </c>
      <c r="K118" s="17">
        <f>K119+K121+K126+K127+K130+K134+K136+K123+K125+K133+K137+K120+K132+K139+K122+K129+K131+K138+K128+K124+K135+K140</f>
        <v>14135291.329999998</v>
      </c>
      <c r="L118" s="17">
        <f>L119+L121+L126+L127+L130+L134+L136+L123+L125+L133+L137+L120+L132+L139+L122+L129+L131+L138+L128+L124+L135+L140</f>
        <v>13907539.139999999</v>
      </c>
      <c r="M118" s="15">
        <f t="shared" si="219"/>
        <v>1.3440871529163283</v>
      </c>
      <c r="N118" s="15">
        <f t="shared" si="220"/>
        <v>1.2693326229511286</v>
      </c>
      <c r="O118" s="15" t="s">
        <v>388</v>
      </c>
      <c r="P118" s="15" t="s">
        <v>287</v>
      </c>
      <c r="Q118" s="16">
        <f t="shared" si="223"/>
        <v>39227279.75000003</v>
      </c>
      <c r="R118" s="16">
        <f t="shared" si="224"/>
        <v>29513983.690000013</v>
      </c>
      <c r="S118" s="16">
        <f t="shared" si="225"/>
        <v>9713296.0599999987</v>
      </c>
      <c r="T118" s="16">
        <f t="shared" si="226"/>
        <v>10615740.5</v>
      </c>
      <c r="U118" s="127"/>
    </row>
    <row r="119" spans="1:21" s="9" customFormat="1" ht="54">
      <c r="A119" s="100" t="s">
        <v>92</v>
      </c>
      <c r="B119" s="100" t="s">
        <v>58</v>
      </c>
      <c r="C119" s="100" t="s">
        <v>3</v>
      </c>
      <c r="D119" s="101" t="s">
        <v>227</v>
      </c>
      <c r="E119" s="18">
        <f t="shared" si="372"/>
        <v>2771269.75</v>
      </c>
      <c r="F119" s="18">
        <v>2771269.75</v>
      </c>
      <c r="G119" s="18"/>
      <c r="H119" s="18"/>
      <c r="I119" s="18">
        <f t="shared" si="212"/>
        <v>3821897.5</v>
      </c>
      <c r="J119" s="18">
        <v>3821897.5</v>
      </c>
      <c r="K119" s="18"/>
      <c r="L119" s="18"/>
      <c r="M119" s="19">
        <f t="shared" si="219"/>
        <v>1.3791142128982572</v>
      </c>
      <c r="N119" s="19">
        <f t="shared" si="220"/>
        <v>1.3791142128982572</v>
      </c>
      <c r="O119" s="19" t="str">
        <f t="shared" si="221"/>
        <v/>
      </c>
      <c r="P119" s="19" t="str">
        <f t="shared" si="222"/>
        <v/>
      </c>
      <c r="Q119" s="20">
        <f t="shared" si="223"/>
        <v>1050627.75</v>
      </c>
      <c r="R119" s="20">
        <f t="shared" si="224"/>
        <v>1050627.75</v>
      </c>
      <c r="S119" s="20">
        <f t="shared" si="225"/>
        <v>0</v>
      </c>
      <c r="T119" s="20">
        <f t="shared" si="226"/>
        <v>0</v>
      </c>
      <c r="U119" s="130"/>
    </row>
    <row r="120" spans="1:21" s="9" customFormat="1" ht="54">
      <c r="A120" s="100" t="s">
        <v>284</v>
      </c>
      <c r="B120" s="100" t="s">
        <v>115</v>
      </c>
      <c r="C120" s="13" t="s">
        <v>116</v>
      </c>
      <c r="D120" s="68" t="s">
        <v>117</v>
      </c>
      <c r="E120" s="18">
        <f t="shared" si="372"/>
        <v>2200</v>
      </c>
      <c r="F120" s="18">
        <v>2200</v>
      </c>
      <c r="G120" s="18"/>
      <c r="H120" s="18"/>
      <c r="I120" s="18">
        <f t="shared" si="212"/>
        <v>0</v>
      </c>
      <c r="J120" s="18"/>
      <c r="K120" s="18"/>
      <c r="L120" s="18"/>
      <c r="M120" s="19">
        <f t="shared" si="219"/>
        <v>0</v>
      </c>
      <c r="N120" s="19">
        <f t="shared" si="220"/>
        <v>0</v>
      </c>
      <c r="O120" s="19" t="str">
        <f t="shared" si="221"/>
        <v/>
      </c>
      <c r="P120" s="19" t="str">
        <f t="shared" si="222"/>
        <v/>
      </c>
      <c r="Q120" s="20">
        <f t="shared" si="223"/>
        <v>-2200</v>
      </c>
      <c r="R120" s="20">
        <f t="shared" si="224"/>
        <v>-2200</v>
      </c>
      <c r="S120" s="20">
        <f t="shared" si="225"/>
        <v>0</v>
      </c>
      <c r="T120" s="20">
        <f t="shared" si="226"/>
        <v>0</v>
      </c>
      <c r="U120" s="130"/>
    </row>
    <row r="121" spans="1:21" s="9" customFormat="1" ht="36">
      <c r="A121" s="100" t="s">
        <v>223</v>
      </c>
      <c r="B121" s="100" t="s">
        <v>8</v>
      </c>
      <c r="C121" s="100" t="s">
        <v>6</v>
      </c>
      <c r="D121" s="101" t="s">
        <v>106</v>
      </c>
      <c r="E121" s="18">
        <f t="shared" si="372"/>
        <v>49900</v>
      </c>
      <c r="F121" s="18">
        <v>49900</v>
      </c>
      <c r="G121" s="18"/>
      <c r="H121" s="18"/>
      <c r="I121" s="18">
        <f t="shared" si="212"/>
        <v>0</v>
      </c>
      <c r="J121" s="18"/>
      <c r="K121" s="18"/>
      <c r="L121" s="18"/>
      <c r="M121" s="19">
        <f t="shared" si="219"/>
        <v>0</v>
      </c>
      <c r="N121" s="19">
        <f t="shared" si="220"/>
        <v>0</v>
      </c>
      <c r="O121" s="19" t="str">
        <f t="shared" si="221"/>
        <v/>
      </c>
      <c r="P121" s="19" t="str">
        <f t="shared" si="222"/>
        <v/>
      </c>
      <c r="Q121" s="20">
        <f t="shared" si="223"/>
        <v>-49900</v>
      </c>
      <c r="R121" s="20">
        <f t="shared" si="224"/>
        <v>-49900</v>
      </c>
      <c r="S121" s="20">
        <f t="shared" si="225"/>
        <v>0</v>
      </c>
      <c r="T121" s="20">
        <f t="shared" si="226"/>
        <v>0</v>
      </c>
      <c r="U121" s="130"/>
    </row>
    <row r="122" spans="1:21" s="51" customFormat="1">
      <c r="A122" s="100" t="s">
        <v>337</v>
      </c>
      <c r="B122" s="100" t="s">
        <v>338</v>
      </c>
      <c r="C122" s="54" t="s">
        <v>339</v>
      </c>
      <c r="D122" s="53" t="s">
        <v>340</v>
      </c>
      <c r="E122" s="18">
        <f t="shared" ref="E122" si="374">F122+G122</f>
        <v>9763.66</v>
      </c>
      <c r="F122" s="18">
        <v>9763.66</v>
      </c>
      <c r="G122" s="18"/>
      <c r="H122" s="18"/>
      <c r="I122" s="18">
        <f t="shared" ref="I122" si="375">J122+K122</f>
        <v>0</v>
      </c>
      <c r="J122" s="18"/>
      <c r="K122" s="18"/>
      <c r="L122" s="18"/>
      <c r="M122" s="19">
        <f t="shared" ref="M122" si="376">IFERROR((I122/E122),"")</f>
        <v>0</v>
      </c>
      <c r="N122" s="19">
        <f t="shared" ref="N122" si="377">IFERROR((J122/F122),"")</f>
        <v>0</v>
      </c>
      <c r="O122" s="19" t="str">
        <f t="shared" ref="O122" si="378">IFERROR((K122/G122),"")</f>
        <v/>
      </c>
      <c r="P122" s="19" t="str">
        <f t="shared" ref="P122" si="379">IFERROR((L122/H122),"")</f>
        <v/>
      </c>
      <c r="Q122" s="20">
        <f t="shared" ref="Q122" si="380">I122-E122</f>
        <v>-9763.66</v>
      </c>
      <c r="R122" s="20">
        <f t="shared" ref="R122" si="381">J122-F122</f>
        <v>-9763.66</v>
      </c>
      <c r="S122" s="20">
        <f t="shared" ref="S122" si="382">K122-G122</f>
        <v>0</v>
      </c>
      <c r="T122" s="20">
        <f t="shared" ref="T122" si="383">L122-H122</f>
        <v>0</v>
      </c>
      <c r="U122" s="130"/>
    </row>
    <row r="123" spans="1:21" s="9" customFormat="1" ht="36">
      <c r="A123" s="99">
        <v>1216011</v>
      </c>
      <c r="B123" s="99">
        <v>6011</v>
      </c>
      <c r="C123" s="99" t="s">
        <v>39</v>
      </c>
      <c r="D123" s="117" t="s">
        <v>103</v>
      </c>
      <c r="E123" s="18">
        <f t="shared" si="372"/>
        <v>1890251.17</v>
      </c>
      <c r="F123" s="18"/>
      <c r="G123" s="18">
        <v>1890251.17</v>
      </c>
      <c r="H123" s="18">
        <v>1890251.17</v>
      </c>
      <c r="I123" s="18">
        <f t="shared" si="212"/>
        <v>795666.49</v>
      </c>
      <c r="J123" s="18"/>
      <c r="K123" s="18">
        <v>795666.49</v>
      </c>
      <c r="L123" s="18">
        <f>K123</f>
        <v>795666.49</v>
      </c>
      <c r="M123" s="19">
        <f t="shared" ref="M123" si="384">IFERROR((I123/E123),"")</f>
        <v>0.42093162148393221</v>
      </c>
      <c r="N123" s="19" t="str">
        <f t="shared" ref="N123" si="385">IFERROR((J123/F123),"")</f>
        <v/>
      </c>
      <c r="O123" s="19">
        <f t="shared" ref="O123" si="386">IFERROR((K123/G123),"")</f>
        <v>0.42093162148393221</v>
      </c>
      <c r="P123" s="19">
        <f t="shared" ref="P123" si="387">IFERROR((L123/H123),"")</f>
        <v>0.42093162148393221</v>
      </c>
      <c r="Q123" s="20">
        <f t="shared" si="223"/>
        <v>-1094584.68</v>
      </c>
      <c r="R123" s="20">
        <f t="shared" si="224"/>
        <v>0</v>
      </c>
      <c r="S123" s="20">
        <f t="shared" si="225"/>
        <v>-1094584.68</v>
      </c>
      <c r="T123" s="20">
        <f t="shared" si="226"/>
        <v>-1094584.68</v>
      </c>
      <c r="U123" s="130"/>
    </row>
    <row r="124" spans="1:21" s="55" customFormat="1" ht="36">
      <c r="A124" s="114">
        <v>1216013</v>
      </c>
      <c r="B124" s="114">
        <v>6013</v>
      </c>
      <c r="C124" s="115" t="s">
        <v>7</v>
      </c>
      <c r="D124" s="111" t="s">
        <v>105</v>
      </c>
      <c r="E124" s="18">
        <f t="shared" ref="E124" si="388">F124+G124</f>
        <v>1244281</v>
      </c>
      <c r="F124" s="18"/>
      <c r="G124" s="18">
        <v>1244281</v>
      </c>
      <c r="H124" s="18">
        <v>1244281</v>
      </c>
      <c r="I124" s="18">
        <f t="shared" ref="I124" si="389">J124+K124</f>
        <v>0</v>
      </c>
      <c r="J124" s="18"/>
      <c r="K124" s="18"/>
      <c r="L124" s="18"/>
      <c r="M124" s="19">
        <f t="shared" ref="M124" si="390">IFERROR((I124/E124),"")</f>
        <v>0</v>
      </c>
      <c r="N124" s="19" t="str">
        <f t="shared" ref="N124" si="391">IFERROR((J124/F124),"")</f>
        <v/>
      </c>
      <c r="O124" s="19">
        <f t="shared" ref="O124" si="392">IFERROR((K124/G124),"")</f>
        <v>0</v>
      </c>
      <c r="P124" s="19">
        <f t="shared" ref="P124" si="393">IFERROR((L124/H124),"")</f>
        <v>0</v>
      </c>
      <c r="Q124" s="20">
        <f t="shared" ref="Q124" si="394">I124-E124</f>
        <v>-1244281</v>
      </c>
      <c r="R124" s="20">
        <f t="shared" ref="R124" si="395">J124-F124</f>
        <v>0</v>
      </c>
      <c r="S124" s="20">
        <f t="shared" ref="S124" si="396">K124-G124</f>
        <v>-1244281</v>
      </c>
      <c r="T124" s="20">
        <f t="shared" ref="T124" si="397">L124-H124</f>
        <v>-1244281</v>
      </c>
      <c r="U124" s="130"/>
    </row>
    <row r="125" spans="1:21" s="9" customFormat="1" ht="36">
      <c r="A125" s="98" t="s">
        <v>272</v>
      </c>
      <c r="B125" s="98" t="s">
        <v>273</v>
      </c>
      <c r="C125" s="98" t="s">
        <v>7</v>
      </c>
      <c r="D125" s="117" t="s">
        <v>274</v>
      </c>
      <c r="E125" s="18">
        <f t="shared" si="372"/>
        <v>35060.639999999999</v>
      </c>
      <c r="F125" s="18"/>
      <c r="G125" s="18">
        <v>35060.639999999999</v>
      </c>
      <c r="H125" s="18">
        <v>35060.639999999999</v>
      </c>
      <c r="I125" s="18">
        <f t="shared" si="212"/>
        <v>6754187.6799999997</v>
      </c>
      <c r="J125" s="18"/>
      <c r="K125" s="18">
        <v>6754187.6799999997</v>
      </c>
      <c r="L125" s="18">
        <f>K125</f>
        <v>6754187.6799999997</v>
      </c>
      <c r="M125" s="19"/>
      <c r="N125" s="19" t="str">
        <f t="shared" si="220"/>
        <v/>
      </c>
      <c r="O125" s="19"/>
      <c r="P125" s="19"/>
      <c r="Q125" s="20">
        <f t="shared" si="223"/>
        <v>6719127.04</v>
      </c>
      <c r="R125" s="20">
        <f t="shared" si="224"/>
        <v>0</v>
      </c>
      <c r="S125" s="20">
        <f t="shared" si="225"/>
        <v>6719127.04</v>
      </c>
      <c r="T125" s="20">
        <f t="shared" si="226"/>
        <v>6719127.04</v>
      </c>
      <c r="U125" s="130"/>
    </row>
    <row r="126" spans="1:21" s="9" customFormat="1" ht="36">
      <c r="A126" s="100" t="s">
        <v>149</v>
      </c>
      <c r="B126" s="100" t="s">
        <v>150</v>
      </c>
      <c r="C126" s="100" t="s">
        <v>7</v>
      </c>
      <c r="D126" s="109" t="s">
        <v>151</v>
      </c>
      <c r="E126" s="18">
        <f t="shared" si="372"/>
        <v>1099896.67</v>
      </c>
      <c r="F126" s="18">
        <v>1099896.67</v>
      </c>
      <c r="G126" s="18"/>
      <c r="H126" s="18"/>
      <c r="I126" s="18">
        <f t="shared" si="212"/>
        <v>1374383.6700000002</v>
      </c>
      <c r="J126" s="18">
        <v>1304366.3700000001</v>
      </c>
      <c r="K126" s="18">
        <v>70017.3</v>
      </c>
      <c r="L126" s="18">
        <f>K126</f>
        <v>70017.3</v>
      </c>
      <c r="M126" s="19">
        <f t="shared" ref="M126" si="398">IFERROR((I126/E126),"")</f>
        <v>1.2495570788481434</v>
      </c>
      <c r="N126" s="19">
        <f t="shared" si="220"/>
        <v>1.1858990081313732</v>
      </c>
      <c r="O126" s="19" t="str">
        <f t="shared" ref="O126" si="399">IFERROR((K126/G126),"")</f>
        <v/>
      </c>
      <c r="P126" s="19" t="str">
        <f t="shared" ref="P126" si="400">IFERROR((L126/H126),"")</f>
        <v/>
      </c>
      <c r="Q126" s="20">
        <f t="shared" si="223"/>
        <v>274487.00000000023</v>
      </c>
      <c r="R126" s="20">
        <f t="shared" si="224"/>
        <v>204469.70000000019</v>
      </c>
      <c r="S126" s="20">
        <f t="shared" si="225"/>
        <v>70017.3</v>
      </c>
      <c r="T126" s="20">
        <f t="shared" si="226"/>
        <v>70017.3</v>
      </c>
      <c r="U126" s="130"/>
    </row>
    <row r="127" spans="1:21" s="9" customFormat="1">
      <c r="A127" s="100" t="s">
        <v>93</v>
      </c>
      <c r="B127" s="100" t="s">
        <v>40</v>
      </c>
      <c r="C127" s="100" t="s">
        <v>7</v>
      </c>
      <c r="D127" s="101" t="s">
        <v>55</v>
      </c>
      <c r="E127" s="18">
        <f t="shared" si="372"/>
        <v>52278110.200000003</v>
      </c>
      <c r="F127" s="18">
        <v>51690402.200000003</v>
      </c>
      <c r="G127" s="18">
        <v>587708</v>
      </c>
      <c r="H127" s="18"/>
      <c r="I127" s="18">
        <f t="shared" si="212"/>
        <v>60097816.560000002</v>
      </c>
      <c r="J127" s="18">
        <f>33204809.77+13902608.7+12704846.34</f>
        <v>59812264.810000002</v>
      </c>
      <c r="K127" s="18">
        <v>285551.75</v>
      </c>
      <c r="L127" s="18">
        <f>K127</f>
        <v>285551.75</v>
      </c>
      <c r="M127" s="19">
        <f t="shared" ref="M127" si="401">IFERROR((I127/E127),"")</f>
        <v>1.1495789792340274</v>
      </c>
      <c r="N127" s="19">
        <f t="shared" si="220"/>
        <v>1.1571251579466333</v>
      </c>
      <c r="O127" s="19">
        <f t="shared" si="221"/>
        <v>0.48587351201617129</v>
      </c>
      <c r="P127" s="19" t="str">
        <f t="shared" si="222"/>
        <v/>
      </c>
      <c r="Q127" s="20">
        <f t="shared" si="223"/>
        <v>7819706.3599999994</v>
      </c>
      <c r="R127" s="20">
        <f t="shared" si="224"/>
        <v>8121862.6099999994</v>
      </c>
      <c r="S127" s="20">
        <f t="shared" si="225"/>
        <v>-302156.25</v>
      </c>
      <c r="T127" s="20">
        <f t="shared" si="226"/>
        <v>285551.75</v>
      </c>
      <c r="U127" s="130"/>
    </row>
    <row r="128" spans="1:21" s="55" customFormat="1" ht="36">
      <c r="A128" s="58">
        <v>1216091</v>
      </c>
      <c r="B128" s="58">
        <v>6091</v>
      </c>
      <c r="C128" s="56" t="s">
        <v>306</v>
      </c>
      <c r="D128" s="61" t="s">
        <v>341</v>
      </c>
      <c r="E128" s="18">
        <f t="shared" ref="E128" si="402">F128+G128</f>
        <v>0</v>
      </c>
      <c r="F128" s="18"/>
      <c r="G128" s="18"/>
      <c r="H128" s="18"/>
      <c r="I128" s="18">
        <f t="shared" ref="I128" si="403">J128+K128</f>
        <v>2929300.02</v>
      </c>
      <c r="J128" s="18"/>
      <c r="K128" s="18">
        <v>2929300.02</v>
      </c>
      <c r="L128" s="18">
        <f>K128</f>
        <v>2929300.02</v>
      </c>
      <c r="M128" s="19" t="str">
        <f t="shared" ref="M128" si="404">IFERROR((I128/E128),"")</f>
        <v/>
      </c>
      <c r="N128" s="19" t="str">
        <f t="shared" ref="N128" si="405">IFERROR((J128/F128),"")</f>
        <v/>
      </c>
      <c r="O128" s="19"/>
      <c r="P128" s="19" t="str">
        <f t="shared" ref="P128" si="406">IFERROR((L128/H128),"")</f>
        <v/>
      </c>
      <c r="Q128" s="20">
        <f t="shared" ref="Q128" si="407">I128-E128</f>
        <v>2929300.02</v>
      </c>
      <c r="R128" s="20">
        <f t="shared" ref="R128" si="408">J128-F128</f>
        <v>0</v>
      </c>
      <c r="S128" s="20">
        <f t="shared" ref="S128" si="409">K128-G128</f>
        <v>2929300.02</v>
      </c>
      <c r="T128" s="20">
        <f t="shared" ref="T128" si="410">L128-H128</f>
        <v>2929300.02</v>
      </c>
      <c r="U128" s="130"/>
    </row>
    <row r="129" spans="1:21" s="55" customFormat="1" ht="72">
      <c r="A129" s="58">
        <v>1216093</v>
      </c>
      <c r="B129" s="58">
        <v>6093</v>
      </c>
      <c r="C129" s="56" t="s">
        <v>306</v>
      </c>
      <c r="D129" s="61" t="s">
        <v>344</v>
      </c>
      <c r="E129" s="18">
        <f t="shared" ref="E129" si="411">F129+G129</f>
        <v>0</v>
      </c>
      <c r="F129" s="18"/>
      <c r="G129" s="18"/>
      <c r="H129" s="18"/>
      <c r="I129" s="18">
        <f t="shared" ref="I129" si="412">J129+K129</f>
        <v>37754.870000000003</v>
      </c>
      <c r="J129" s="18">
        <v>37754.870000000003</v>
      </c>
      <c r="K129" s="18"/>
      <c r="L129" s="18"/>
      <c r="M129" s="19" t="str">
        <f t="shared" ref="M129" si="413">IFERROR((I129/E129),"")</f>
        <v/>
      </c>
      <c r="N129" s="19" t="str">
        <f t="shared" ref="N129" si="414">IFERROR((J129/F129),"")</f>
        <v/>
      </c>
      <c r="O129" s="19" t="str">
        <f t="shared" ref="O129" si="415">IFERROR((K129/G129),"")</f>
        <v/>
      </c>
      <c r="P129" s="19" t="str">
        <f t="shared" ref="P129" si="416">IFERROR((L129/H129),"")</f>
        <v/>
      </c>
      <c r="Q129" s="20">
        <f t="shared" ref="Q129" si="417">I129-E129</f>
        <v>37754.870000000003</v>
      </c>
      <c r="R129" s="20">
        <f t="shared" ref="R129" si="418">J129-F129</f>
        <v>37754.870000000003</v>
      </c>
      <c r="S129" s="20">
        <f t="shared" ref="S129" si="419">K129-G129</f>
        <v>0</v>
      </c>
      <c r="T129" s="20">
        <f t="shared" ref="T129" si="420">L129-H129</f>
        <v>0</v>
      </c>
      <c r="U129" s="130"/>
    </row>
    <row r="130" spans="1:21" s="9" customFormat="1" ht="54">
      <c r="A130" s="100" t="s">
        <v>122</v>
      </c>
      <c r="B130" s="100" t="s">
        <v>101</v>
      </c>
      <c r="C130" s="100" t="s">
        <v>41</v>
      </c>
      <c r="D130" s="109" t="s">
        <v>102</v>
      </c>
      <c r="E130" s="18">
        <f t="shared" si="372"/>
        <v>17189181.600000001</v>
      </c>
      <c r="F130" s="18">
        <v>17189181.600000001</v>
      </c>
      <c r="G130" s="18"/>
      <c r="H130" s="18"/>
      <c r="I130" s="18">
        <f t="shared" si="212"/>
        <v>18917006.399999999</v>
      </c>
      <c r="J130" s="18">
        <v>18917006.399999999</v>
      </c>
      <c r="K130" s="18"/>
      <c r="L130" s="18"/>
      <c r="M130" s="19">
        <f t="shared" si="219"/>
        <v>1.1005181538136752</v>
      </c>
      <c r="N130" s="19">
        <f t="shared" si="220"/>
        <v>1.1005181538136752</v>
      </c>
      <c r="O130" s="19" t="str">
        <f t="shared" si="221"/>
        <v/>
      </c>
      <c r="P130" s="19" t="str">
        <f t="shared" si="222"/>
        <v/>
      </c>
      <c r="Q130" s="20">
        <f t="shared" si="223"/>
        <v>1727824.799999997</v>
      </c>
      <c r="R130" s="20">
        <f t="shared" si="224"/>
        <v>1727824.799999997</v>
      </c>
      <c r="S130" s="20">
        <f t="shared" si="225"/>
        <v>0</v>
      </c>
      <c r="T130" s="20">
        <f t="shared" si="226"/>
        <v>0</v>
      </c>
      <c r="U130" s="130"/>
    </row>
    <row r="131" spans="1:21" s="55" customFormat="1" ht="36">
      <c r="A131" s="56" t="s">
        <v>345</v>
      </c>
      <c r="B131" s="56" t="s">
        <v>311</v>
      </c>
      <c r="C131" s="56" t="s">
        <v>294</v>
      </c>
      <c r="D131" s="61" t="s">
        <v>295</v>
      </c>
      <c r="E131" s="18">
        <f t="shared" ref="E131" si="421">F131+G131</f>
        <v>0</v>
      </c>
      <c r="F131" s="18"/>
      <c r="G131" s="18"/>
      <c r="H131" s="18"/>
      <c r="I131" s="18">
        <f t="shared" ref="I131" si="422">J131+K131</f>
        <v>12648</v>
      </c>
      <c r="J131" s="18">
        <f>12648</f>
        <v>12648</v>
      </c>
      <c r="K131" s="18"/>
      <c r="L131" s="18"/>
      <c r="M131" s="19" t="str">
        <f t="shared" ref="M131" si="423">IFERROR((I131/E131),"")</f>
        <v/>
      </c>
      <c r="N131" s="19" t="str">
        <f t="shared" ref="N131" si="424">IFERROR((J131/F131),"")</f>
        <v/>
      </c>
      <c r="O131" s="19" t="str">
        <f t="shared" ref="O131" si="425">IFERROR((K131/G131),"")</f>
        <v/>
      </c>
      <c r="P131" s="19" t="str">
        <f t="shared" ref="P131" si="426">IFERROR((L131/H131),"")</f>
        <v/>
      </c>
      <c r="Q131" s="20">
        <f t="shared" ref="Q131" si="427">I131-E131</f>
        <v>12648</v>
      </c>
      <c r="R131" s="20">
        <f t="shared" ref="R131" si="428">J131-F131</f>
        <v>12648</v>
      </c>
      <c r="S131" s="20">
        <f t="shared" ref="S131" si="429">K131-G131</f>
        <v>0</v>
      </c>
      <c r="T131" s="20">
        <f t="shared" ref="T131" si="430">L131-H131</f>
        <v>0</v>
      </c>
      <c r="U131" s="130"/>
    </row>
    <row r="132" spans="1:21" s="9" customFormat="1" ht="36">
      <c r="A132" s="98">
        <v>1217670</v>
      </c>
      <c r="B132" s="98">
        <v>7670</v>
      </c>
      <c r="C132" s="99" t="s">
        <v>20</v>
      </c>
      <c r="D132" s="117" t="s">
        <v>289</v>
      </c>
      <c r="E132" s="18">
        <f t="shared" ref="E132" si="431">F132+G132</f>
        <v>0</v>
      </c>
      <c r="F132" s="18"/>
      <c r="G132" s="18"/>
      <c r="H132" s="18"/>
      <c r="I132" s="18">
        <f t="shared" ref="I132" si="432">J132+K132</f>
        <v>2650506.6</v>
      </c>
      <c r="J132" s="18"/>
      <c r="K132" s="18">
        <v>2650506.6</v>
      </c>
      <c r="L132" s="18">
        <f>K132</f>
        <v>2650506.6</v>
      </c>
      <c r="M132" s="19" t="str">
        <f t="shared" ref="M132" si="433">IFERROR((I132/E132),"")</f>
        <v/>
      </c>
      <c r="N132" s="19" t="str">
        <f t="shared" ref="N132" si="434">IFERROR((J132/F132),"")</f>
        <v/>
      </c>
      <c r="O132" s="19" t="str">
        <f t="shared" ref="O132" si="435">IFERROR((K132/G132),"")</f>
        <v/>
      </c>
      <c r="P132" s="19" t="str">
        <f t="shared" ref="P132" si="436">IFERROR((L132/H132),"")</f>
        <v/>
      </c>
      <c r="Q132" s="20">
        <f t="shared" ref="Q132" si="437">I132-E132</f>
        <v>2650506.6</v>
      </c>
      <c r="R132" s="20">
        <f t="shared" ref="R132" si="438">J132-F132</f>
        <v>0</v>
      </c>
      <c r="S132" s="20">
        <f t="shared" ref="S132" si="439">K132-G132</f>
        <v>2650506.6</v>
      </c>
      <c r="T132" s="20">
        <f t="shared" ref="T132" si="440">L132-H132</f>
        <v>2650506.6</v>
      </c>
      <c r="U132" s="130"/>
    </row>
    <row r="133" spans="1:21" s="9" customFormat="1" ht="162">
      <c r="A133" s="99">
        <v>1217691</v>
      </c>
      <c r="B133" s="99">
        <v>7691</v>
      </c>
      <c r="C133" s="99" t="s">
        <v>20</v>
      </c>
      <c r="D133" s="117" t="s">
        <v>275</v>
      </c>
      <c r="E133" s="18">
        <f t="shared" si="372"/>
        <v>123448.63</v>
      </c>
      <c r="F133" s="18"/>
      <c r="G133" s="18">
        <v>123448.63</v>
      </c>
      <c r="H133" s="18"/>
      <c r="I133" s="18">
        <f t="shared" si="212"/>
        <v>227752.19</v>
      </c>
      <c r="J133" s="18"/>
      <c r="K133" s="18">
        <v>227752.19</v>
      </c>
      <c r="L133" s="18"/>
      <c r="M133" s="19">
        <f t="shared" si="219"/>
        <v>1.8449146823257576</v>
      </c>
      <c r="N133" s="19" t="str">
        <f t="shared" si="220"/>
        <v/>
      </c>
      <c r="O133" s="19">
        <f t="shared" si="221"/>
        <v>1.8449146823257576</v>
      </c>
      <c r="P133" s="19" t="str">
        <f t="shared" si="222"/>
        <v/>
      </c>
      <c r="Q133" s="20">
        <f t="shared" si="223"/>
        <v>104303.56</v>
      </c>
      <c r="R133" s="20">
        <f t="shared" si="224"/>
        <v>0</v>
      </c>
      <c r="S133" s="20">
        <f t="shared" si="225"/>
        <v>104303.56</v>
      </c>
      <c r="T133" s="20">
        <f t="shared" si="226"/>
        <v>0</v>
      </c>
      <c r="U133" s="130"/>
    </row>
    <row r="134" spans="1:21" s="9" customFormat="1" ht="36">
      <c r="A134" s="98">
        <v>1217693</v>
      </c>
      <c r="B134" s="98" t="s">
        <v>129</v>
      </c>
      <c r="C134" s="98" t="s">
        <v>20</v>
      </c>
      <c r="D134" s="117" t="s">
        <v>233</v>
      </c>
      <c r="E134" s="18">
        <f t="shared" si="372"/>
        <v>34961528.670000002</v>
      </c>
      <c r="F134" s="18">
        <f>1957228.67+18000000+15004300</f>
        <v>34961528.670000002</v>
      </c>
      <c r="G134" s="18"/>
      <c r="H134" s="18"/>
      <c r="I134" s="18">
        <f t="shared" si="212"/>
        <v>53397030.560000002</v>
      </c>
      <c r="J134" s="18">
        <f>1877030.56+30000000+21520000</f>
        <v>53397030.560000002</v>
      </c>
      <c r="K134" s="18"/>
      <c r="L134" s="18"/>
      <c r="M134" s="19">
        <f t="shared" si="219"/>
        <v>1.5273082325435972</v>
      </c>
      <c r="N134" s="19">
        <f t="shared" si="220"/>
        <v>1.5273082325435972</v>
      </c>
      <c r="O134" s="19" t="str">
        <f t="shared" si="221"/>
        <v/>
      </c>
      <c r="P134" s="19" t="str">
        <f t="shared" si="222"/>
        <v/>
      </c>
      <c r="Q134" s="20">
        <f t="shared" si="223"/>
        <v>18435501.890000001</v>
      </c>
      <c r="R134" s="20">
        <f t="shared" si="224"/>
        <v>18435501.890000001</v>
      </c>
      <c r="S134" s="20">
        <f t="shared" si="225"/>
        <v>0</v>
      </c>
      <c r="T134" s="20">
        <f t="shared" si="226"/>
        <v>0</v>
      </c>
      <c r="U134" s="130"/>
    </row>
    <row r="135" spans="1:21" s="55" customFormat="1" ht="72">
      <c r="A135" s="98">
        <v>1217700</v>
      </c>
      <c r="B135" s="98">
        <v>7700</v>
      </c>
      <c r="C135" s="99" t="s">
        <v>6</v>
      </c>
      <c r="D135" s="117" t="s">
        <v>372</v>
      </c>
      <c r="E135" s="18">
        <f t="shared" ref="E135" si="441">F135+G135</f>
        <v>419040</v>
      </c>
      <c r="F135" s="18"/>
      <c r="G135" s="18">
        <v>419040</v>
      </c>
      <c r="H135" s="18"/>
      <c r="I135" s="18">
        <f t="shared" ref="I135" si="442">J135+K135</f>
        <v>0</v>
      </c>
      <c r="J135" s="18"/>
      <c r="K135" s="18"/>
      <c r="L135" s="18"/>
      <c r="M135" s="19">
        <f t="shared" ref="M135" si="443">IFERROR((I135/E135),"")</f>
        <v>0</v>
      </c>
      <c r="N135" s="19" t="str">
        <f t="shared" ref="N135" si="444">IFERROR((J135/F135),"")</f>
        <v/>
      </c>
      <c r="O135" s="19">
        <f t="shared" ref="O135" si="445">IFERROR((K135/G135),"")</f>
        <v>0</v>
      </c>
      <c r="P135" s="19" t="str">
        <f t="shared" ref="P135" si="446">IFERROR((L135/H135),"")</f>
        <v/>
      </c>
      <c r="Q135" s="20">
        <f t="shared" ref="Q135" si="447">I135-E135</f>
        <v>-419040</v>
      </c>
      <c r="R135" s="20">
        <f t="shared" ref="R135" si="448">J135-F135</f>
        <v>0</v>
      </c>
      <c r="S135" s="20">
        <f t="shared" ref="S135" si="449">K135-G135</f>
        <v>-419040</v>
      </c>
      <c r="T135" s="20">
        <f t="shared" ref="T135" si="450">L135-H135</f>
        <v>0</v>
      </c>
      <c r="U135" s="130"/>
    </row>
    <row r="136" spans="1:21" s="9" customFormat="1" ht="54">
      <c r="A136" s="98">
        <v>1218110</v>
      </c>
      <c r="B136" s="98">
        <v>8110</v>
      </c>
      <c r="C136" s="99" t="s">
        <v>5</v>
      </c>
      <c r="D136" s="117" t="s">
        <v>131</v>
      </c>
      <c r="E136" s="18">
        <f t="shared" si="372"/>
        <v>1917274.9200000002</v>
      </c>
      <c r="F136" s="18">
        <f>1575579.09+155500+63990</f>
        <v>1795069.09</v>
      </c>
      <c r="G136" s="18">
        <v>122205.83</v>
      </c>
      <c r="H136" s="18">
        <v>122205.83</v>
      </c>
      <c r="I136" s="18">
        <f t="shared" si="212"/>
        <v>1405120.1700000002</v>
      </c>
      <c r="J136" s="18">
        <f>883269.02+193486.85</f>
        <v>1076755.8700000001</v>
      </c>
      <c r="K136" s="18">
        <v>328364.3</v>
      </c>
      <c r="L136" s="18">
        <f>K136</f>
        <v>328364.3</v>
      </c>
      <c r="M136" s="19">
        <f t="shared" si="219"/>
        <v>0.73287359853431977</v>
      </c>
      <c r="N136" s="19">
        <f t="shared" si="220"/>
        <v>0.59984090640210408</v>
      </c>
      <c r="O136" s="19">
        <f t="shared" si="221"/>
        <v>2.686977372519789</v>
      </c>
      <c r="P136" s="19">
        <f t="shared" si="222"/>
        <v>2.686977372519789</v>
      </c>
      <c r="Q136" s="20">
        <f t="shared" si="223"/>
        <v>-512154.75</v>
      </c>
      <c r="R136" s="20">
        <f t="shared" si="224"/>
        <v>-718313.22</v>
      </c>
      <c r="S136" s="20">
        <f t="shared" si="225"/>
        <v>206158.46999999997</v>
      </c>
      <c r="T136" s="20">
        <f t="shared" si="226"/>
        <v>206158.46999999997</v>
      </c>
      <c r="U136" s="130"/>
    </row>
    <row r="137" spans="1:21" s="9" customFormat="1">
      <c r="A137" s="98">
        <v>1218240</v>
      </c>
      <c r="B137" s="98">
        <v>8240</v>
      </c>
      <c r="C137" s="99" t="s">
        <v>216</v>
      </c>
      <c r="D137" s="97" t="s">
        <v>234</v>
      </c>
      <c r="E137" s="18">
        <f t="shared" si="372"/>
        <v>12700</v>
      </c>
      <c r="F137" s="18">
        <v>12700</v>
      </c>
      <c r="G137" s="18"/>
      <c r="H137" s="18"/>
      <c r="I137" s="18">
        <f t="shared" si="212"/>
        <v>93945</v>
      </c>
      <c r="J137" s="18"/>
      <c r="K137" s="18">
        <v>93945</v>
      </c>
      <c r="L137" s="18">
        <f>K137</f>
        <v>93945</v>
      </c>
      <c r="M137" s="19" t="s">
        <v>391</v>
      </c>
      <c r="N137" s="19">
        <f t="shared" ref="N137" si="451">IFERROR((J137/F137),"")</f>
        <v>0</v>
      </c>
      <c r="O137" s="19" t="str">
        <f t="shared" ref="O137" si="452">IFERROR((K137/G137),"")</f>
        <v/>
      </c>
      <c r="P137" s="19" t="str">
        <f t="shared" ref="P137" si="453">IFERROR((L137/H137),"")</f>
        <v/>
      </c>
      <c r="Q137" s="20">
        <f t="shared" si="223"/>
        <v>81245</v>
      </c>
      <c r="R137" s="20">
        <f t="shared" si="224"/>
        <v>-12700</v>
      </c>
      <c r="S137" s="20">
        <f t="shared" si="225"/>
        <v>93945</v>
      </c>
      <c r="T137" s="20">
        <f t="shared" si="226"/>
        <v>93945</v>
      </c>
      <c r="U137" s="130"/>
    </row>
    <row r="138" spans="1:21" s="55" customFormat="1" ht="90">
      <c r="A138" s="56" t="s">
        <v>346</v>
      </c>
      <c r="B138" s="58">
        <v>8733</v>
      </c>
      <c r="C138" s="56" t="s">
        <v>41</v>
      </c>
      <c r="D138" s="61" t="s">
        <v>347</v>
      </c>
      <c r="E138" s="18">
        <f t="shared" ref="E138" si="454">F138+G138</f>
        <v>0</v>
      </c>
      <c r="F138" s="18"/>
      <c r="G138" s="18"/>
      <c r="H138" s="18"/>
      <c r="I138" s="18">
        <f t="shared" ref="I138" si="455">J138+K138</f>
        <v>123658.8</v>
      </c>
      <c r="J138" s="18">
        <v>123658.8</v>
      </c>
      <c r="K138" s="18"/>
      <c r="L138" s="18"/>
      <c r="M138" s="19"/>
      <c r="N138" s="19" t="str">
        <f t="shared" ref="N138" si="456">IFERROR((J138/F138),"")</f>
        <v/>
      </c>
      <c r="O138" s="19" t="str">
        <f t="shared" ref="O138" si="457">IFERROR((K138/G138),"")</f>
        <v/>
      </c>
      <c r="P138" s="19" t="str">
        <f t="shared" ref="P138" si="458">IFERROR((L138/H138),"")</f>
        <v/>
      </c>
      <c r="Q138" s="20">
        <f t="shared" ref="Q138" si="459">I138-E138</f>
        <v>123658.8</v>
      </c>
      <c r="R138" s="20">
        <f t="shared" ref="R138" si="460">J138-F138</f>
        <v>123658.8</v>
      </c>
      <c r="S138" s="20">
        <f t="shared" ref="S138" si="461">K138-G138</f>
        <v>0</v>
      </c>
      <c r="T138" s="20">
        <f t="shared" ref="T138" si="462">L138-H138</f>
        <v>0</v>
      </c>
      <c r="U138" s="130"/>
    </row>
    <row r="139" spans="1:21" s="9" customFormat="1" ht="72">
      <c r="A139" s="26" t="s">
        <v>304</v>
      </c>
      <c r="B139" s="27">
        <v>8741</v>
      </c>
      <c r="C139" s="26" t="s">
        <v>39</v>
      </c>
      <c r="D139" s="69" t="s">
        <v>305</v>
      </c>
      <c r="E139" s="18">
        <f t="shared" ref="E139" si="463">F139+G139</f>
        <v>0</v>
      </c>
      <c r="F139" s="18"/>
      <c r="G139" s="18"/>
      <c r="H139" s="18"/>
      <c r="I139" s="18">
        <f t="shared" ref="I139" si="464">J139+K139</f>
        <v>373762.15</v>
      </c>
      <c r="J139" s="18">
        <v>373762.15</v>
      </c>
      <c r="K139" s="18"/>
      <c r="L139" s="18"/>
      <c r="M139" s="19" t="str">
        <f t="shared" ref="M139" si="465">IFERROR((I139/E139),"")</f>
        <v/>
      </c>
      <c r="N139" s="19" t="str">
        <f t="shared" ref="N139" si="466">IFERROR((J139/F139),"")</f>
        <v/>
      </c>
      <c r="O139" s="19" t="str">
        <f t="shared" ref="O139" si="467">IFERROR((K139/G139),"")</f>
        <v/>
      </c>
      <c r="P139" s="19" t="str">
        <f t="shared" ref="P139" si="468">IFERROR((L139/H139),"")</f>
        <v/>
      </c>
      <c r="Q139" s="20">
        <f t="shared" ref="Q139" si="469">I139-E139</f>
        <v>373762.15</v>
      </c>
      <c r="R139" s="20">
        <f t="shared" ref="R139" si="470">J139-F139</f>
        <v>373762.15</v>
      </c>
      <c r="S139" s="20">
        <f t="shared" ref="S139" si="471">K139-G139</f>
        <v>0</v>
      </c>
      <c r="T139" s="20">
        <f t="shared" ref="T139" si="472">L139-H139</f>
        <v>0</v>
      </c>
      <c r="U139" s="130"/>
    </row>
    <row r="140" spans="1:21" s="55" customFormat="1" ht="72">
      <c r="A140" s="76" t="s">
        <v>376</v>
      </c>
      <c r="B140" s="75">
        <v>8745</v>
      </c>
      <c r="C140" s="76" t="s">
        <v>306</v>
      </c>
      <c r="D140" s="123" t="s">
        <v>377</v>
      </c>
      <c r="E140" s="18">
        <f t="shared" ref="E140" si="473">F140+G140</f>
        <v>0</v>
      </c>
      <c r="F140" s="18"/>
      <c r="G140" s="18"/>
      <c r="H140" s="18"/>
      <c r="I140" s="18">
        <f t="shared" ref="I140" si="474">J140+K140</f>
        <v>218750</v>
      </c>
      <c r="J140" s="18">
        <v>218750</v>
      </c>
      <c r="K140" s="18"/>
      <c r="L140" s="18"/>
      <c r="M140" s="19" t="str">
        <f t="shared" ref="M140" si="475">IFERROR((I140/E140),"")</f>
        <v/>
      </c>
      <c r="N140" s="19" t="str">
        <f t="shared" ref="N140" si="476">IFERROR((J140/F140),"")</f>
        <v/>
      </c>
      <c r="O140" s="19" t="str">
        <f t="shared" ref="O140" si="477">IFERROR((K140/G140),"")</f>
        <v/>
      </c>
      <c r="P140" s="19" t="str">
        <f t="shared" ref="P140" si="478">IFERROR((L140/H140),"")</f>
        <v/>
      </c>
      <c r="Q140" s="20">
        <f t="shared" ref="Q140" si="479">I140-E140</f>
        <v>218750</v>
      </c>
      <c r="R140" s="20">
        <f t="shared" ref="R140" si="480">J140-F140</f>
        <v>218750</v>
      </c>
      <c r="S140" s="20">
        <f t="shared" ref="S140" si="481">K140-G140</f>
        <v>0</v>
      </c>
      <c r="T140" s="20">
        <f t="shared" ref="T140" si="482">L140-H140</f>
        <v>0</v>
      </c>
      <c r="U140" s="130"/>
    </row>
    <row r="141" spans="1:21" s="5" customFormat="1" ht="52.2">
      <c r="A141" s="102" t="s">
        <v>25</v>
      </c>
      <c r="B141" s="102"/>
      <c r="C141" s="102"/>
      <c r="D141" s="87" t="s">
        <v>207</v>
      </c>
      <c r="E141" s="17">
        <f t="shared" ref="E141:L141" si="483">E142</f>
        <v>27104719.75</v>
      </c>
      <c r="F141" s="17">
        <f t="shared" si="483"/>
        <v>3058670.41</v>
      </c>
      <c r="G141" s="17">
        <f t="shared" si="483"/>
        <v>24046049.34</v>
      </c>
      <c r="H141" s="17">
        <f t="shared" si="483"/>
        <v>24046049.34</v>
      </c>
      <c r="I141" s="17">
        <f t="shared" si="483"/>
        <v>59798851.299999997</v>
      </c>
      <c r="J141" s="17">
        <f t="shared" si="483"/>
        <v>4326451.92</v>
      </c>
      <c r="K141" s="17">
        <f t="shared" si="483"/>
        <v>55472399.379999995</v>
      </c>
      <c r="L141" s="17">
        <f t="shared" si="483"/>
        <v>55472399.379999995</v>
      </c>
      <c r="M141" s="15" t="s">
        <v>364</v>
      </c>
      <c r="N141" s="15">
        <f t="shared" si="220"/>
        <v>1.4144877806563014</v>
      </c>
      <c r="O141" s="15" t="s">
        <v>364</v>
      </c>
      <c r="P141" s="15" t="s">
        <v>364</v>
      </c>
      <c r="Q141" s="16">
        <f t="shared" si="223"/>
        <v>32694131.549999997</v>
      </c>
      <c r="R141" s="16">
        <f t="shared" si="224"/>
        <v>1267781.5099999998</v>
      </c>
      <c r="S141" s="16">
        <f t="shared" si="225"/>
        <v>31426350.039999995</v>
      </c>
      <c r="T141" s="16">
        <f t="shared" si="226"/>
        <v>31426350.039999995</v>
      </c>
      <c r="U141" s="127"/>
    </row>
    <row r="142" spans="1:21" s="5" customFormat="1" ht="52.2">
      <c r="A142" s="102" t="s">
        <v>26</v>
      </c>
      <c r="B142" s="102"/>
      <c r="C142" s="102"/>
      <c r="D142" s="87" t="s">
        <v>207</v>
      </c>
      <c r="E142" s="17">
        <f t="shared" ref="E142:E157" si="484">F142+G142</f>
        <v>27104719.75</v>
      </c>
      <c r="F142" s="17">
        <f>F144+F157+F145+F155+F147+F149+F150+F154+F156+F143+F146+F148+F152+F151+F153</f>
        <v>3058670.41</v>
      </c>
      <c r="G142" s="17">
        <f>G144+G157+G145+G155+G147+G149+G150+G154+G156+G143+G146+G148+G152+G151+G153</f>
        <v>24046049.34</v>
      </c>
      <c r="H142" s="17">
        <f>H144+H157+H145+H155+H147+H149+H150+H154+H156+H143+H146+H148+H152+H151+H153</f>
        <v>24046049.34</v>
      </c>
      <c r="I142" s="17">
        <f t="shared" ref="I142:I143" si="485">J142+K142</f>
        <v>59798851.299999997</v>
      </c>
      <c r="J142" s="17">
        <f>J144+J157+J145+J155+J147+J149+J150+J154+J156+J143+J146+J148+J152+J151+J153</f>
        <v>4326451.92</v>
      </c>
      <c r="K142" s="17">
        <f>K144+K157+K145+K155+K147+K149+K150+K154+K156+K143+K146+K148+K152+K151+K153</f>
        <v>55472399.379999995</v>
      </c>
      <c r="L142" s="17">
        <f>L144+L157+L145+L155+L147+L149+L150+L154+L156+L143+L146+L148+L152+L151+L153</f>
        <v>55472399.379999995</v>
      </c>
      <c r="M142" s="15" t="s">
        <v>364</v>
      </c>
      <c r="N142" s="15">
        <f t="shared" si="220"/>
        <v>1.4144877806563014</v>
      </c>
      <c r="O142" s="15" t="s">
        <v>364</v>
      </c>
      <c r="P142" s="15" t="s">
        <v>364</v>
      </c>
      <c r="Q142" s="16">
        <f t="shared" si="223"/>
        <v>32694131.549999997</v>
      </c>
      <c r="R142" s="16">
        <f t="shared" si="224"/>
        <v>1267781.5099999998</v>
      </c>
      <c r="S142" s="16">
        <f t="shared" si="225"/>
        <v>31426350.039999995</v>
      </c>
      <c r="T142" s="16">
        <f t="shared" si="226"/>
        <v>31426350.039999995</v>
      </c>
      <c r="U142" s="127"/>
    </row>
    <row r="143" spans="1:21" s="5" customFormat="1" ht="76.5" customHeight="1">
      <c r="A143" s="58">
        <v>1510150</v>
      </c>
      <c r="B143" s="56" t="s">
        <v>52</v>
      </c>
      <c r="C143" s="56" t="s">
        <v>3</v>
      </c>
      <c r="D143" s="61" t="s">
        <v>358</v>
      </c>
      <c r="E143" s="18">
        <f t="shared" ref="E143" si="486">F143+G143</f>
        <v>0</v>
      </c>
      <c r="F143" s="18"/>
      <c r="G143" s="18"/>
      <c r="H143" s="18"/>
      <c r="I143" s="18">
        <f t="shared" si="485"/>
        <v>572995.68999999994</v>
      </c>
      <c r="J143" s="18"/>
      <c r="K143" s="18">
        <v>572995.68999999994</v>
      </c>
      <c r="L143" s="18">
        <f>K143</f>
        <v>572995.68999999994</v>
      </c>
      <c r="M143" s="19" t="str">
        <f t="shared" ref="M143" si="487">IFERROR((I143/E143),"")</f>
        <v/>
      </c>
      <c r="N143" s="19" t="str">
        <f t="shared" ref="N143" si="488">IFERROR((J143/F143),"")</f>
        <v/>
      </c>
      <c r="O143" s="19" t="str">
        <f t="shared" ref="O143" si="489">IFERROR((K143/G143),"")</f>
        <v/>
      </c>
      <c r="P143" s="19" t="str">
        <f t="shared" ref="P143" si="490">IFERROR((L143/H143),"")</f>
        <v/>
      </c>
      <c r="Q143" s="20">
        <f t="shared" ref="Q143" si="491">I143-E143</f>
        <v>572995.68999999994</v>
      </c>
      <c r="R143" s="20">
        <f t="shared" ref="R143" si="492">J143-F143</f>
        <v>0</v>
      </c>
      <c r="S143" s="20">
        <f t="shared" ref="S143" si="493">K143-G143</f>
        <v>572995.68999999994</v>
      </c>
      <c r="T143" s="20">
        <f t="shared" ref="T143" si="494">L143-H143</f>
        <v>572995.68999999994</v>
      </c>
      <c r="U143" s="127"/>
    </row>
    <row r="144" spans="1:21" s="9" customFormat="1" ht="54">
      <c r="A144" s="100" t="s">
        <v>94</v>
      </c>
      <c r="B144" s="100" t="s">
        <v>58</v>
      </c>
      <c r="C144" s="100" t="s">
        <v>3</v>
      </c>
      <c r="D144" s="101" t="s">
        <v>227</v>
      </c>
      <c r="E144" s="18">
        <f t="shared" si="484"/>
        <v>3008770.41</v>
      </c>
      <c r="F144" s="18">
        <v>3008770.41</v>
      </c>
      <c r="G144" s="18"/>
      <c r="H144" s="18"/>
      <c r="I144" s="18">
        <f t="shared" si="212"/>
        <v>4283942.92</v>
      </c>
      <c r="J144" s="18">
        <v>4283942.92</v>
      </c>
      <c r="K144" s="18"/>
      <c r="L144" s="18"/>
      <c r="M144" s="19">
        <f t="shared" si="219"/>
        <v>1.4238184827136744</v>
      </c>
      <c r="N144" s="19">
        <f t="shared" si="220"/>
        <v>1.4238184827136744</v>
      </c>
      <c r="O144" s="19" t="str">
        <f t="shared" si="221"/>
        <v/>
      </c>
      <c r="P144" s="19" t="str">
        <f t="shared" si="222"/>
        <v/>
      </c>
      <c r="Q144" s="20">
        <f t="shared" si="223"/>
        <v>1275172.5099999998</v>
      </c>
      <c r="R144" s="20">
        <f t="shared" si="224"/>
        <v>1275172.5099999998</v>
      </c>
      <c r="S144" s="20">
        <f t="shared" si="225"/>
        <v>0</v>
      </c>
      <c r="T144" s="20">
        <f t="shared" si="226"/>
        <v>0</v>
      </c>
      <c r="U144" s="130"/>
    </row>
    <row r="145" spans="1:21" s="9" customFormat="1" ht="36">
      <c r="A145" s="98" t="s">
        <v>254</v>
      </c>
      <c r="B145" s="98" t="s">
        <v>8</v>
      </c>
      <c r="C145" s="98" t="s">
        <v>6</v>
      </c>
      <c r="D145" s="117" t="s">
        <v>106</v>
      </c>
      <c r="E145" s="18">
        <f t="shared" si="484"/>
        <v>49900</v>
      </c>
      <c r="F145" s="18">
        <v>49900</v>
      </c>
      <c r="G145" s="18"/>
      <c r="H145" s="18"/>
      <c r="I145" s="18">
        <f t="shared" si="212"/>
        <v>0</v>
      </c>
      <c r="J145" s="18"/>
      <c r="K145" s="18"/>
      <c r="L145" s="18"/>
      <c r="M145" s="19">
        <f t="shared" si="219"/>
        <v>0</v>
      </c>
      <c r="N145" s="19">
        <f t="shared" si="220"/>
        <v>0</v>
      </c>
      <c r="O145" s="19" t="str">
        <f t="shared" si="221"/>
        <v/>
      </c>
      <c r="P145" s="19" t="str">
        <f t="shared" si="222"/>
        <v/>
      </c>
      <c r="Q145" s="20">
        <f t="shared" si="223"/>
        <v>-49900</v>
      </c>
      <c r="R145" s="20">
        <f t="shared" si="224"/>
        <v>-49900</v>
      </c>
      <c r="S145" s="20">
        <f t="shared" si="225"/>
        <v>0</v>
      </c>
      <c r="T145" s="20">
        <f t="shared" si="226"/>
        <v>0</v>
      </c>
      <c r="U145" s="130"/>
    </row>
    <row r="146" spans="1:21" s="55" customFormat="1">
      <c r="A146" s="58">
        <v>1511300</v>
      </c>
      <c r="B146" s="56" t="s">
        <v>359</v>
      </c>
      <c r="C146" s="56" t="s">
        <v>16</v>
      </c>
      <c r="D146" s="61" t="s">
        <v>360</v>
      </c>
      <c r="E146" s="18">
        <f t="shared" ref="E146" si="495">F146+G146</f>
        <v>0</v>
      </c>
      <c r="F146" s="18"/>
      <c r="G146" s="18"/>
      <c r="H146" s="18"/>
      <c r="I146" s="18">
        <f t="shared" ref="I146" si="496">J146+K146</f>
        <v>23168287.52</v>
      </c>
      <c r="J146" s="18"/>
      <c r="K146" s="18">
        <v>23168287.52</v>
      </c>
      <c r="L146" s="18">
        <f>K146</f>
        <v>23168287.52</v>
      </c>
      <c r="M146" s="19" t="str">
        <f t="shared" ref="M146" si="497">IFERROR((I146/E146),"")</f>
        <v/>
      </c>
      <c r="N146" s="19" t="str">
        <f t="shared" ref="N146" si="498">IFERROR((J146/F146),"")</f>
        <v/>
      </c>
      <c r="O146" s="19" t="str">
        <f t="shared" ref="O146" si="499">IFERROR((K146/G146),"")</f>
        <v/>
      </c>
      <c r="P146" s="19" t="str">
        <f t="shared" ref="P146" si="500">IFERROR((L146/H146),"")</f>
        <v/>
      </c>
      <c r="Q146" s="20">
        <f t="shared" ref="Q146" si="501">I146-E146</f>
        <v>23168287.52</v>
      </c>
      <c r="R146" s="20">
        <f t="shared" ref="R146" si="502">J146-F146</f>
        <v>0</v>
      </c>
      <c r="S146" s="20">
        <f t="shared" ref="S146" si="503">K146-G146</f>
        <v>23168287.52</v>
      </c>
      <c r="T146" s="20">
        <f t="shared" ref="T146" si="504">L146-H146</f>
        <v>23168287.52</v>
      </c>
      <c r="U146" s="130"/>
    </row>
    <row r="147" spans="1:21" s="9" customFormat="1" ht="36">
      <c r="A147" s="99">
        <v>1512010</v>
      </c>
      <c r="B147" s="99">
        <v>2010</v>
      </c>
      <c r="C147" s="99" t="s">
        <v>29</v>
      </c>
      <c r="D147" s="117" t="s">
        <v>155</v>
      </c>
      <c r="E147" s="18">
        <f t="shared" si="484"/>
        <v>1110730.92</v>
      </c>
      <c r="F147" s="18"/>
      <c r="G147" s="18">
        <v>1110730.92</v>
      </c>
      <c r="H147" s="18">
        <v>1110730.92</v>
      </c>
      <c r="I147" s="18">
        <f t="shared" si="212"/>
        <v>0</v>
      </c>
      <c r="J147" s="18"/>
      <c r="K147" s="18"/>
      <c r="L147" s="18"/>
      <c r="M147" s="19">
        <f t="shared" ref="M147" si="505">IFERROR((I147/E147),"")</f>
        <v>0</v>
      </c>
      <c r="N147" s="19" t="str">
        <f t="shared" ref="N147" si="506">IFERROR((J147/F147),"")</f>
        <v/>
      </c>
      <c r="O147" s="19">
        <f t="shared" ref="O147" si="507">IFERROR((K147/G147),"")</f>
        <v>0</v>
      </c>
      <c r="P147" s="19">
        <f t="shared" ref="P147" si="508">IFERROR((L147/H147),"")</f>
        <v>0</v>
      </c>
      <c r="Q147" s="20">
        <f t="shared" si="223"/>
        <v>-1110730.92</v>
      </c>
      <c r="R147" s="20">
        <f t="shared" si="224"/>
        <v>0</v>
      </c>
      <c r="S147" s="20">
        <f t="shared" si="225"/>
        <v>-1110730.92</v>
      </c>
      <c r="T147" s="20">
        <f t="shared" si="226"/>
        <v>-1110730.92</v>
      </c>
      <c r="U147" s="130"/>
    </row>
    <row r="148" spans="1:21" s="55" customFormat="1" ht="72">
      <c r="A148" s="58">
        <v>1512171</v>
      </c>
      <c r="B148" s="56" t="s">
        <v>361</v>
      </c>
      <c r="C148" s="56" t="s">
        <v>123</v>
      </c>
      <c r="D148" s="61" t="s">
        <v>362</v>
      </c>
      <c r="E148" s="18">
        <f t="shared" ref="E148" si="509">F148+G148</f>
        <v>0</v>
      </c>
      <c r="F148" s="18"/>
      <c r="G148" s="18"/>
      <c r="H148" s="18"/>
      <c r="I148" s="18">
        <f t="shared" ref="I148" si="510">J148+K148</f>
        <v>499270.91</v>
      </c>
      <c r="J148" s="18"/>
      <c r="K148" s="18">
        <v>499270.91</v>
      </c>
      <c r="L148" s="18">
        <f>K148</f>
        <v>499270.91</v>
      </c>
      <c r="M148" s="19" t="str">
        <f t="shared" ref="M148" si="511">IFERROR((I148/E148),"")</f>
        <v/>
      </c>
      <c r="N148" s="19" t="str">
        <f t="shared" ref="N148" si="512">IFERROR((J148/F148),"")</f>
        <v/>
      </c>
      <c r="O148" s="19" t="str">
        <f t="shared" ref="O148" si="513">IFERROR((K148/G148),"")</f>
        <v/>
      </c>
      <c r="P148" s="19" t="str">
        <f t="shared" ref="P148" si="514">IFERROR((L148/H148),"")</f>
        <v/>
      </c>
      <c r="Q148" s="20">
        <f t="shared" ref="Q148" si="515">I148-E148</f>
        <v>499270.91</v>
      </c>
      <c r="R148" s="20">
        <f t="shared" ref="R148" si="516">J148-F148</f>
        <v>0</v>
      </c>
      <c r="S148" s="20">
        <f t="shared" ref="S148" si="517">K148-G148</f>
        <v>499270.91</v>
      </c>
      <c r="T148" s="20">
        <f t="shared" ref="T148" si="518">L148-H148</f>
        <v>499270.91</v>
      </c>
      <c r="U148" s="130"/>
    </row>
    <row r="149" spans="1:21" s="9" customFormat="1" ht="36">
      <c r="A149" s="99" t="s">
        <v>276</v>
      </c>
      <c r="B149" s="99" t="s">
        <v>104</v>
      </c>
      <c r="C149" s="99" t="s">
        <v>7</v>
      </c>
      <c r="D149" s="117" t="s">
        <v>105</v>
      </c>
      <c r="E149" s="18">
        <f t="shared" si="484"/>
        <v>382749.55</v>
      </c>
      <c r="F149" s="18"/>
      <c r="G149" s="18">
        <v>382749.55</v>
      </c>
      <c r="H149" s="18">
        <v>382749.55</v>
      </c>
      <c r="I149" s="18">
        <f t="shared" si="212"/>
        <v>0</v>
      </c>
      <c r="J149" s="18"/>
      <c r="K149" s="18"/>
      <c r="L149" s="18"/>
      <c r="M149" s="19">
        <f t="shared" si="219"/>
        <v>0</v>
      </c>
      <c r="N149" s="19" t="str">
        <f t="shared" si="220"/>
        <v/>
      </c>
      <c r="O149" s="19">
        <f t="shared" si="221"/>
        <v>0</v>
      </c>
      <c r="P149" s="19">
        <f t="shared" si="222"/>
        <v>0</v>
      </c>
      <c r="Q149" s="20">
        <f t="shared" si="223"/>
        <v>-382749.55</v>
      </c>
      <c r="R149" s="20">
        <f t="shared" si="224"/>
        <v>0</v>
      </c>
      <c r="S149" s="20">
        <f t="shared" si="225"/>
        <v>-382749.55</v>
      </c>
      <c r="T149" s="20">
        <f t="shared" si="226"/>
        <v>-382749.55</v>
      </c>
      <c r="U149" s="130"/>
    </row>
    <row r="150" spans="1:21" s="9" customFormat="1" ht="36">
      <c r="A150" s="99" t="s">
        <v>277</v>
      </c>
      <c r="B150" s="99" t="s">
        <v>273</v>
      </c>
      <c r="C150" s="99" t="s">
        <v>7</v>
      </c>
      <c r="D150" s="117" t="s">
        <v>274</v>
      </c>
      <c r="E150" s="18">
        <f t="shared" si="484"/>
        <v>6038058.5899999999</v>
      </c>
      <c r="F150" s="18"/>
      <c r="G150" s="18">
        <v>6038058.5899999999</v>
      </c>
      <c r="H150" s="18">
        <v>6038058.5899999999</v>
      </c>
      <c r="I150" s="18">
        <f>J150+K150</f>
        <v>1122000</v>
      </c>
      <c r="J150" s="18"/>
      <c r="K150" s="18">
        <v>1122000</v>
      </c>
      <c r="L150" s="18">
        <f>K150</f>
        <v>1122000</v>
      </c>
      <c r="M150" s="19">
        <f t="shared" ref="M150" si="519">IFERROR((I150/E150),"")</f>
        <v>0.18582131711312194</v>
      </c>
      <c r="N150" s="19" t="str">
        <f t="shared" ref="N150" si="520">IFERROR((J150/F150),"")</f>
        <v/>
      </c>
      <c r="O150" s="19">
        <f t="shared" ref="O150" si="521">IFERROR((K150/G150),"")</f>
        <v>0.18582131711312194</v>
      </c>
      <c r="P150" s="19">
        <f t="shared" ref="P150" si="522">IFERROR((L150/H150),"")</f>
        <v>0.18582131711312194</v>
      </c>
      <c r="Q150" s="20">
        <f t="shared" si="223"/>
        <v>-4916058.59</v>
      </c>
      <c r="R150" s="20">
        <f t="shared" si="224"/>
        <v>0</v>
      </c>
      <c r="S150" s="20">
        <f t="shared" si="225"/>
        <v>-4916058.59</v>
      </c>
      <c r="T150" s="20">
        <f t="shared" si="226"/>
        <v>-4916058.59</v>
      </c>
      <c r="U150" s="130"/>
    </row>
    <row r="151" spans="1:21" s="55" customFormat="1" ht="72">
      <c r="A151" s="99" t="s">
        <v>373</v>
      </c>
      <c r="B151" s="99">
        <v>6050</v>
      </c>
      <c r="C151" s="99" t="s">
        <v>7</v>
      </c>
      <c r="D151" s="117" t="s">
        <v>374</v>
      </c>
      <c r="E151" s="18">
        <f t="shared" ref="E151" si="523">F151+G151</f>
        <v>1194872.49</v>
      </c>
      <c r="F151" s="18"/>
      <c r="G151" s="18">
        <v>1194872.49</v>
      </c>
      <c r="H151" s="18">
        <v>1194872.49</v>
      </c>
      <c r="I151" s="18">
        <f>J151+K151</f>
        <v>0</v>
      </c>
      <c r="J151" s="18"/>
      <c r="K151" s="18"/>
      <c r="L151" s="18">
        <f>K151</f>
        <v>0</v>
      </c>
      <c r="M151" s="19">
        <f t="shared" ref="M151" si="524">IFERROR((I151/E151),"")</f>
        <v>0</v>
      </c>
      <c r="N151" s="19" t="str">
        <f t="shared" ref="N151" si="525">IFERROR((J151/F151),"")</f>
        <v/>
      </c>
      <c r="O151" s="19">
        <f t="shared" ref="O151" si="526">IFERROR((K151/G151),"")</f>
        <v>0</v>
      </c>
      <c r="P151" s="19">
        <f t="shared" ref="P151" si="527">IFERROR((L151/H151),"")</f>
        <v>0</v>
      </c>
      <c r="Q151" s="20">
        <f t="shared" ref="Q151" si="528">I151-E151</f>
        <v>-1194872.49</v>
      </c>
      <c r="R151" s="20">
        <f t="shared" ref="R151" si="529">J151-F151</f>
        <v>0</v>
      </c>
      <c r="S151" s="20">
        <f t="shared" ref="S151" si="530">K151-G151</f>
        <v>-1194872.49</v>
      </c>
      <c r="T151" s="20">
        <f t="shared" ref="T151" si="531">L151-H151</f>
        <v>-1194872.49</v>
      </c>
      <c r="U151" s="130"/>
    </row>
    <row r="152" spans="1:21" s="55" customFormat="1" ht="36">
      <c r="A152" s="58">
        <v>1516091</v>
      </c>
      <c r="B152" s="56" t="s">
        <v>363</v>
      </c>
      <c r="C152" s="56" t="s">
        <v>306</v>
      </c>
      <c r="D152" s="61" t="s">
        <v>341</v>
      </c>
      <c r="E152" s="18">
        <f t="shared" ref="E152" si="532">F152+G152</f>
        <v>0</v>
      </c>
      <c r="F152" s="18"/>
      <c r="G152" s="18"/>
      <c r="H152" s="18"/>
      <c r="I152" s="18">
        <f>J152+K152</f>
        <v>5070219.79</v>
      </c>
      <c r="J152" s="18"/>
      <c r="K152" s="18">
        <v>5070219.79</v>
      </c>
      <c r="L152" s="18">
        <f>K152</f>
        <v>5070219.79</v>
      </c>
      <c r="M152" s="19" t="str">
        <f t="shared" ref="M152" si="533">IFERROR((I152/E152),"")</f>
        <v/>
      </c>
      <c r="N152" s="19" t="str">
        <f t="shared" ref="N152" si="534">IFERROR((J152/F152),"")</f>
        <v/>
      </c>
      <c r="O152" s="19" t="str">
        <f t="shared" ref="O152" si="535">IFERROR((K152/G152),"")</f>
        <v/>
      </c>
      <c r="P152" s="19" t="str">
        <f t="shared" ref="P152" si="536">IFERROR((L152/H152),"")</f>
        <v/>
      </c>
      <c r="Q152" s="20">
        <f t="shared" ref="Q152" si="537">I152-E152</f>
        <v>5070219.79</v>
      </c>
      <c r="R152" s="20">
        <f t="shared" ref="R152" si="538">J152-F152</f>
        <v>0</v>
      </c>
      <c r="S152" s="20">
        <f t="shared" ref="S152" si="539">K152-G152</f>
        <v>5070219.79</v>
      </c>
      <c r="T152" s="20">
        <f t="shared" ref="T152" si="540">L152-H152</f>
        <v>5070219.79</v>
      </c>
      <c r="U152" s="130"/>
    </row>
    <row r="153" spans="1:21" s="55" customFormat="1">
      <c r="A153" s="113">
        <v>1517321</v>
      </c>
      <c r="B153" s="113">
        <v>7321</v>
      </c>
      <c r="C153" s="116" t="s">
        <v>255</v>
      </c>
      <c r="D153" s="110" t="s">
        <v>375</v>
      </c>
      <c r="E153" s="18">
        <f t="shared" ref="E153" si="541">F153+G153</f>
        <v>122583.1</v>
      </c>
      <c r="F153" s="18"/>
      <c r="G153" s="18">
        <v>122583.1</v>
      </c>
      <c r="H153" s="18">
        <v>122583.1</v>
      </c>
      <c r="I153" s="18">
        <f>J153+K153</f>
        <v>0</v>
      </c>
      <c r="J153" s="18"/>
      <c r="K153" s="18"/>
      <c r="L153" s="18"/>
      <c r="M153" s="19">
        <f t="shared" ref="M153" si="542">IFERROR((I153/E153),"")</f>
        <v>0</v>
      </c>
      <c r="N153" s="19" t="str">
        <f t="shared" ref="N153" si="543">IFERROR((J153/F153),"")</f>
        <v/>
      </c>
      <c r="O153" s="19">
        <f t="shared" ref="O153" si="544">IFERROR((K153/G153),"")</f>
        <v>0</v>
      </c>
      <c r="P153" s="19">
        <f t="shared" ref="P153" si="545">IFERROR((L153/H153),"")</f>
        <v>0</v>
      </c>
      <c r="Q153" s="20">
        <f t="shared" ref="Q153" si="546">I153-E153</f>
        <v>-122583.1</v>
      </c>
      <c r="R153" s="20">
        <f t="shared" ref="R153" si="547">J153-F153</f>
        <v>0</v>
      </c>
      <c r="S153" s="20">
        <f t="shared" ref="S153" si="548">K153-G153</f>
        <v>-122583.1</v>
      </c>
      <c r="T153" s="20">
        <f t="shared" ref="T153" si="549">L153-H153</f>
        <v>-122583.1</v>
      </c>
      <c r="U153" s="130"/>
    </row>
    <row r="154" spans="1:21" s="9" customFormat="1" ht="36">
      <c r="A154" s="99" t="s">
        <v>290</v>
      </c>
      <c r="B154" s="99" t="s">
        <v>291</v>
      </c>
      <c r="C154" s="99" t="s">
        <v>20</v>
      </c>
      <c r="D154" s="117" t="s">
        <v>292</v>
      </c>
      <c r="E154" s="18">
        <f t="shared" ref="E154" si="550">F154+G154</f>
        <v>0</v>
      </c>
      <c r="F154" s="18"/>
      <c r="G154" s="18"/>
      <c r="H154" s="18"/>
      <c r="I154" s="18">
        <f t="shared" ref="I154" si="551">J154+K154</f>
        <v>15806403.9</v>
      </c>
      <c r="J154" s="18"/>
      <c r="K154" s="18">
        <v>15806403.9</v>
      </c>
      <c r="L154" s="18">
        <f>K154</f>
        <v>15806403.9</v>
      </c>
      <c r="M154" s="19" t="str">
        <f t="shared" ref="M154:M155" si="552">IFERROR((I154/E154),"")</f>
        <v/>
      </c>
      <c r="N154" s="19" t="str">
        <f t="shared" ref="N154" si="553">IFERROR((J154/F154),"")</f>
        <v/>
      </c>
      <c r="O154" s="19" t="str">
        <f t="shared" ref="O154:O155" si="554">IFERROR((K154/G154),"")</f>
        <v/>
      </c>
      <c r="P154" s="19" t="str">
        <f t="shared" ref="P154:P155" si="555">IFERROR((L154/H154),"")</f>
        <v/>
      </c>
      <c r="Q154" s="20">
        <f t="shared" ref="Q154" si="556">I154-E154</f>
        <v>15806403.9</v>
      </c>
      <c r="R154" s="20">
        <f t="shared" ref="R154" si="557">J154-F154</f>
        <v>0</v>
      </c>
      <c r="S154" s="20">
        <f t="shared" ref="S154" si="558">K154-G154</f>
        <v>15806403.9</v>
      </c>
      <c r="T154" s="20">
        <f t="shared" ref="T154" si="559">L154-H154</f>
        <v>15806403.9</v>
      </c>
      <c r="U154" s="130"/>
    </row>
    <row r="155" spans="1:21" s="9" customFormat="1" ht="36">
      <c r="A155" s="113">
        <v>1517370</v>
      </c>
      <c r="B155" s="113">
        <v>7370</v>
      </c>
      <c r="C155" s="116" t="s">
        <v>20</v>
      </c>
      <c r="D155" s="110" t="s">
        <v>282</v>
      </c>
      <c r="E155" s="18">
        <f t="shared" si="484"/>
        <v>5675313.7000000002</v>
      </c>
      <c r="F155" s="18"/>
      <c r="G155" s="18">
        <v>5675313.7000000002</v>
      </c>
      <c r="H155" s="18">
        <v>5675313.7000000002</v>
      </c>
      <c r="I155" s="18">
        <f t="shared" si="212"/>
        <v>7865688.2199999997</v>
      </c>
      <c r="J155" s="18"/>
      <c r="K155" s="18">
        <v>7865688.2199999997</v>
      </c>
      <c r="L155" s="18">
        <f>K155</f>
        <v>7865688.2199999997</v>
      </c>
      <c r="M155" s="19">
        <f t="shared" si="552"/>
        <v>1.3859477441749166</v>
      </c>
      <c r="N155" s="19" t="str">
        <f t="shared" ref="N155:N177" si="560">IFERROR((J155/F155),"")</f>
        <v/>
      </c>
      <c r="O155" s="19">
        <f t="shared" si="554"/>
        <v>1.3859477441749166</v>
      </c>
      <c r="P155" s="19">
        <f t="shared" si="555"/>
        <v>1.3859477441749166</v>
      </c>
      <c r="Q155" s="20">
        <f t="shared" ref="Q155:Q177" si="561">I155-E155</f>
        <v>2190374.5199999996</v>
      </c>
      <c r="R155" s="20">
        <f t="shared" ref="R155:R177" si="562">J155-F155</f>
        <v>0</v>
      </c>
      <c r="S155" s="20">
        <f t="shared" ref="S155:S177" si="563">K155-G155</f>
        <v>2190374.5199999996</v>
      </c>
      <c r="T155" s="20">
        <f t="shared" ref="T155:T177" si="564">L155-H155</f>
        <v>2190374.5199999996</v>
      </c>
      <c r="U155" s="130"/>
    </row>
    <row r="156" spans="1:21" s="9" customFormat="1" ht="33.75" customHeight="1">
      <c r="A156" s="57" t="s">
        <v>313</v>
      </c>
      <c r="B156" s="57" t="s">
        <v>311</v>
      </c>
      <c r="C156" s="57" t="s">
        <v>294</v>
      </c>
      <c r="D156" s="63" t="s">
        <v>295</v>
      </c>
      <c r="E156" s="18">
        <f t="shared" ref="E156" si="565">F156+G156</f>
        <v>0</v>
      </c>
      <c r="F156" s="18"/>
      <c r="G156" s="18"/>
      <c r="H156" s="18"/>
      <c r="I156" s="18">
        <f t="shared" ref="I156" si="566">J156+K156</f>
        <v>42509</v>
      </c>
      <c r="J156" s="18">
        <v>42509</v>
      </c>
      <c r="K156" s="18"/>
      <c r="L156" s="18"/>
      <c r="M156" s="19" t="str">
        <f t="shared" ref="M156" si="567">IFERROR((I156/E156),"")</f>
        <v/>
      </c>
      <c r="N156" s="19" t="str">
        <f t="shared" ref="N156" si="568">IFERROR((J156/F156),"")</f>
        <v/>
      </c>
      <c r="O156" s="19" t="str">
        <f t="shared" ref="O156" si="569">IFERROR((K156/G156),"")</f>
        <v/>
      </c>
      <c r="P156" s="19" t="str">
        <f t="shared" ref="P156" si="570">IFERROR((L156/H156),"")</f>
        <v/>
      </c>
      <c r="Q156" s="20">
        <f t="shared" ref="Q156" si="571">I156-E156</f>
        <v>42509</v>
      </c>
      <c r="R156" s="20">
        <f t="shared" ref="R156" si="572">J156-F156</f>
        <v>42509</v>
      </c>
      <c r="S156" s="20">
        <f t="shared" ref="S156" si="573">K156-G156</f>
        <v>0</v>
      </c>
      <c r="T156" s="20">
        <f t="shared" ref="T156" si="574">L156-H156</f>
        <v>0</v>
      </c>
      <c r="U156" s="130"/>
    </row>
    <row r="157" spans="1:21" s="9" customFormat="1" ht="54">
      <c r="A157" s="99" t="s">
        <v>235</v>
      </c>
      <c r="B157" s="98">
        <v>8110</v>
      </c>
      <c r="C157" s="99" t="s">
        <v>5</v>
      </c>
      <c r="D157" s="117" t="s">
        <v>131</v>
      </c>
      <c r="E157" s="18">
        <f t="shared" si="484"/>
        <v>9521740.9900000002</v>
      </c>
      <c r="F157" s="18"/>
      <c r="G157" s="18">
        <f>5064210.5+4457530.49</f>
        <v>9521740.9900000002</v>
      </c>
      <c r="H157" s="18">
        <f>5064210.5+4457530.49</f>
        <v>9521740.9900000002</v>
      </c>
      <c r="I157" s="18">
        <f t="shared" si="212"/>
        <v>1367533.35</v>
      </c>
      <c r="J157" s="18"/>
      <c r="K157" s="18">
        <v>1367533.35</v>
      </c>
      <c r="L157" s="18">
        <f>K157</f>
        <v>1367533.35</v>
      </c>
      <c r="M157" s="19">
        <f t="shared" ref="M157:M177" si="575">IFERROR((I157/E157),"")</f>
        <v>0.14362219592364694</v>
      </c>
      <c r="N157" s="19" t="str">
        <f t="shared" si="560"/>
        <v/>
      </c>
      <c r="O157" s="19">
        <f t="shared" ref="O157:O177" si="576">IFERROR((K157/G157),"")</f>
        <v>0.14362219592364694</v>
      </c>
      <c r="P157" s="19">
        <f t="shared" ref="P157:P177" si="577">IFERROR((L157/H157),"")</f>
        <v>0.14362219592364694</v>
      </c>
      <c r="Q157" s="20">
        <f t="shared" si="561"/>
        <v>-8154207.6400000006</v>
      </c>
      <c r="R157" s="20">
        <f t="shared" si="562"/>
        <v>0</v>
      </c>
      <c r="S157" s="20">
        <f t="shared" si="563"/>
        <v>-8154207.6400000006</v>
      </c>
      <c r="T157" s="20">
        <f t="shared" si="564"/>
        <v>-8154207.6400000006</v>
      </c>
      <c r="U157" s="130"/>
    </row>
    <row r="158" spans="1:21" s="5" customFormat="1" ht="52.2">
      <c r="A158" s="102" t="s">
        <v>95</v>
      </c>
      <c r="B158" s="102"/>
      <c r="C158" s="102"/>
      <c r="D158" s="87" t="s">
        <v>208</v>
      </c>
      <c r="E158" s="17">
        <f t="shared" ref="E158:L158" si="578">E159</f>
        <v>14848397.789999999</v>
      </c>
      <c r="F158" s="17">
        <f t="shared" si="578"/>
        <v>14848397.789999999</v>
      </c>
      <c r="G158" s="17">
        <f t="shared" si="578"/>
        <v>0</v>
      </c>
      <c r="H158" s="17">
        <f t="shared" si="578"/>
        <v>0</v>
      </c>
      <c r="I158" s="17">
        <f t="shared" si="578"/>
        <v>18963306.240000002</v>
      </c>
      <c r="J158" s="17">
        <f t="shared" si="578"/>
        <v>18963306.240000002</v>
      </c>
      <c r="K158" s="17">
        <f t="shared" si="578"/>
        <v>0</v>
      </c>
      <c r="L158" s="17">
        <f t="shared" si="578"/>
        <v>0</v>
      </c>
      <c r="M158" s="15">
        <f t="shared" si="575"/>
        <v>1.2771281122850362</v>
      </c>
      <c r="N158" s="15">
        <f t="shared" si="560"/>
        <v>1.2771281122850362</v>
      </c>
      <c r="O158" s="15" t="str">
        <f t="shared" si="576"/>
        <v/>
      </c>
      <c r="P158" s="15" t="str">
        <f t="shared" si="577"/>
        <v/>
      </c>
      <c r="Q158" s="16">
        <f t="shared" si="561"/>
        <v>4114908.450000003</v>
      </c>
      <c r="R158" s="16">
        <f t="shared" si="562"/>
        <v>4114908.450000003</v>
      </c>
      <c r="S158" s="16">
        <f t="shared" si="563"/>
        <v>0</v>
      </c>
      <c r="T158" s="16">
        <f t="shared" si="564"/>
        <v>0</v>
      </c>
      <c r="U158" s="127"/>
    </row>
    <row r="159" spans="1:21" s="5" customFormat="1" ht="52.2">
      <c r="A159" s="102" t="s">
        <v>96</v>
      </c>
      <c r="B159" s="102"/>
      <c r="C159" s="102"/>
      <c r="D159" s="87" t="s">
        <v>208</v>
      </c>
      <c r="E159" s="17">
        <f t="shared" ref="E159:E168" si="579">F159+G159</f>
        <v>14848397.789999999</v>
      </c>
      <c r="F159" s="17">
        <f>F160+F161+F162+F163+F164+F165+F166+F167+F168</f>
        <v>14848397.789999999</v>
      </c>
      <c r="G159" s="17">
        <f>G160+G167+G162+G165+G168+G163+G166+G161+G164</f>
        <v>0</v>
      </c>
      <c r="H159" s="17">
        <f>H160+H167+H162+H165+H168+H163+H166+H161+H164</f>
        <v>0</v>
      </c>
      <c r="I159" s="17">
        <f t="shared" ref="I159" si="580">J159+K159</f>
        <v>18963306.240000002</v>
      </c>
      <c r="J159" s="17">
        <f>J160+J167+J162+J165+J168+J163+J166+J161+J164</f>
        <v>18963306.240000002</v>
      </c>
      <c r="K159" s="17">
        <f>K160+K167+K162+K165+K168+K163+K166+K161+K164</f>
        <v>0</v>
      </c>
      <c r="L159" s="17">
        <f>L160+L167+L162+L165+L168+L163+L166+L161+L164</f>
        <v>0</v>
      </c>
      <c r="M159" s="15">
        <f t="shared" si="575"/>
        <v>1.2771281122850362</v>
      </c>
      <c r="N159" s="15">
        <f t="shared" si="560"/>
        <v>1.2771281122850362</v>
      </c>
      <c r="O159" s="15" t="str">
        <f t="shared" si="576"/>
        <v/>
      </c>
      <c r="P159" s="15" t="str">
        <f t="shared" si="577"/>
        <v/>
      </c>
      <c r="Q159" s="16">
        <f t="shared" si="561"/>
        <v>4114908.450000003</v>
      </c>
      <c r="R159" s="16">
        <f t="shared" si="562"/>
        <v>4114908.450000003</v>
      </c>
      <c r="S159" s="16">
        <f t="shared" si="563"/>
        <v>0</v>
      </c>
      <c r="T159" s="16">
        <f t="shared" si="564"/>
        <v>0</v>
      </c>
      <c r="U159" s="127"/>
    </row>
    <row r="160" spans="1:21" s="9" customFormat="1" ht="54">
      <c r="A160" s="100" t="s">
        <v>97</v>
      </c>
      <c r="B160" s="100" t="s">
        <v>58</v>
      </c>
      <c r="C160" s="100" t="s">
        <v>3</v>
      </c>
      <c r="D160" s="101" t="s">
        <v>227</v>
      </c>
      <c r="E160" s="18">
        <f t="shared" si="579"/>
        <v>2689088.66</v>
      </c>
      <c r="F160" s="18">
        <v>2689088.66</v>
      </c>
      <c r="G160" s="18"/>
      <c r="H160" s="18"/>
      <c r="I160" s="18">
        <f t="shared" ref="I160:I177" si="581">J160+K160</f>
        <v>3703822.03</v>
      </c>
      <c r="J160" s="18">
        <v>3703822.03</v>
      </c>
      <c r="K160" s="18"/>
      <c r="L160" s="18"/>
      <c r="M160" s="19">
        <f t="shared" si="575"/>
        <v>1.3773521435325229</v>
      </c>
      <c r="N160" s="19">
        <f t="shared" si="560"/>
        <v>1.3773521435325229</v>
      </c>
      <c r="O160" s="19" t="str">
        <f t="shared" si="576"/>
        <v/>
      </c>
      <c r="P160" s="19" t="str">
        <f t="shared" si="577"/>
        <v/>
      </c>
      <c r="Q160" s="20">
        <f t="shared" si="561"/>
        <v>1014733.3699999996</v>
      </c>
      <c r="R160" s="20">
        <f t="shared" si="562"/>
        <v>1014733.3699999996</v>
      </c>
      <c r="S160" s="20">
        <f t="shared" si="563"/>
        <v>0</v>
      </c>
      <c r="T160" s="20">
        <f t="shared" si="564"/>
        <v>0</v>
      </c>
      <c r="U160" s="130"/>
    </row>
    <row r="161" spans="1:21" s="55" customFormat="1" ht="36">
      <c r="A161" s="113" t="s">
        <v>342</v>
      </c>
      <c r="B161" s="113" t="s">
        <v>8</v>
      </c>
      <c r="C161" s="113" t="s">
        <v>6</v>
      </c>
      <c r="D161" s="110" t="s">
        <v>106</v>
      </c>
      <c r="E161" s="18">
        <f t="shared" ref="E161" si="582">F161+G161</f>
        <v>57160.04</v>
      </c>
      <c r="F161" s="18">
        <v>57160.04</v>
      </c>
      <c r="G161" s="18"/>
      <c r="H161" s="18"/>
      <c r="I161" s="18">
        <f t="shared" ref="I161" si="583">J161+K161</f>
        <v>12000</v>
      </c>
      <c r="J161" s="18">
        <v>12000</v>
      </c>
      <c r="K161" s="18"/>
      <c r="L161" s="18"/>
      <c r="M161" s="19">
        <f t="shared" ref="M161" si="584">IFERROR((I161/E161),"")</f>
        <v>0.20993687198259484</v>
      </c>
      <c r="N161" s="19">
        <f t="shared" ref="N161" si="585">IFERROR((J161/F161),"")</f>
        <v>0.20993687198259484</v>
      </c>
      <c r="O161" s="19" t="str">
        <f t="shared" ref="O161" si="586">IFERROR((K161/G161),"")</f>
        <v/>
      </c>
      <c r="P161" s="19" t="str">
        <f t="shared" ref="P161" si="587">IFERROR((L161/H161),"")</f>
        <v/>
      </c>
      <c r="Q161" s="20">
        <f t="shared" ref="Q161" si="588">I161-E161</f>
        <v>-45160.04</v>
      </c>
      <c r="R161" s="20">
        <f t="shared" ref="R161" si="589">J161-F161</f>
        <v>-45160.04</v>
      </c>
      <c r="S161" s="20">
        <f t="shared" ref="S161" si="590">K161-G161</f>
        <v>0</v>
      </c>
      <c r="T161" s="20">
        <f t="shared" ref="T161" si="591">L161-H161</f>
        <v>0</v>
      </c>
      <c r="U161" s="130"/>
    </row>
    <row r="162" spans="1:21" s="9" customFormat="1" ht="36">
      <c r="A162" s="98" t="s">
        <v>236</v>
      </c>
      <c r="B162" s="98" t="s">
        <v>150</v>
      </c>
      <c r="C162" s="98" t="s">
        <v>7</v>
      </c>
      <c r="D162" s="117" t="s">
        <v>237</v>
      </c>
      <c r="E162" s="18">
        <f t="shared" si="579"/>
        <v>111091.97</v>
      </c>
      <c r="F162" s="18">
        <v>111091.97</v>
      </c>
      <c r="G162" s="18"/>
      <c r="H162" s="18"/>
      <c r="I162" s="18">
        <f t="shared" si="581"/>
        <v>122370.27</v>
      </c>
      <c r="J162" s="18">
        <v>122370.27</v>
      </c>
      <c r="K162" s="18"/>
      <c r="L162" s="18"/>
      <c r="M162" s="19">
        <f t="shared" si="575"/>
        <v>1.1015221892275382</v>
      </c>
      <c r="N162" s="19">
        <f t="shared" si="560"/>
        <v>1.1015221892275382</v>
      </c>
      <c r="O162" s="19" t="str">
        <f t="shared" si="576"/>
        <v/>
      </c>
      <c r="P162" s="19" t="str">
        <f t="shared" si="577"/>
        <v/>
      </c>
      <c r="Q162" s="20">
        <f t="shared" si="561"/>
        <v>11278.300000000003</v>
      </c>
      <c r="R162" s="20">
        <f t="shared" si="562"/>
        <v>11278.300000000003</v>
      </c>
      <c r="S162" s="20">
        <f t="shared" si="563"/>
        <v>0</v>
      </c>
      <c r="T162" s="20">
        <f t="shared" si="564"/>
        <v>0</v>
      </c>
      <c r="U162" s="130"/>
    </row>
    <row r="163" spans="1:21" s="9" customFormat="1" ht="36">
      <c r="A163" s="57" t="s">
        <v>314</v>
      </c>
      <c r="B163" s="59">
        <v>6090</v>
      </c>
      <c r="C163" s="57" t="s">
        <v>306</v>
      </c>
      <c r="D163" s="63" t="s">
        <v>315</v>
      </c>
      <c r="E163" s="18">
        <f t="shared" ref="E163" si="592">F163+G163</f>
        <v>0</v>
      </c>
      <c r="F163" s="18"/>
      <c r="G163" s="18"/>
      <c r="H163" s="18"/>
      <c r="I163" s="18">
        <f t="shared" ref="I163" si="593">J163+K163</f>
        <v>1106230</v>
      </c>
      <c r="J163" s="18">
        <f>1106230</f>
        <v>1106230</v>
      </c>
      <c r="K163" s="18"/>
      <c r="L163" s="18"/>
      <c r="M163" s="19" t="str">
        <f t="shared" ref="M163" si="594">IFERROR((I163/E163),"")</f>
        <v/>
      </c>
      <c r="N163" s="19" t="str">
        <f t="shared" ref="N163" si="595">IFERROR((J163/F163),"")</f>
        <v/>
      </c>
      <c r="O163" s="19" t="str">
        <f t="shared" ref="O163" si="596">IFERROR((K163/G163),"")</f>
        <v/>
      </c>
      <c r="P163" s="19" t="str">
        <f t="shared" ref="P163" si="597">IFERROR((L163/H163),"")</f>
        <v/>
      </c>
      <c r="Q163" s="20">
        <f t="shared" ref="Q163" si="598">I163-E163</f>
        <v>1106230</v>
      </c>
      <c r="R163" s="20">
        <f t="shared" ref="R163" si="599">J163-F163</f>
        <v>1106230</v>
      </c>
      <c r="S163" s="20">
        <f t="shared" ref="S163" si="600">K163-G163</f>
        <v>0</v>
      </c>
      <c r="T163" s="20">
        <f t="shared" ref="T163" si="601">L163-H163</f>
        <v>0</v>
      </c>
      <c r="U163" s="130"/>
    </row>
    <row r="164" spans="1:21" s="55" customFormat="1">
      <c r="A164" s="58" t="s">
        <v>348</v>
      </c>
      <c r="B164" s="58" t="s">
        <v>349</v>
      </c>
      <c r="C164" s="58" t="s">
        <v>350</v>
      </c>
      <c r="D164" s="61" t="s">
        <v>351</v>
      </c>
      <c r="E164" s="18">
        <f t="shared" ref="E164" si="602">F164+G164</f>
        <v>137000</v>
      </c>
      <c r="F164" s="18">
        <v>137000</v>
      </c>
      <c r="G164" s="18"/>
      <c r="H164" s="18"/>
      <c r="I164" s="18">
        <f t="shared" ref="I164" si="603">J164+K164</f>
        <v>199909.8</v>
      </c>
      <c r="J164" s="18">
        <v>199909.8</v>
      </c>
      <c r="K164" s="18"/>
      <c r="L164" s="18"/>
      <c r="M164" s="19">
        <f t="shared" ref="M164" si="604">IFERROR((I164/E164),"")</f>
        <v>1.4591956204379561</v>
      </c>
      <c r="N164" s="19">
        <f t="shared" ref="N164" si="605">IFERROR((J164/F164),"")</f>
        <v>1.4591956204379561</v>
      </c>
      <c r="O164" s="19" t="str">
        <f t="shared" ref="O164" si="606">IFERROR((K164/G164),"")</f>
        <v/>
      </c>
      <c r="P164" s="19" t="str">
        <f t="shared" ref="P164" si="607">IFERROR((L164/H164),"")</f>
        <v/>
      </c>
      <c r="Q164" s="20">
        <f t="shared" ref="Q164" si="608">I164-E164</f>
        <v>62909.799999999988</v>
      </c>
      <c r="R164" s="20">
        <f t="shared" ref="R164" si="609">J164-F164</f>
        <v>62909.799999999988</v>
      </c>
      <c r="S164" s="20">
        <f t="shared" ref="S164" si="610">K164-G164</f>
        <v>0</v>
      </c>
      <c r="T164" s="20">
        <f t="shared" ref="T164" si="611">L164-H164</f>
        <v>0</v>
      </c>
      <c r="U164" s="130"/>
    </row>
    <row r="165" spans="1:21" s="9" customFormat="1" ht="36">
      <c r="A165" s="98">
        <v>3117350</v>
      </c>
      <c r="B165" s="98">
        <v>7350</v>
      </c>
      <c r="C165" s="99" t="s">
        <v>255</v>
      </c>
      <c r="D165" s="117" t="s">
        <v>256</v>
      </c>
      <c r="E165" s="18">
        <f t="shared" si="579"/>
        <v>960683</v>
      </c>
      <c r="F165" s="18">
        <v>960683</v>
      </c>
      <c r="G165" s="18"/>
      <c r="H165" s="18"/>
      <c r="I165" s="18">
        <f t="shared" si="581"/>
        <v>0</v>
      </c>
      <c r="J165" s="18"/>
      <c r="K165" s="18"/>
      <c r="L165" s="18"/>
      <c r="M165" s="19">
        <f t="shared" si="575"/>
        <v>0</v>
      </c>
      <c r="N165" s="19">
        <f t="shared" si="560"/>
        <v>0</v>
      </c>
      <c r="O165" s="19" t="str">
        <f t="shared" si="576"/>
        <v/>
      </c>
      <c r="P165" s="19" t="str">
        <f t="shared" si="577"/>
        <v/>
      </c>
      <c r="Q165" s="20">
        <f t="shared" si="561"/>
        <v>-960683</v>
      </c>
      <c r="R165" s="20">
        <f t="shared" si="562"/>
        <v>-960683</v>
      </c>
      <c r="S165" s="20">
        <f t="shared" si="563"/>
        <v>0</v>
      </c>
      <c r="T165" s="20">
        <f t="shared" si="564"/>
        <v>0</v>
      </c>
      <c r="U165" s="130"/>
    </row>
    <row r="166" spans="1:21" s="9" customFormat="1" ht="36">
      <c r="A166" s="57" t="s">
        <v>316</v>
      </c>
      <c r="B166" s="57" t="s">
        <v>311</v>
      </c>
      <c r="C166" s="57" t="s">
        <v>294</v>
      </c>
      <c r="D166" s="63" t="s">
        <v>295</v>
      </c>
      <c r="E166" s="18">
        <f t="shared" ref="E166" si="612">F166+G166</f>
        <v>0</v>
      </c>
      <c r="F166" s="18"/>
      <c r="G166" s="18"/>
      <c r="H166" s="18"/>
      <c r="I166" s="18">
        <f t="shared" ref="I166" si="613">J166+K166</f>
        <v>44686</v>
      </c>
      <c r="J166" s="18">
        <v>44686</v>
      </c>
      <c r="K166" s="18"/>
      <c r="L166" s="18"/>
      <c r="M166" s="19" t="str">
        <f t="shared" ref="M166" si="614">IFERROR((I166/E166),"")</f>
        <v/>
      </c>
      <c r="N166" s="19" t="str">
        <f t="shared" ref="N166" si="615">IFERROR((J166/F166),"")</f>
        <v/>
      </c>
      <c r="O166" s="19" t="str">
        <f t="shared" ref="O166" si="616">IFERROR((K166/G166),"")</f>
        <v/>
      </c>
      <c r="P166" s="19" t="str">
        <f t="shared" ref="P166" si="617">IFERROR((L166/H166),"")</f>
        <v/>
      </c>
      <c r="Q166" s="20">
        <f t="shared" ref="Q166" si="618">I166-E166</f>
        <v>44686</v>
      </c>
      <c r="R166" s="20">
        <f t="shared" ref="R166" si="619">J166-F166</f>
        <v>44686</v>
      </c>
      <c r="S166" s="20">
        <f t="shared" ref="S166" si="620">K166-G166</f>
        <v>0</v>
      </c>
      <c r="T166" s="20">
        <f t="shared" ref="T166" si="621">L166-H166</f>
        <v>0</v>
      </c>
      <c r="U166" s="130"/>
    </row>
    <row r="167" spans="1:21" s="9" customFormat="1" ht="36">
      <c r="A167" s="100" t="s">
        <v>173</v>
      </c>
      <c r="B167" s="100" t="s">
        <v>129</v>
      </c>
      <c r="C167" s="100" t="s">
        <v>20</v>
      </c>
      <c r="D167" s="101" t="s">
        <v>130</v>
      </c>
      <c r="E167" s="18">
        <f t="shared" si="579"/>
        <v>10827422.08</v>
      </c>
      <c r="F167" s="18">
        <f>1041298.67+77702.39+9708421.02</f>
        <v>10827422.08</v>
      </c>
      <c r="G167" s="18"/>
      <c r="H167" s="18"/>
      <c r="I167" s="18">
        <f t="shared" si="581"/>
        <v>13695427.610000001</v>
      </c>
      <c r="J167" s="18">
        <f>1774659.73+11920767.88</f>
        <v>13695427.610000001</v>
      </c>
      <c r="K167" s="18"/>
      <c r="L167" s="18"/>
      <c r="M167" s="19">
        <f t="shared" si="575"/>
        <v>1.2648835067857631</v>
      </c>
      <c r="N167" s="19">
        <f t="shared" si="560"/>
        <v>1.2648835067857631</v>
      </c>
      <c r="O167" s="19" t="str">
        <f t="shared" si="576"/>
        <v/>
      </c>
      <c r="P167" s="19" t="str">
        <f t="shared" si="577"/>
        <v/>
      </c>
      <c r="Q167" s="20">
        <f t="shared" si="561"/>
        <v>2868005.5300000012</v>
      </c>
      <c r="R167" s="20">
        <f t="shared" si="562"/>
        <v>2868005.5300000012</v>
      </c>
      <c r="S167" s="20">
        <f t="shared" si="563"/>
        <v>0</v>
      </c>
      <c r="T167" s="20">
        <f t="shared" si="564"/>
        <v>0</v>
      </c>
      <c r="U167" s="130"/>
    </row>
    <row r="168" spans="1:21" s="9" customFormat="1" ht="30" customHeight="1">
      <c r="A168" s="116" t="s">
        <v>283</v>
      </c>
      <c r="B168" s="116" t="s">
        <v>238</v>
      </c>
      <c r="C168" s="116" t="s">
        <v>216</v>
      </c>
      <c r="D168" s="112" t="s">
        <v>234</v>
      </c>
      <c r="E168" s="18">
        <f t="shared" si="579"/>
        <v>65952.039999999994</v>
      </c>
      <c r="F168" s="18">
        <v>65952.039999999994</v>
      </c>
      <c r="G168" s="18"/>
      <c r="H168" s="18"/>
      <c r="I168" s="18">
        <f t="shared" si="581"/>
        <v>78860.53</v>
      </c>
      <c r="J168" s="18">
        <v>78860.53</v>
      </c>
      <c r="K168" s="18"/>
      <c r="L168" s="18"/>
      <c r="M168" s="19">
        <f t="shared" si="575"/>
        <v>1.1957254089486846</v>
      </c>
      <c r="N168" s="19">
        <f t="shared" si="560"/>
        <v>1.1957254089486846</v>
      </c>
      <c r="O168" s="19" t="str">
        <f t="shared" si="576"/>
        <v/>
      </c>
      <c r="P168" s="19" t="str">
        <f t="shared" si="577"/>
        <v/>
      </c>
      <c r="Q168" s="20">
        <f t="shared" si="561"/>
        <v>12908.490000000005</v>
      </c>
      <c r="R168" s="20">
        <f t="shared" si="562"/>
        <v>12908.490000000005</v>
      </c>
      <c r="S168" s="20">
        <f t="shared" si="563"/>
        <v>0</v>
      </c>
      <c r="T168" s="20">
        <f t="shared" si="564"/>
        <v>0</v>
      </c>
      <c r="U168" s="130"/>
    </row>
    <row r="169" spans="1:21" s="5" customFormat="1" ht="52.2">
      <c r="A169" s="102" t="s">
        <v>98</v>
      </c>
      <c r="B169" s="102"/>
      <c r="C169" s="102"/>
      <c r="D169" s="87" t="s">
        <v>209</v>
      </c>
      <c r="E169" s="17">
        <f t="shared" ref="E169:L169" si="622">E170</f>
        <v>65639506.579999998</v>
      </c>
      <c r="F169" s="17">
        <f t="shared" si="622"/>
        <v>19270982.829999998</v>
      </c>
      <c r="G169" s="17">
        <f t="shared" si="622"/>
        <v>46368523.75</v>
      </c>
      <c r="H169" s="17">
        <f t="shared" si="622"/>
        <v>46368391</v>
      </c>
      <c r="I169" s="17">
        <f t="shared" si="622"/>
        <v>140924564.78</v>
      </c>
      <c r="J169" s="17">
        <f t="shared" si="622"/>
        <v>104907420.78</v>
      </c>
      <c r="K169" s="17">
        <f t="shared" si="622"/>
        <v>36017144</v>
      </c>
      <c r="L169" s="17">
        <f t="shared" si="622"/>
        <v>36017144</v>
      </c>
      <c r="M169" s="15" t="s">
        <v>364</v>
      </c>
      <c r="N169" s="15" t="s">
        <v>286</v>
      </c>
      <c r="O169" s="15">
        <f t="shared" si="576"/>
        <v>0.77675847939843023</v>
      </c>
      <c r="P169" s="15">
        <f t="shared" si="577"/>
        <v>0.77676070321266921</v>
      </c>
      <c r="Q169" s="16">
        <f t="shared" si="561"/>
        <v>75285058.200000003</v>
      </c>
      <c r="R169" s="16">
        <f t="shared" si="562"/>
        <v>85636437.950000003</v>
      </c>
      <c r="S169" s="16">
        <f t="shared" si="563"/>
        <v>-10351379.75</v>
      </c>
      <c r="T169" s="16">
        <f t="shared" si="564"/>
        <v>-10351247</v>
      </c>
      <c r="U169" s="127"/>
    </row>
    <row r="170" spans="1:21" s="5" customFormat="1" ht="52.2">
      <c r="A170" s="102" t="s">
        <v>99</v>
      </c>
      <c r="B170" s="102"/>
      <c r="C170" s="102"/>
      <c r="D170" s="87" t="s">
        <v>210</v>
      </c>
      <c r="E170" s="17">
        <f t="shared" ref="E170:E176" si="623">F170+G170</f>
        <v>65639506.579999998</v>
      </c>
      <c r="F170" s="17">
        <f>F171+F172+F174+F176+F175+F173</f>
        <v>19270982.829999998</v>
      </c>
      <c r="G170" s="17">
        <f t="shared" ref="G170:H170" si="624">G171+G172+G174+G176+G175+G173</f>
        <v>46368523.75</v>
      </c>
      <c r="H170" s="17">
        <f t="shared" si="624"/>
        <v>46368391</v>
      </c>
      <c r="I170" s="17">
        <f t="shared" ref="I170" si="625">J170+K170</f>
        <v>140924564.78</v>
      </c>
      <c r="J170" s="17">
        <f>J171+J172+J174+J176+J175+J173</f>
        <v>104907420.78</v>
      </c>
      <c r="K170" s="17">
        <f>K171+K172+K174+K176+K175+K173</f>
        <v>36017144</v>
      </c>
      <c r="L170" s="17">
        <f>L171+L172+L174+L176+L175+L173</f>
        <v>36017144</v>
      </c>
      <c r="M170" s="15" t="s">
        <v>364</v>
      </c>
      <c r="N170" s="15" t="s">
        <v>287</v>
      </c>
      <c r="O170" s="15">
        <f t="shared" ref="O170:O171" si="626">IFERROR((K170/G170),"")</f>
        <v>0.77675847939843023</v>
      </c>
      <c r="P170" s="15">
        <f t="shared" ref="P170:P171" si="627">IFERROR((L170/H170),"")</f>
        <v>0.77676070321266921</v>
      </c>
      <c r="Q170" s="16">
        <f t="shared" si="561"/>
        <v>75285058.200000003</v>
      </c>
      <c r="R170" s="16">
        <f t="shared" si="562"/>
        <v>85636437.950000003</v>
      </c>
      <c r="S170" s="16">
        <f t="shared" si="563"/>
        <v>-10351379.75</v>
      </c>
      <c r="T170" s="16">
        <f t="shared" si="564"/>
        <v>-10351247</v>
      </c>
      <c r="U170" s="127"/>
    </row>
    <row r="171" spans="1:21" s="9" customFormat="1" ht="54">
      <c r="A171" s="100" t="s">
        <v>100</v>
      </c>
      <c r="B171" s="100" t="s">
        <v>58</v>
      </c>
      <c r="C171" s="100" t="s">
        <v>3</v>
      </c>
      <c r="D171" s="101" t="s">
        <v>227</v>
      </c>
      <c r="E171" s="18">
        <f t="shared" si="623"/>
        <v>4253135.58</v>
      </c>
      <c r="F171" s="18">
        <v>4253002.83</v>
      </c>
      <c r="G171" s="18">
        <v>132.75</v>
      </c>
      <c r="H171" s="18"/>
      <c r="I171" s="18">
        <f t="shared" si="581"/>
        <v>5902384.7800000003</v>
      </c>
      <c r="J171" s="18">
        <v>5902384.7800000003</v>
      </c>
      <c r="K171" s="18"/>
      <c r="L171" s="18"/>
      <c r="M171" s="19">
        <f t="shared" ref="M171" si="628">IFERROR((I171/E171),"")</f>
        <v>1.3877725430986614</v>
      </c>
      <c r="N171" s="19">
        <f t="shared" ref="N171" si="629">IFERROR((J171/F171),"")</f>
        <v>1.3878158599767496</v>
      </c>
      <c r="O171" s="19">
        <f t="shared" si="626"/>
        <v>0</v>
      </c>
      <c r="P171" s="19" t="str">
        <f t="shared" si="627"/>
        <v/>
      </c>
      <c r="Q171" s="20">
        <f t="shared" si="561"/>
        <v>1649249.2000000002</v>
      </c>
      <c r="R171" s="20">
        <f t="shared" si="562"/>
        <v>1649381.9500000002</v>
      </c>
      <c r="S171" s="20">
        <f t="shared" si="563"/>
        <v>-132.75</v>
      </c>
      <c r="T171" s="20">
        <f t="shared" si="564"/>
        <v>0</v>
      </c>
      <c r="U171" s="130"/>
    </row>
    <row r="172" spans="1:21" s="9" customFormat="1" ht="36">
      <c r="A172" s="100" t="s">
        <v>107</v>
      </c>
      <c r="B172" s="100" t="s">
        <v>8</v>
      </c>
      <c r="C172" s="100" t="s">
        <v>6</v>
      </c>
      <c r="D172" s="101" t="s">
        <v>106</v>
      </c>
      <c r="E172" s="18">
        <f t="shared" si="623"/>
        <v>40200</v>
      </c>
      <c r="F172" s="18">
        <v>40200</v>
      </c>
      <c r="G172" s="18"/>
      <c r="H172" s="18"/>
      <c r="I172" s="18">
        <f t="shared" si="581"/>
        <v>0</v>
      </c>
      <c r="J172" s="18"/>
      <c r="K172" s="18"/>
      <c r="L172" s="18"/>
      <c r="M172" s="19"/>
      <c r="N172" s="19"/>
      <c r="O172" s="19" t="str">
        <f t="shared" si="576"/>
        <v/>
      </c>
      <c r="P172" s="19" t="str">
        <f t="shared" si="577"/>
        <v/>
      </c>
      <c r="Q172" s="20">
        <f t="shared" si="561"/>
        <v>-40200</v>
      </c>
      <c r="R172" s="20">
        <f t="shared" si="562"/>
        <v>-40200</v>
      </c>
      <c r="S172" s="20">
        <f t="shared" si="563"/>
        <v>0</v>
      </c>
      <c r="T172" s="20">
        <f t="shared" si="564"/>
        <v>0</v>
      </c>
      <c r="U172" s="130"/>
    </row>
    <row r="173" spans="1:21" s="9" customFormat="1" ht="36">
      <c r="A173" s="57" t="s">
        <v>317</v>
      </c>
      <c r="B173" s="57" t="s">
        <v>311</v>
      </c>
      <c r="C173" s="57" t="s">
        <v>294</v>
      </c>
      <c r="D173" s="63" t="s">
        <v>295</v>
      </c>
      <c r="E173" s="18">
        <f t="shared" ref="E173" si="630">F173+G173</f>
        <v>0</v>
      </c>
      <c r="F173" s="18"/>
      <c r="G173" s="18"/>
      <c r="H173" s="18"/>
      <c r="I173" s="18">
        <f t="shared" ref="I173" si="631">J173+K173</f>
        <v>50283</v>
      </c>
      <c r="J173" s="18">
        <v>50283</v>
      </c>
      <c r="K173" s="18"/>
      <c r="L173" s="18"/>
      <c r="M173" s="19"/>
      <c r="N173" s="19"/>
      <c r="O173" s="19" t="str">
        <f t="shared" ref="O173" si="632">IFERROR((K173/G173),"")</f>
        <v/>
      </c>
      <c r="P173" s="19" t="str">
        <f t="shared" ref="P173" si="633">IFERROR((L173/H173),"")</f>
        <v/>
      </c>
      <c r="Q173" s="20">
        <f t="shared" ref="Q173" si="634">I173-E173</f>
        <v>50283</v>
      </c>
      <c r="R173" s="20">
        <f t="shared" ref="R173" si="635">J173-F173</f>
        <v>50283</v>
      </c>
      <c r="S173" s="20">
        <f t="shared" ref="S173" si="636">K173-G173</f>
        <v>0</v>
      </c>
      <c r="T173" s="20">
        <f t="shared" ref="T173" si="637">L173-H173</f>
        <v>0</v>
      </c>
      <c r="U173" s="130"/>
    </row>
    <row r="174" spans="1:21" s="9" customFormat="1">
      <c r="A174" s="100" t="s">
        <v>109</v>
      </c>
      <c r="B174" s="100" t="s">
        <v>108</v>
      </c>
      <c r="C174" s="100" t="s">
        <v>8</v>
      </c>
      <c r="D174" s="101" t="s">
        <v>2</v>
      </c>
      <c r="E174" s="18">
        <f t="shared" si="623"/>
        <v>0</v>
      </c>
      <c r="F174" s="18"/>
      <c r="G174" s="18"/>
      <c r="H174" s="18"/>
      <c r="I174" s="18">
        <f t="shared" si="581"/>
        <v>47906100</v>
      </c>
      <c r="J174" s="18">
        <v>47906100</v>
      </c>
      <c r="K174" s="18"/>
      <c r="L174" s="18"/>
      <c r="M174" s="19"/>
      <c r="N174" s="19"/>
      <c r="O174" s="19" t="str">
        <f t="shared" si="576"/>
        <v/>
      </c>
      <c r="P174" s="19" t="str">
        <f t="shared" si="577"/>
        <v/>
      </c>
      <c r="Q174" s="20">
        <f t="shared" si="561"/>
        <v>47906100</v>
      </c>
      <c r="R174" s="20">
        <f t="shared" si="562"/>
        <v>47906100</v>
      </c>
      <c r="S174" s="20">
        <f t="shared" si="563"/>
        <v>0</v>
      </c>
      <c r="T174" s="20">
        <f t="shared" si="564"/>
        <v>0</v>
      </c>
      <c r="U174" s="130"/>
    </row>
    <row r="175" spans="1:21" s="9" customFormat="1">
      <c r="A175" s="100" t="s">
        <v>158</v>
      </c>
      <c r="B175" s="100" t="s">
        <v>156</v>
      </c>
      <c r="C175" s="100" t="s">
        <v>8</v>
      </c>
      <c r="D175" s="93" t="s">
        <v>157</v>
      </c>
      <c r="E175" s="18">
        <f t="shared" si="623"/>
        <v>5648100</v>
      </c>
      <c r="F175" s="18">
        <v>3848100</v>
      </c>
      <c r="G175" s="18">
        <v>1800000</v>
      </c>
      <c r="H175" s="18">
        <v>1800000</v>
      </c>
      <c r="I175" s="18">
        <f t="shared" si="581"/>
        <v>15518612</v>
      </c>
      <c r="J175" s="18">
        <v>14477312</v>
      </c>
      <c r="K175" s="18">
        <v>1041300</v>
      </c>
      <c r="L175" s="18">
        <f>K175</f>
        <v>1041300</v>
      </c>
      <c r="M175" s="19" t="s">
        <v>388</v>
      </c>
      <c r="N175" s="19" t="s">
        <v>388</v>
      </c>
      <c r="O175" s="19">
        <f t="shared" si="576"/>
        <v>0.57850000000000001</v>
      </c>
      <c r="P175" s="19">
        <f t="shared" si="577"/>
        <v>0.57850000000000001</v>
      </c>
      <c r="Q175" s="20">
        <f t="shared" si="561"/>
        <v>9870512</v>
      </c>
      <c r="R175" s="20">
        <f t="shared" si="562"/>
        <v>10629212</v>
      </c>
      <c r="S175" s="20">
        <f t="shared" si="563"/>
        <v>-758700</v>
      </c>
      <c r="T175" s="20">
        <f t="shared" si="564"/>
        <v>-758700</v>
      </c>
      <c r="U175" s="130"/>
    </row>
    <row r="176" spans="1:21" s="9" customFormat="1" ht="54">
      <c r="A176" s="100" t="s">
        <v>154</v>
      </c>
      <c r="B176" s="100" t="s">
        <v>152</v>
      </c>
      <c r="C176" s="108" t="s">
        <v>8</v>
      </c>
      <c r="D176" s="92" t="s">
        <v>153</v>
      </c>
      <c r="E176" s="18">
        <f t="shared" si="623"/>
        <v>55698071</v>
      </c>
      <c r="F176" s="18">
        <v>11129680</v>
      </c>
      <c r="G176" s="18">
        <v>44568391</v>
      </c>
      <c r="H176" s="18">
        <v>44568391</v>
      </c>
      <c r="I176" s="18">
        <f t="shared" si="581"/>
        <v>71547185</v>
      </c>
      <c r="J176" s="18">
        <v>36571341</v>
      </c>
      <c r="K176" s="18">
        <v>34975844</v>
      </c>
      <c r="L176" s="18">
        <f>K176</f>
        <v>34975844</v>
      </c>
      <c r="M176" s="19">
        <f t="shared" ref="M176" si="638">IFERROR((I176/E176),"")</f>
        <v>1.2845540916488831</v>
      </c>
      <c r="N176" s="19" t="s">
        <v>388</v>
      </c>
      <c r="O176" s="19">
        <f t="shared" ref="O176" si="639">IFERROR((K176/G176),"")</f>
        <v>0.78476793115551335</v>
      </c>
      <c r="P176" s="19">
        <f t="shared" ref="P176" si="640">IFERROR((L176/H176),"")</f>
        <v>0.78476793115551335</v>
      </c>
      <c r="Q176" s="20">
        <f t="shared" si="561"/>
        <v>15849114</v>
      </c>
      <c r="R176" s="20">
        <f t="shared" si="562"/>
        <v>25441661</v>
      </c>
      <c r="S176" s="20">
        <f t="shared" si="563"/>
        <v>-9592547</v>
      </c>
      <c r="T176" s="20">
        <f t="shared" si="564"/>
        <v>-9592547</v>
      </c>
      <c r="U176" s="130"/>
    </row>
    <row r="177" spans="1:22" s="5" customFormat="1" ht="17.399999999999999">
      <c r="A177" s="102"/>
      <c r="B177" s="102"/>
      <c r="C177" s="102"/>
      <c r="D177" s="94" t="s">
        <v>1</v>
      </c>
      <c r="E177" s="17">
        <f t="shared" ref="E177" si="641">F177+G177</f>
        <v>748877192.88</v>
      </c>
      <c r="F177" s="17">
        <f>F8+F39+F67+F94+F106+F117+F141+F158+F169+F89</f>
        <v>642472467.84000003</v>
      </c>
      <c r="G177" s="17">
        <f>G8+G39+G67+G94+G106+G117+G141+G158+G169+G89</f>
        <v>106404725.04000001</v>
      </c>
      <c r="H177" s="17">
        <f>H8+H39+H67+H94+H106+H117+H141+H158+H169+H89</f>
        <v>87289608.409999996</v>
      </c>
      <c r="I177" s="17">
        <f t="shared" si="581"/>
        <v>1011153396.6799999</v>
      </c>
      <c r="J177" s="17">
        <f>J8+J39+J67+J94+J106+J117+J141+J158+J169+J89</f>
        <v>869591767.80999994</v>
      </c>
      <c r="K177" s="17">
        <f>K8+K39+K67+K94+K106+K117+K141+K158+K169+K89</f>
        <v>141561628.87</v>
      </c>
      <c r="L177" s="17">
        <f>L8+L39+L67+L94+L106+L117+L141+L158+L169+L89</f>
        <v>122822099.88</v>
      </c>
      <c r="M177" s="15">
        <f t="shared" si="575"/>
        <v>1.3502259199420259</v>
      </c>
      <c r="N177" s="15">
        <f t="shared" si="560"/>
        <v>1.3535082222800576</v>
      </c>
      <c r="O177" s="15">
        <f t="shared" si="576"/>
        <v>1.3304073556581599</v>
      </c>
      <c r="P177" s="15">
        <f t="shared" si="577"/>
        <v>1.4070643930844964</v>
      </c>
      <c r="Q177" s="16">
        <f t="shared" si="561"/>
        <v>262276203.79999995</v>
      </c>
      <c r="R177" s="16">
        <f t="shared" si="562"/>
        <v>227119299.96999991</v>
      </c>
      <c r="S177" s="16">
        <f t="shared" si="563"/>
        <v>35156903.829999998</v>
      </c>
      <c r="T177" s="16">
        <f t="shared" si="564"/>
        <v>35532491.469999999</v>
      </c>
      <c r="U177" s="127"/>
      <c r="V177" s="32"/>
    </row>
    <row r="178" spans="1:22" s="5" customFormat="1" ht="17.399999999999999">
      <c r="A178" s="120"/>
      <c r="B178" s="120"/>
      <c r="C178" s="120"/>
      <c r="D178" s="121"/>
      <c r="E178" s="132"/>
      <c r="F178" s="132"/>
      <c r="G178" s="132"/>
      <c r="H178" s="132"/>
      <c r="I178" s="133"/>
      <c r="J178" s="133"/>
      <c r="K178" s="133"/>
      <c r="L178" s="132"/>
      <c r="M178" s="134"/>
      <c r="N178" s="134"/>
      <c r="O178" s="134"/>
      <c r="P178" s="134"/>
      <c r="Q178" s="135"/>
      <c r="R178" s="135"/>
      <c r="S178" s="135"/>
      <c r="T178" s="135"/>
      <c r="U178" s="127"/>
    </row>
    <row r="179" spans="1:22" s="5" customFormat="1" ht="17.399999999999999">
      <c r="A179" s="120"/>
      <c r="B179" s="120"/>
      <c r="C179" s="120"/>
      <c r="D179" s="121"/>
      <c r="E179" s="132"/>
      <c r="F179" s="132"/>
      <c r="G179" s="132"/>
      <c r="H179" s="132"/>
      <c r="I179" s="136"/>
      <c r="J179" s="136"/>
      <c r="K179" s="136"/>
      <c r="L179" s="132"/>
      <c r="M179" s="134"/>
      <c r="N179" s="134"/>
      <c r="O179" s="134"/>
      <c r="P179" s="134"/>
      <c r="Q179" s="135"/>
      <c r="R179" s="135"/>
      <c r="S179" s="135"/>
      <c r="T179" s="135"/>
      <c r="U179" s="127"/>
    </row>
    <row r="180" spans="1:22">
      <c r="A180" s="105"/>
      <c r="B180" s="78"/>
      <c r="C180" s="78"/>
      <c r="D180" s="78" t="s">
        <v>179</v>
      </c>
      <c r="E180" s="79"/>
      <c r="F180" s="79"/>
      <c r="G180" s="82"/>
      <c r="H180" s="80"/>
      <c r="I180" s="78"/>
      <c r="J180" s="83"/>
      <c r="K180" s="81" t="s">
        <v>214</v>
      </c>
      <c r="L180" s="84"/>
      <c r="M180" s="80"/>
      <c r="N180" s="81"/>
      <c r="O180" s="81"/>
      <c r="P180" s="81"/>
      <c r="Q180" s="82"/>
      <c r="R180" s="82"/>
      <c r="S180" s="82"/>
      <c r="T180" s="82"/>
    </row>
    <row r="181" spans="1:22">
      <c r="E181" s="7"/>
      <c r="F181" s="7"/>
      <c r="G181" s="3"/>
      <c r="J181" s="3"/>
      <c r="K181" s="8"/>
      <c r="Q181" s="8"/>
      <c r="R181" s="8"/>
      <c r="S181" s="8"/>
      <c r="T181" s="8"/>
    </row>
    <row r="182" spans="1:22">
      <c r="I182" s="8"/>
      <c r="J182" s="8"/>
      <c r="K182" s="8"/>
      <c r="L182" s="8"/>
    </row>
    <row r="183" spans="1:22">
      <c r="I183" s="8"/>
      <c r="J183" s="8"/>
      <c r="K183" s="8"/>
      <c r="L183" s="8"/>
    </row>
    <row r="185" spans="1:22">
      <c r="H185" s="8"/>
    </row>
    <row r="186" spans="1:22">
      <c r="H186" s="8"/>
    </row>
    <row r="187" spans="1:22">
      <c r="H187" s="8"/>
    </row>
  </sheetData>
  <mergeCells count="29">
    <mergeCell ref="A1:T1"/>
    <mergeCell ref="K4:L4"/>
    <mergeCell ref="N4:N6"/>
    <mergeCell ref="O4:P4"/>
    <mergeCell ref="K5:K6"/>
    <mergeCell ref="I2:L2"/>
    <mergeCell ref="I3:I6"/>
    <mergeCell ref="J3:L3"/>
    <mergeCell ref="J4:J6"/>
    <mergeCell ref="A2:A6"/>
    <mergeCell ref="B2:B6"/>
    <mergeCell ref="C2:C6"/>
    <mergeCell ref="D2:D6"/>
    <mergeCell ref="F4:F6"/>
    <mergeCell ref="Q2:T2"/>
    <mergeCell ref="Q3:Q6"/>
    <mergeCell ref="R3:T3"/>
    <mergeCell ref="R4:R6"/>
    <mergeCell ref="S4:T4"/>
    <mergeCell ref="S5:S6"/>
    <mergeCell ref="E2:H2"/>
    <mergeCell ref="E3:E6"/>
    <mergeCell ref="F3:H3"/>
    <mergeCell ref="M2:P2"/>
    <mergeCell ref="M3:M6"/>
    <mergeCell ref="N3:P3"/>
    <mergeCell ref="G5:G6"/>
    <mergeCell ref="O5:O6"/>
    <mergeCell ref="G4:H4"/>
  </mergeCells>
  <pageMargins left="0.35433070866141736" right="0.35433070866141736" top="0.55118110236220474" bottom="0.31496062992125984" header="0.15748031496062992" footer="0.11811023622047245"/>
  <pageSetup paperSize="9" scale="10" fitToHeight="13" orientation="landscape" r:id="rId1"/>
  <headerFooter differentFirst="1" alignWithMargins="0">
    <oddHeader>&amp;C&amp;P</oddHeader>
  </headerFooter>
  <rowBreaks count="1" manualBreakCount="1">
    <brk id="145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220FU6</cp:lastModifiedBy>
  <cp:lastPrinted>2025-01-19T14:21:41Z</cp:lastPrinted>
  <dcterms:created xsi:type="dcterms:W3CDTF">2012-12-15T07:44:03Z</dcterms:created>
  <dcterms:modified xsi:type="dcterms:W3CDTF">2025-10-07T10:16:45Z</dcterms:modified>
</cp:coreProperties>
</file>