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170\org\Оксана документы\1 ДОКУМЕНТИ\8 созыв\66 буде\Виконання 9 м 25 р\"/>
    </mc:Choice>
  </mc:AlternateContent>
  <xr:revisionPtr revIDLastSave="0" documentId="13_ncr:1_{74570EB5-9D43-42D6-9518-10CEBC0C22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5" sheetId="1" r:id="rId1"/>
  </sheets>
  <definedNames>
    <definedName name="Z_02AC496F_F7D9_465B_9A66_D319977CD4A2_.wvu.PrintArea" localSheetId="0" hidden="1">'2025'!$A$1:$H$8</definedName>
    <definedName name="Z_02AC496F_F7D9_465B_9A66_D319977CD4A2_.wvu.PrintTitles" localSheetId="0" hidden="1">'2025'!$7:$8</definedName>
    <definedName name="Z_6174BFC3_8EFC_491A_B8A3_28DB8186A904_.wvu.PrintArea" localSheetId="0" hidden="1">'2025'!$A$1:$H$8</definedName>
    <definedName name="Z_6174BFC3_8EFC_491A_B8A3_28DB8186A904_.wvu.PrintTitles" localSheetId="0" hidden="1">'2025'!$7:$8</definedName>
    <definedName name="Z_71B4C162_96A9_4CA7_B3F0_0C57B820C4BA_.wvu.PrintArea" localSheetId="0" hidden="1">'2025'!$A$1:$H$8</definedName>
    <definedName name="Z_71B4C162_96A9_4CA7_B3F0_0C57B820C4BA_.wvu.PrintTitles" localSheetId="0" hidden="1">'2025'!$7:$8</definedName>
    <definedName name="Z_9D5EF3DD_3431_45D7_BCA1_2268CCD9FD10_.wvu.PrintArea" localSheetId="0" hidden="1">'2025'!$A$1:$H$8</definedName>
    <definedName name="Z_9D5EF3DD_3431_45D7_BCA1_2268CCD9FD10_.wvu.PrintTitles" localSheetId="0" hidden="1">'2025'!$7:$8</definedName>
    <definedName name="_xlnm.Print_Titles" localSheetId="0">'2025'!$7:$8</definedName>
    <definedName name="_xlnm.Print_Area" localSheetId="0">'2025'!$A$1:$H$154</definedName>
  </definedNames>
  <calcPr calcId="191029"/>
  <customWorkbookViews>
    <customWorkbookView name="220FU1 - Личное представление" guid="{02AC496F-F7D9-465B-9A66-D319977CD4A2}" mergeInterval="0" personalView="1" maximized="1" xWindow="-8" yWindow="-8" windowWidth="1936" windowHeight="1056" activeSheetId="1"/>
    <customWorkbookView name="220FU3 - Личное представление" guid="{9D5EF3DD-3431-45D7-BCA1-2268CCD9FD10}" mergeInterval="0" personalView="1" maximized="1" xWindow="-8" yWindow="-8" windowWidth="1382" windowHeight="744" activeSheetId="1"/>
    <customWorkbookView name="220FU5 - Личное представление" guid="{71B4C162-96A9-4CA7-B3F0-0C57B820C4BA}" mergeInterval="0" personalView="1" maximized="1" xWindow="-8" yWindow="-8" windowWidth="1936" windowHeight="1056" activeSheetId="1"/>
    <customWorkbookView name="220FU6 - Личное представление" guid="{6174BFC3-8EFC-491A-B8A3-28DB8186A904}" mergeInterval="0" personalView="1" maximized="1" xWindow="-8" yWindow="-8" windowWidth="1616" windowHeight="87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1" l="1"/>
  <c r="G43" i="1"/>
  <c r="G37" i="1"/>
  <c r="G97" i="1"/>
  <c r="G67" i="1"/>
  <c r="G45" i="1"/>
  <c r="G132" i="1"/>
  <c r="G134" i="1"/>
  <c r="H136" i="1" l="1"/>
  <c r="H137" i="1"/>
  <c r="H139" i="1"/>
  <c r="H140" i="1"/>
  <c r="H141" i="1"/>
  <c r="H142" i="1"/>
  <c r="H145" i="1"/>
  <c r="H147" i="1"/>
  <c r="H149" i="1"/>
  <c r="H150" i="1"/>
  <c r="G13" i="1"/>
  <c r="G19" i="1"/>
  <c r="G27" i="1"/>
  <c r="G35" i="1"/>
  <c r="G40" i="1"/>
  <c r="G55" i="1"/>
  <c r="G58" i="1"/>
  <c r="G66" i="1"/>
  <c r="G65" i="1" s="1"/>
  <c r="G71" i="1"/>
  <c r="G70" i="1" s="1"/>
  <c r="G69" i="1" s="1"/>
  <c r="G77" i="1"/>
  <c r="G76" i="1" s="1"/>
  <c r="G89" i="1"/>
  <c r="G106" i="1"/>
  <c r="G98" i="1" s="1"/>
  <c r="G109" i="1"/>
  <c r="G117" i="1"/>
  <c r="G113" i="1" s="1"/>
  <c r="G121" i="1"/>
  <c r="G120" i="1" s="1"/>
  <c r="G123" i="1"/>
  <c r="G131" i="1"/>
  <c r="G135" i="1"/>
  <c r="G138" i="1"/>
  <c r="H138" i="1" s="1"/>
  <c r="G146" i="1"/>
  <c r="G144" i="1" s="1"/>
  <c r="G143" i="1" s="1"/>
  <c r="F148" i="1"/>
  <c r="H148" i="1" s="1"/>
  <c r="F147" i="1"/>
  <c r="F146" i="1"/>
  <c r="F144" i="1" s="1"/>
  <c r="F143" i="1" s="1"/>
  <c r="F138" i="1"/>
  <c r="F135" i="1"/>
  <c r="F134" i="1"/>
  <c r="F131" i="1"/>
  <c r="F130" i="1" s="1"/>
  <c r="F129" i="1" s="1"/>
  <c r="F128" i="1"/>
  <c r="F127" i="1"/>
  <c r="F124" i="1"/>
  <c r="F123" i="1"/>
  <c r="F122" i="1"/>
  <c r="F121" i="1"/>
  <c r="F120" i="1" s="1"/>
  <c r="F118" i="1"/>
  <c r="F117" i="1" s="1"/>
  <c r="F113" i="1" s="1"/>
  <c r="F109" i="1"/>
  <c r="F107" i="1"/>
  <c r="F106" i="1" s="1"/>
  <c r="F105" i="1"/>
  <c r="F104" i="1"/>
  <c r="F103" i="1"/>
  <c r="F102" i="1"/>
  <c r="F101" i="1"/>
  <c r="F100" i="1"/>
  <c r="F99" i="1"/>
  <c r="F97" i="1"/>
  <c r="F96" i="1"/>
  <c r="F94" i="1"/>
  <c r="F93" i="1"/>
  <c r="F92" i="1"/>
  <c r="F91" i="1"/>
  <c r="F90" i="1"/>
  <c r="F82" i="1"/>
  <c r="F77" i="1"/>
  <c r="F76" i="1" s="1"/>
  <c r="F71" i="1"/>
  <c r="F70" i="1" s="1"/>
  <c r="F69" i="1" s="1"/>
  <c r="F66" i="1"/>
  <c r="F65" i="1" s="1"/>
  <c r="F64" i="1"/>
  <c r="F62" i="1"/>
  <c r="F61" i="1"/>
  <c r="F60" i="1"/>
  <c r="F59" i="1"/>
  <c r="F58" i="1" s="1"/>
  <c r="F56" i="1"/>
  <c r="F55" i="1" s="1"/>
  <c r="F53" i="1"/>
  <c r="F52" i="1"/>
  <c r="F51" i="1"/>
  <c r="F50" i="1"/>
  <c r="F46" i="1"/>
  <c r="F45" i="1"/>
  <c r="F44" i="1"/>
  <c r="F43" i="1"/>
  <c r="F42" i="1"/>
  <c r="F41" i="1"/>
  <c r="F37" i="1"/>
  <c r="F35" i="1" s="1"/>
  <c r="F32" i="1"/>
  <c r="F31" i="1"/>
  <c r="F29" i="1"/>
  <c r="F27" i="1" s="1"/>
  <c r="F26" i="1"/>
  <c r="F25" i="1"/>
  <c r="F23" i="1"/>
  <c r="F21" i="1"/>
  <c r="F20" i="1"/>
  <c r="F14" i="1"/>
  <c r="F13" i="1" s="1"/>
  <c r="F98" i="1" l="1"/>
  <c r="F19" i="1"/>
  <c r="F40" i="1"/>
  <c r="F34" i="1" s="1"/>
  <c r="F33" i="1" s="1"/>
  <c r="F89" i="1"/>
  <c r="F81" i="1" s="1"/>
  <c r="F80" i="1" s="1"/>
  <c r="F79" i="1" s="1"/>
  <c r="H143" i="1"/>
  <c r="H135" i="1"/>
  <c r="H146" i="1"/>
  <c r="H144" i="1"/>
  <c r="G130" i="1"/>
  <c r="G129" i="1" s="1"/>
  <c r="G34" i="1"/>
  <c r="G33" i="1" s="1"/>
  <c r="G81" i="1"/>
  <c r="G80" i="1" s="1"/>
  <c r="G79" i="1" s="1"/>
  <c r="G11" i="1"/>
  <c r="G10" i="1" s="1"/>
  <c r="F11" i="1"/>
  <c r="F10" i="1" s="1"/>
  <c r="F151" i="1" l="1"/>
  <c r="G151" i="1"/>
  <c r="H105" i="1"/>
  <c r="H106" i="1"/>
  <c r="H108" i="1"/>
  <c r="H109" i="1"/>
  <c r="H110" i="1"/>
  <c r="H112" i="1"/>
  <c r="H113" i="1"/>
  <c r="H115" i="1"/>
  <c r="H116" i="1"/>
  <c r="H119" i="1"/>
  <c r="H122" i="1"/>
  <c r="H123" i="1"/>
  <c r="H124" i="1"/>
  <c r="H128" i="1"/>
  <c r="H130" i="1"/>
  <c r="H132" i="1"/>
  <c r="H133" i="1"/>
  <c r="H134" i="1"/>
  <c r="H129" i="1"/>
  <c r="H125" i="1"/>
  <c r="H103" i="1"/>
  <c r="H102" i="1"/>
  <c r="H151" i="1" l="1"/>
  <c r="H120" i="1"/>
  <c r="H111" i="1"/>
  <c r="H104" i="1"/>
  <c r="H131" i="1"/>
  <c r="H117" i="1"/>
  <c r="H107" i="1"/>
  <c r="H121" i="1"/>
  <c r="H126" i="1"/>
  <c r="H118" i="1"/>
  <c r="H114" i="1"/>
  <c r="H91" i="1"/>
  <c r="H98" i="1"/>
  <c r="H99" i="1"/>
  <c r="H100" i="1"/>
  <c r="H127" i="1" l="1"/>
  <c r="H97" i="1"/>
  <c r="H96" i="1"/>
  <c r="H101" i="1"/>
  <c r="H92" i="1"/>
  <c r="H93" i="1"/>
  <c r="H94" i="1"/>
  <c r="H95" i="1" l="1"/>
  <c r="H14" i="1"/>
  <c r="H15" i="1"/>
  <c r="H16" i="1"/>
  <c r="H18" i="1"/>
  <c r="H19" i="1"/>
  <c r="H20" i="1"/>
  <c r="H21" i="1"/>
  <c r="H22" i="1"/>
  <c r="H24" i="1"/>
  <c r="H25" i="1"/>
  <c r="H28" i="1"/>
  <c r="H34" i="1"/>
  <c r="H36" i="1"/>
  <c r="H37" i="1"/>
  <c r="H38" i="1"/>
  <c r="H42" i="1"/>
  <c r="H43" i="1"/>
  <c r="H45" i="1"/>
  <c r="H47" i="1"/>
  <c r="H50" i="1"/>
  <c r="H51" i="1"/>
  <c r="H54" i="1"/>
  <c r="H55" i="1"/>
  <c r="H61" i="1"/>
  <c r="H63" i="1"/>
  <c r="H64" i="1"/>
  <c r="H66" i="1"/>
  <c r="H68" i="1"/>
  <c r="H69" i="1"/>
  <c r="H70" i="1"/>
  <c r="H71" i="1"/>
  <c r="H72" i="1"/>
  <c r="H73" i="1"/>
  <c r="H74" i="1"/>
  <c r="H75" i="1"/>
  <c r="H76" i="1"/>
  <c r="H77" i="1"/>
  <c r="H80" i="1"/>
  <c r="H81" i="1"/>
  <c r="H41" i="1" l="1"/>
  <c r="H90" i="1"/>
  <c r="H89" i="1"/>
  <c r="H88" i="1"/>
  <c r="H87" i="1"/>
  <c r="H86" i="1"/>
  <c r="H85" i="1"/>
  <c r="H84" i="1"/>
  <c r="H83" i="1"/>
  <c r="H79" i="1"/>
  <c r="H78" i="1"/>
  <c r="H67" i="1"/>
  <c r="H65" i="1"/>
  <c r="H53" i="1"/>
  <c r="H48" i="1"/>
  <c r="H46" i="1"/>
  <c r="H44" i="1"/>
  <c r="H40" i="1"/>
  <c r="H39" i="1"/>
  <c r="H35" i="1"/>
  <c r="H33" i="1"/>
  <c r="H31" i="1"/>
  <c r="H27" i="1"/>
  <c r="H26" i="1"/>
  <c r="H23" i="1"/>
  <c r="H17" i="1"/>
  <c r="H52" i="1" l="1"/>
  <c r="H13" i="1"/>
  <c r="H58" i="1"/>
  <c r="H49" i="1"/>
  <c r="H62" i="1"/>
  <c r="H82" i="1"/>
  <c r="H12" i="1" l="1"/>
  <c r="H32" i="1"/>
  <c r="H56" i="1"/>
  <c r="H57" i="1"/>
  <c r="H60" i="1"/>
  <c r="H29" i="1" l="1"/>
  <c r="H30" i="1"/>
  <c r="H11" i="1"/>
  <c r="H10" i="1" l="1"/>
  <c r="H59" i="1"/>
</calcChain>
</file>

<file path=xl/sharedStrings.xml><?xml version="1.0" encoding="utf-8"?>
<sst xmlns="http://schemas.openxmlformats.org/spreadsheetml/2006/main" count="331" uniqueCount="265">
  <si>
    <t>% виконання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</si>
  <si>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</si>
  <si>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</si>
  <si>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</si>
  <si>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</si>
  <si>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0600000</t>
  </si>
  <si>
    <t>0610000</t>
  </si>
  <si>
    <t>3700000</t>
  </si>
  <si>
    <t>3710000</t>
  </si>
  <si>
    <t>0180</t>
  </si>
  <si>
    <t>ВСЬОГО</t>
  </si>
  <si>
    <t>(код бюджету)</t>
  </si>
  <si>
    <t>0200000</t>
  </si>
  <si>
    <t>0210000</t>
  </si>
  <si>
    <t>Капітальні видатки</t>
  </si>
  <si>
    <t>0731</t>
  </si>
  <si>
    <t>Багатопрофільна стаціонарна медична допомога населенню</t>
  </si>
  <si>
    <t>6030</t>
  </si>
  <si>
    <t>0620</t>
  </si>
  <si>
    <t>Організація благоустрою населених пунктів</t>
  </si>
  <si>
    <t>0490</t>
  </si>
  <si>
    <t>0611021</t>
  </si>
  <si>
    <t>1021</t>
  </si>
  <si>
    <t>0921</t>
  </si>
  <si>
    <t>Капітальні видатки разом, в т.ч.:</t>
  </si>
  <si>
    <t>0610</t>
  </si>
  <si>
    <t>1200000</t>
  </si>
  <si>
    <t>1210000</t>
  </si>
  <si>
    <t>Експлуатація та технічне обслуговування житлового фонду</t>
  </si>
  <si>
    <t>1216015</t>
  </si>
  <si>
    <t>6015</t>
  </si>
  <si>
    <t>Забезпечення надійної та безперебійної експлуатації ліфтів</t>
  </si>
  <si>
    <t>1216030</t>
  </si>
  <si>
    <t>1500000</t>
  </si>
  <si>
    <t>1510000</t>
  </si>
  <si>
    <t>Реалізація інших заходів щодо соціально-економічного розвитку територій</t>
  </si>
  <si>
    <t>Виконавчий комітет Чорноморської  міської ради  Одеського району Одеської області</t>
  </si>
  <si>
    <t>1518110</t>
  </si>
  <si>
    <t>8110</t>
  </si>
  <si>
    <t>Заходи із запобігання та ліквідації надзвичайних ситуацій та наслідків стихійного лиха</t>
  </si>
  <si>
    <t>Субвенція з місцевого бюджету державному бюджету на виконання програм соціально-економічного розвитку регіонів</t>
  </si>
  <si>
    <t>0320</t>
  </si>
  <si>
    <t>0212010</t>
  </si>
  <si>
    <t>2010</t>
  </si>
  <si>
    <t>Надання загальної середньої освіти закладами загальної середньої освіти за рахунок коштів місцевого бюджету</t>
  </si>
  <si>
    <t>6011</t>
  </si>
  <si>
    <t>7370</t>
  </si>
  <si>
    <t>3719800</t>
  </si>
  <si>
    <t>9800</t>
  </si>
  <si>
    <t>до рішення Чорноморської міської ради</t>
  </si>
  <si>
    <t>0380</t>
  </si>
  <si>
    <t>0611010</t>
  </si>
  <si>
    <t>1010</t>
  </si>
  <si>
    <t>0910</t>
  </si>
  <si>
    <t>Надання дошкільної освіти</t>
  </si>
  <si>
    <t>0618110</t>
  </si>
  <si>
    <t>Найменування робіт</t>
  </si>
  <si>
    <t>0218240</t>
  </si>
  <si>
    <t>8240</t>
  </si>
  <si>
    <t>Заходи та роботи з територіальної оборони</t>
  </si>
  <si>
    <t>Капітальний ремонт підвального приміщення будівлі КНП "Чорноморська лікарня" Чорноморської міської ради Одеського району Одеської області, з улаштуванням під найпростіше укриття, за адресою: Одеська область, м.Чорноморськ, вул.Віталія Шума, 4, літ.А</t>
  </si>
  <si>
    <t>Затверджено розписом на звітний рік з урахуванням змін, грн</t>
  </si>
  <si>
    <t>Управління освіти Чорноморської  міської ради  Одеського району Одеської області</t>
  </si>
  <si>
    <t>Капітальний ремонт покрівлі з встановленням геліосистеми в закладі дошкільної освіти (ясла - садок) № 1 за адресою: Одеська область, Одеський район, місто Чорноморськ, вулиця 1 Травня, 4-Б</t>
  </si>
  <si>
    <t>Відділ комунального господарства та благоустрою Чорноморської  міської ради  Одеського району Одеської області</t>
  </si>
  <si>
    <t>1216011</t>
  </si>
  <si>
    <t>Капітальний ремонт покрівлі житлового будинку за адресою: Одеська область, Одеський район, м.Чорноморськ, вул.1 Травня, 10-Б (ОСББ "Будинки АББО")</t>
  </si>
  <si>
    <t>Реконструкція скверу за адресою: Одеська область, м.Чорноморськ, проспект Миру, 14. Коригування</t>
  </si>
  <si>
    <t>Управління капітального будівництва Чорноморської  міської ради  Одеського району Одеської області</t>
  </si>
  <si>
    <t>Виконано за звітний період, грн</t>
  </si>
  <si>
    <t>Додаток 7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</si>
  <si>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</si>
  <si>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</si>
  <si>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</si>
  <si>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</si>
  <si>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Капітальні видатки / Придбання обладнання</t>
  </si>
  <si>
    <t>0217350</t>
  </si>
  <si>
    <t>7350</t>
  </si>
  <si>
    <t>0443</t>
  </si>
  <si>
    <t>Розроблення схем планування та забудови територій (містобудівної документації)</t>
  </si>
  <si>
    <t>Розроблення комплексного плану просторового розвитку території Чорноморської міської територіальної громади</t>
  </si>
  <si>
    <t>Розроблення детального плану частини території 13-го мікрорайону м.Чорноморськ Одеського району Одеської області загальною площею 1,0 га для будівництва багатоповерхового житлового будинку</t>
  </si>
  <si>
    <t>0217520</t>
  </si>
  <si>
    <t>7520</t>
  </si>
  <si>
    <t>0460</t>
  </si>
  <si>
    <t>Реалізація Національної програми інформатизації</t>
  </si>
  <si>
    <t>КНП "Чорноморська лікарня" - придбання персональних комп'ютерів</t>
  </si>
  <si>
    <t>Виконавчий комітет - придбання комп'ютерної техніки та обладнання</t>
  </si>
  <si>
    <t>0218230</t>
  </si>
  <si>
    <t>8230</t>
  </si>
  <si>
    <t>Інші заходи громадського порядку та безпеки</t>
  </si>
  <si>
    <t>Придбання обладнання</t>
  </si>
  <si>
    <t>Придбання шаф холодильних для облаштування приміщень харчоблоків</t>
  </si>
  <si>
    <t>0611183</t>
  </si>
  <si>
    <t>1183</t>
  </si>
  <si>
    <t>0990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</si>
  <si>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</si>
  <si>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</si>
  <si>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</si>
  <si>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 - постанова КМУ від 31.12.2024р. № 1554</t>
  </si>
  <si>
    <t>Капітальний ремонт підвального приміщення з пристосуванням під СПП з властивостями ПРУ в будівлі Чорноморського ліцею № 4 Чорноморської міської ради Одеського району Одеської області, за адресою Одеська область, Одеський район, м.Чорноморськ, вулиця 1 Травня, 9-А</t>
  </si>
  <si>
    <t>0800000</t>
  </si>
  <si>
    <t>Управління соціальної політики Чорноморської  міської ради  Одеського району Одеської області</t>
  </si>
  <si>
    <t>0810000</t>
  </si>
  <si>
    <t>0813121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</si>
  <si>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</si>
  <si>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</si>
  <si>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особам/сім'ям, які належать до вразливих груп населення та/або перебувають у складних життєвих обставинах</t>
  </si>
  <si>
    <t>1000000</t>
  </si>
  <si>
    <t>Відділ культури Чорноморської  міської ради  Одеського району Одеської області</t>
  </si>
  <si>
    <t>1010000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</si>
  <si>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</si>
  <si>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</si>
  <si>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</si>
  <si>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</si>
  <si>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Придбання підйомного похилого обладнання</t>
  </si>
  <si>
    <t>1100000</t>
  </si>
  <si>
    <t>Відділ молоді та спорту Чорноморської  міської ради  Одеського району Одеської області</t>
  </si>
  <si>
    <t>1110000</t>
  </si>
  <si>
    <t>1110160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</si>
  <si>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</si>
  <si>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</si>
  <si>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</si>
  <si>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Придбання кондиціонеру</t>
  </si>
  <si>
    <t>Капітальний ремонт вхідної групи з улаштуванням пандусу для маломобільної групи населення в гуртожитку за адресою: Одеська область, Одеський район, м.Чорноморськ, вул.Олександрійська, 16</t>
  </si>
  <si>
    <t>Капітальний ремонт, заміна каналізаційних випусків багатоквартирного будинку за адресою: м.Чорноморськ, вул.Олександрійська, 24</t>
  </si>
  <si>
    <t>Міської цільової програми сприяння діяльності об’єднань співвласників багатоквартирних будинків, житлово-будівельних кооперативів у  багатоквартирних будинках на території Чорноморської міської територіальної громади  на 2023-2025 роки, разом, в т.ч.:</t>
  </si>
  <si>
    <t>Капітальний ремонт багатоквартирного житлового будинку, оздоблення пандусів ОСББ "Паркова 22-А", за адресою: м.Чорноморськ, вул.Паркова 22-А</t>
  </si>
  <si>
    <t>Капітальний ремонт ганку 1-го під'їзду в житловому багатоквартирному будинку ОСББ "НОМЕР СІМ" за адресою: м.Чорноморськ, вул.Лазурна, 2</t>
  </si>
  <si>
    <t>Капітальний ремонт (заміна) ліфту за адресою: Одеський район, Одеська область, м.Чорноморськ, вул.Лазурна, 7 (1)</t>
  </si>
  <si>
    <t>Капітальний ремонт (заміна) ліфту за адресою: Одеський район, Одеська область, м.Чорноморськ, проспект Миру, 28 (4)</t>
  </si>
  <si>
    <t>Капітальний ремонт (заміна) ліфту за адресою: Одеський район, Одеська область, м.Чорноморськ, вул.Олександрійська, 4-А (1)</t>
  </si>
  <si>
    <t>Капітальний ремонт (заміна) ліфту за адресою: Одеський район, Одеська область, м.Чорноморськ, вул.Олександрійська, 10 (4)</t>
  </si>
  <si>
    <t>Капітальний ремонт (заміна) ліфту за адресою: Одеський район, Одеська область, м.Чорноморськ, вул.Паркова, 36 (4)</t>
  </si>
  <si>
    <t>Капітальний ремонт (заміна) ліфту за адресою: Одеський район, Одеська область, м.Чорноморськ, вул.1 Травня, 5 (1)</t>
  </si>
  <si>
    <t>1216017</t>
  </si>
  <si>
    <t>6017</t>
  </si>
  <si>
    <t>Інша діяльність, пов'язана з експлуатацією об'єктів житлово-комунального господарства</t>
  </si>
  <si>
    <t>Міська цільова програма часткової компенсації вартості закупівлі альтернативних джерел енергії для забезпечення потреб мешканців банатоквартрних житлових будинків на території Чорноморської міської територіальної громади на 2024-2025 роки</t>
  </si>
  <si>
    <t>Капітальний ремонт зовнішнього освітлення на Алеї Пам'яті в парку Приморський</t>
  </si>
  <si>
    <t>0640</t>
  </si>
  <si>
    <t>Будівництво об'єктів житлово-комунального господарства</t>
  </si>
  <si>
    <t>Реконструкція теплової мережі на ділянці від камери МК10 до палацу спорту "Юність" в м.Чорноморськ Одеського району Одеської області</t>
  </si>
  <si>
    <t>Реконструкція вводу  теплової мережі  до житлового будинку №4-Б по вул.  Корабельній  у м. Чорноморськ Одеського району Одеської області</t>
  </si>
  <si>
    <t>1217520</t>
  </si>
  <si>
    <t>Капітальні видатки / Придбання спеціалізованого обладнання інспекторів з паркування</t>
  </si>
  <si>
    <t>1217670</t>
  </si>
  <si>
    <t>7670</t>
  </si>
  <si>
    <t>Внески до статутного капіталу суб'єктів господарювання</t>
  </si>
  <si>
    <t>Придбання мережевих насосів для КП "Чорноморськтеплоенерго"</t>
  </si>
  <si>
    <t>Придбання трактора для КП "МУЖКГ"</t>
  </si>
  <si>
    <t>1218110</t>
  </si>
  <si>
    <t>Капітальний ремонт: улаштування зовнішньої гідроізоляції цокольного поверху (найпростішого укриття), вимощення, системи дощової каналізації гуртожитку за адресою: Одеський район, Одеська області, м.Чорноморськ, с.Малодолинське, вул.Зелена, 2-Б (розробка проектно-кошторисної документації, експертиза)</t>
  </si>
  <si>
    <t>1218240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</si>
  <si>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</si>
  <si>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</si>
  <si>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Капітальний ремонт приміщень (санвузлів лівого крила з першого по четвертий поверх) адміністративної будівлі виконавчого комітету Чорноморської міської ради Одеського району Одеської області за адресою: Одеська область, м.Чорноморськ, проспект Миру, 33</t>
  </si>
  <si>
    <t>1512171</t>
  </si>
  <si>
    <t>2171</t>
  </si>
  <si>
    <t>0763</t>
  </si>
  <si>
    <t>Реалізація проектів (заходів) з відновлення закладів охорони здоров'я, пошкоджених/знищених внаслідок збройної агресії, за рахунок коштів місцевих бюджетів</t>
  </si>
  <si>
    <t xml:space="preserve">Монтажні та пусконалагоджувальні роботи по ліфту в/п 630-1000 кг на 20 зупинок в будівлі за адресою: Одеська область, м.Чорноморськ, вул.Парусна, 18, 4 під'їзд </t>
  </si>
  <si>
    <t>1516091</t>
  </si>
  <si>
    <t>6091</t>
  </si>
  <si>
    <t>Реконструкція мереж водопроводу за адресою: Одеська область, Одеський район, м.Чорноморськ, вул.Паркова, 46-50</t>
  </si>
  <si>
    <t>Будівництво самопливного колектору діаметром 400 мм від вул.1 Травня до вул.Промислова у м.Чорноморську Одеського району Одеської області</t>
  </si>
  <si>
    <t>1517370</t>
  </si>
  <si>
    <t>Збільшення електропотужностей для 13-го мікрорайону міста Чорноморськ, Одеської області</t>
  </si>
  <si>
    <t>Фінансове управління Чорноморської  міської ради  Одеського району Одеської області</t>
  </si>
  <si>
    <t>Міська цільова програма підтримки Сил оборони і безпеки України, а також посилення  заходів громадської безпеки в умовах воєнного стану на території Чорноморської міської  територіальної громади на 2025 рік</t>
  </si>
  <si>
    <t>Міська цільова програма протидії злочинності на території Чорноморської міської територіальної громади на 2025 рік</t>
  </si>
  <si>
    <t>Міська цільова програма «Поліцейський офіцер громади» Чорноморської  міської територіальної  громади на 2025 рік</t>
  </si>
  <si>
    <t>0210150</t>
  </si>
  <si>
    <t>Капітальний ремонт (заміна) ліфту пасажирського для лікувально-профілактичних установ, реєстраційний №6342, у будівлі стаціонару літ.«А», встановленого біля відділення АзПІТ Комунального некомерційного підприємства «Чорноморська лікарня» Чорноморської міської ради Одеського району Одеської області за адресою: 68004, Одеська область,Одеський район м.Чорноморськ, вул.Віталія Шума,4 (літ. «А»)</t>
  </si>
  <si>
    <t>Придбання медичного обладнання для надання реабілітаційної допомоги дорослим та дітям та забезпечення якісних хірургічних операцій дорослим та дітям громади у стаціонарних умовах</t>
  </si>
  <si>
    <t>0212100</t>
  </si>
  <si>
    <t>2100</t>
  </si>
  <si>
    <t>0722</t>
  </si>
  <si>
    <t>Стоматологічна допомога населенню</t>
  </si>
  <si>
    <t xml:space="preserve">Капітальні видатки / Придбання медичного/стоматологічного обладнання та приладдя </t>
  </si>
  <si>
    <t>Придбання та встановлення пристрою безперебійного електроживлення на базі дизельної електростанції з капітальним ремонтом внутрішніх мереж електропостачання у будівлі відділення сімейної медицини за адресою: вул.Перемоги, буд.64, селище Олександрівка, м.Чорноморськ, Одеський район, Одеська область, в тому числі  розробка  та коригування проектно-кошторисної документації</t>
  </si>
  <si>
    <t>Капітальний ремонт з утепленням покрівлі нежитлової будівлі відділення сімейної медицини за адресою: вул.Перемоги, 64, селище Олександрівка, м.Чорноморськ / розробка проектно-кошторисної документації</t>
  </si>
  <si>
    <t>Капітальні видатки / Придбання газового котла</t>
  </si>
  <si>
    <t>0212170</t>
  </si>
  <si>
    <t>2170</t>
  </si>
  <si>
    <t>Будівництво закладів охорони здоров'я</t>
  </si>
  <si>
    <t>0217351</t>
  </si>
  <si>
    <t>7351</t>
  </si>
  <si>
    <t>Розроблення комплексних планів просторового розвитку територій територіальних громад</t>
  </si>
  <si>
    <t>Олександрівська селищна адміністрація - придбання комп'ютерної техніки</t>
  </si>
  <si>
    <t>Придбання пральних машин виробничого типу для закладів дошкільної освіти</t>
  </si>
  <si>
    <t>Капітальні видатки / видалення дерев</t>
  </si>
  <si>
    <t>0611022</t>
  </si>
  <si>
    <t>1022</t>
  </si>
  <si>
    <t>0922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</si>
  <si>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</si>
  <si>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</si>
  <si>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</si>
  <si>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</si>
  <si>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</si>
  <si>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0611310</t>
  </si>
  <si>
    <t>1310</t>
  </si>
  <si>
    <t>Реалізація проектів (заходів) з відновлення освітніх установ та закладів, пошкоджених/знищених внаслідок збройної агресії, за рахунок коштів місцевих бюджетів</t>
  </si>
  <si>
    <t>Капітальний ремонт з заміною вікон Малодолинського закладу загальної середньої освіти Чорноморської міської ради Одеського району Одеської області, пошкоджених внаслідок військової агресії, за адресою: Одеська область, Одеський район, м.Чорноморськ, вулиця Зелена, 2</t>
  </si>
  <si>
    <t>0615031</t>
  </si>
  <si>
    <t>5031</t>
  </si>
  <si>
    <t>0810</t>
  </si>
  <si>
    <t>Розвиток здібностей у дітей та молоді з фізичної культури та спорту комунальними дитячо-юнацькими спортивними школами</t>
  </si>
  <si>
    <t>Капітальний ремонт покрівлі будівлі КДЮСШ</t>
  </si>
  <si>
    <t>Капітальний ремонт підвальних приміщень житлового будинку з влаштуванням найпростішого укриття, розташованого за адресою: Одеська область, Одеський район, м.Чорноморськ, проспект Миру, 15-Б/52-Н (розробка проектно-кошторисної документації)</t>
  </si>
  <si>
    <t>Капітальний ремонт стилобатної частини підвального поверху з улаштування заходів гідроізоляції в найпростішому укритті Чорноморського ліцею № 6, розташованого за адресою: Одеська область, Одеський район, м. Чорноморськ, вулиця Спортивна, ЗА</t>
  </si>
  <si>
    <t>Капітальний ремонт найпростішого укриття Малодолинського закладу загальної середньої освіти Чорноморської міської ради Одеського району Одеської області</t>
  </si>
  <si>
    <t>Капітальний ремонт підвального приміщення в будівлі закладу дошкільної освіти № 4 «Барвінок» Чорноморської міської ради Одеського району Одеської області, за адресою: Одеська область, Одеський район, м. Чорноморськ, вулиця Олександрійська, 19-А, з подальшою можливістю улаштування найпростішого укриття</t>
  </si>
  <si>
    <t>Капітальний ремонт нежитлового, вбудовано-прибудованого приміщення, розташованого за адресою: м.Чорноморськ, вул.Віталія Шума, 21/251-С для забезпечення діяльності спеціалізованої служби "Ветеранський простір Чорноморська"</t>
  </si>
  <si>
    <t>0813225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</si>
  <si>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</si>
  <si>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Придбання акустичних систем</t>
  </si>
  <si>
    <t>1017520</t>
  </si>
  <si>
    <t>Капітальні видатки / придбання комп'ютерної техніки</t>
  </si>
  <si>
    <t>Капітальний ремонт покрівлі, водозливної системи багатоквартирного житлового будинку за адресою: м.Чорноморськ, проспект Миру, 5-А</t>
  </si>
  <si>
    <t>Капітальний ремонт внутрішньобудинкових мереж житлового будинку за адресою: Одеська область, м.Чорноморськ, вул.Олександрійська, 13</t>
  </si>
  <si>
    <t>Капітальний ремонт житлового будинку (заміна вхідних дверей в під'їзд) за адресою: м.Чорноморськ, вул.Паркова, 20 (2 під'їзд)</t>
  </si>
  <si>
    <t>Капітальний ремонт житлового будинку (заміна вхідних дверей в під'їзд, улаштування домофону) за адресою: м.Чорноморськ, вул.Паркова, 24 (3 під'їзд)</t>
  </si>
  <si>
    <t>Капітальний ремонт мереж теплопостачання в житловому багатоквартирному будинку ЖБК "Лазурна 1" за адресою: м.Чорноморськ, вул.Лазурна, 1</t>
  </si>
  <si>
    <t>Капітальний ремонт вимощення (6, 7, 8 під'їздів) житлового багатоквартирного будинку ОСББ "НОМЕР СІМ" за адресою: м.Чорноморськ, вул.Лазурна, 2</t>
  </si>
  <si>
    <t>Капітальний ремонт багатоквартирного житлового будинку ОСББ "Паркова 22-А" за адресою: м.Чорноморськ, вул.Паркова, 22-А</t>
  </si>
  <si>
    <t>Капітальний ремонт електричних мереж в житловому багатоквартирному будинку ОСББ "Парусна-5" за адресою: м.Чорноморськ, вул.Парусна, 5</t>
  </si>
  <si>
    <t>Капітальний ремонт покрівлі (розробка проектно-кошторисної документації та виконання її експертизи) житлового багатоквартирного будинку ОСББ "Еверест 11А" за адресою: м.Чорноморськ, вул.Радісна, 11а</t>
  </si>
  <si>
    <t>Капітальний ремонт (заміна) ліфту за адресою: Одеський район, Одеська область, м.Чорноморськ, проспект Миру, 28 (5п.)</t>
  </si>
  <si>
    <t>Улаштування стаціонарної тимчасової споруди (ТС) "Вбиральня загального користування на три кабінки та одну універсальну кабіну" на кладовище між с.Малодолинське та с.Великодолинське / виконання проєктно-кошторисної документації та її експертизи</t>
  </si>
  <si>
    <t>Реконструкція теплогенераторної (розробка проектно-кошторисної документації та виконання її експертизи) в житловому багатоквартирному будинку ОСББ "НОМЕР ШІСТЬ" за адресою: м.Чорноморськ, вул.Шевченка, 9а</t>
  </si>
  <si>
    <t>1217640</t>
  </si>
  <si>
    <t>7640</t>
  </si>
  <si>
    <t>0470</t>
  </si>
  <si>
    <t>Заходи з енергозбереження</t>
  </si>
  <si>
    <t>Капітальний ремонт (заміна вікон) в житловому багатоквартирному будинку ЖБК "Лазурна 1" за адресою: м.Чорноморськ, вул.Лазурна, 1</t>
  </si>
  <si>
    <t>Капітальний ремонт вікон, дверей та покрівель будівель головного корпусу (літ. "А"), моргу (літ."В"), кухні (літ. "Г") КНП "Чорноморська лікарня" Чорноморської міської ради Одеського району Одеської області за адресою: вул. Віталія Шума, буд. 4, м. Чорноморськ, Одеського району, Одеської області, пошкоджених внаслідок збройної агресії російської федерації"</t>
  </si>
  <si>
    <t>3719770</t>
  </si>
  <si>
    <t>9770</t>
  </si>
  <si>
    <t>Інші субвенції з місцевого бюджету</t>
  </si>
  <si>
    <t>Співфінансування заходів з благоустрою на об'єкті спільного користування, а саме: капітальний ремонт дорожнього покриття на території кладовища за адресою: Одеська область, Одеський район, село Молодіжне, вулиця Огородня, ділянка 47</t>
  </si>
  <si>
    <t>Виконавчий комітет / Капітальні видатки</t>
  </si>
  <si>
    <t xml:space="preserve">Придбання Мамографічної рентгенодіагностичної системи для Комунального некомерційного підприємства "Чорноморська лікарня" Чорноморської міської ради Одеського району Одеської області </t>
  </si>
  <si>
    <t>Капітальні видатки / придбання медичного обладнання</t>
  </si>
  <si>
    <t>Реконструкція приміщень аптеки без змін геометричних розмірів фундаментів у плані частини будівлі поліклініки комунального некомерційного підприємства "Чорноиморська лікарня" Чорноморської міської ради Одеського району Одеської області за адресою: Одеська область, Одеський район, м.Чорноморськ, вул.Захисників України, 1 (розробка проектно-кошторисної документації)</t>
  </si>
  <si>
    <t>Капітальний ремонт харчоблоку в будівлі Чорноморського ліцею № 7 Чорноморської міської ради Одеського району Одеської області, за адресою: Одеська область, Одеський район, м. Чорноморськ, проспект Миру, 43-А (розробка проектно-кошторисної документації та експертиз проекту)</t>
  </si>
  <si>
    <t>Капітальний ремонт вимощення та заміна вікон Чорноморського ліцею № 7 Чорноморської міської ради Одеського району Одеської області, розташованого за адресою: Одеська область, Одеський район, місто Чорноморськ, проспект Миру, 43А</t>
  </si>
  <si>
    <t>Встановлення генераторів в Чорноморських ліцеях № 2, № 3, № 4 Чорноморської міської ради Одеського району Одеської області (розробка проектно-кошторисної документації)</t>
  </si>
  <si>
    <t>Капітальний ремонт приміщень Олександрівського закладу загальної середньої освіти Чорноморської міської ради Одеського району Одеської області, розташованого за адресою: Одеська область, Одеський район, с.Олександрівка, вул.Центральна, 85</t>
  </si>
  <si>
    <t>Капітальний ремонт приміщень (осередку Захисту України) Чорноморського ліцею № 2 Чорноморської міської ради Одеського району Одеської області, розташованого за адресою: Одеська область, Одеський район, місто Чорноморськ, проспект Миру, 17А</t>
  </si>
  <si>
    <t>Капітальний ремонт приміщень (кабінету хімії) Чорноморського ліцею № 3 Чорноморської міської ради Одеського району Одеської області, розташованого за адресою: Одеська область, Одеський район, місто Чорноморськ, вулиця Паркова, 10А</t>
  </si>
  <si>
    <t>Придбання та встановлення пандусів в Чорноморському ліцеї  № 1</t>
  </si>
  <si>
    <t>Капітальний ремонт покрівлі спортивної споруди КДЮСШ (виготовлення проектно-кошторисної документації)</t>
  </si>
  <si>
    <t>Капітальний ремонт вентиляції (Найпростішого укриття) в будівлі Чорноморського ліцею № 4 Чорноморської міської ради Одеського району Одеської області. За адресою Одеська область, Одеський район, м.Чорноморськ, вулиця
1 Травня, 9-А</t>
  </si>
  <si>
    <t>Капітальний ремонт (заміна) ліфту у 3му під'їзді житлового будинку за адресою: Одеська область, Одеський район, м. Чорноморськ, пр. Миру, 30 (ОСББ "Мирний 30")</t>
  </si>
  <si>
    <t xml:space="preserve">Розробка проектно-кошторисної документації стадії "РП" (Робочий проект) по об'єкту: "Будівництво майданчиків для встановлення підземних контейнерів для збору побутових відходів населення  на території міста Чорноморська" </t>
  </si>
  <si>
    <t>Міська  цільова програма сприяння діяльності об’єднань співвласників багатоквартирних будинків, житлово-будівельних кооперативів у  багатоквартирних будинках на території Чорноморської міської територіальної громади  на 2023-2025 роки, разом, в т.ч.:</t>
  </si>
  <si>
    <t>Придбання тракторного самоскидного причепа ТСП-16 для КП "Чорноморськводоканал"</t>
  </si>
  <si>
    <t>Капітальний ремонт приміщень сходових клітин лівого крила адміністративної будівлі виконавчого комітету Чорноморської міської ради Одеського району Одеської області за адресою: Одеська область, м.Чорноморськ, проспект Миру, 33</t>
  </si>
  <si>
    <t>Монтажні та пусконалагоджувальні роботи по ліфту в/п 400 кг на 22 зупинки в будівлі за адресою: Одеська обл., м.Чорноморськ, вул.Парусна, 18</t>
  </si>
  <si>
    <t>Міська цільова програма підтримки Регіонального сервісного  центру  ГСЦ МВС  в  Одеській, Миколаївській  та  Херсонській  областях  у сфері  надання адміністративних  послуг на 2024-2025 роки</t>
  </si>
  <si>
    <t>Начальник фінансового управління                                                                                          Ольга ЯКОВЕНКО</t>
  </si>
  <si>
    <t xml:space="preserve">Звіт про використання коштів бюджету розвитку у складі бюджету Чорноморської міської територіальної громади  за 9 місяців 2025 року </t>
  </si>
  <si>
    <t>Капітальний ремонт інженерних мереж холодного водопостачання з улаштуванням приладів колективного обліку та водовідведення, електропостачання з улаштуванням приладів індивідуального обліку, автоматичної системи пожежної сигналізації, капітальний ремонт ліфтів, гідроізоляція душових в гуртожитку за адресою: Одеська область, Одеський район, м.Чорноморськ, вул.Олександрійська, 16 - виконання експертизи проектно-кошторисної документації</t>
  </si>
  <si>
    <t>від_____.11.2025  №______-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</si>
</sst>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%"/>
  </numFmts>
  <fonts count="2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3"/>
      <color indexed="12"/>
      <name val="Times New Roman"/>
      <family val="1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000000"/>
      <name val="Arimo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Arial Cyr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4" fillId="0" borderId="0"/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3" fillId="0" borderId="0"/>
    <xf numFmtId="0" fontId="14" fillId="0" borderId="0"/>
    <xf numFmtId="9" fontId="15" fillId="0" borderId="0" applyFont="0" applyFill="0" applyBorder="0" applyAlignment="0" applyProtection="0"/>
  </cellStyleXfs>
  <cellXfs count="81"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/>
    <xf numFmtId="0" fontId="8" fillId="2" borderId="0" xfId="0" applyFont="1" applyFill="1" applyAlignment="1">
      <alignment horizontal="center" vertical="center" wrapText="1"/>
    </xf>
    <xf numFmtId="0" fontId="12" fillId="0" borderId="5" xfId="5" applyFont="1" applyBorder="1" applyAlignment="1" applyProtection="1">
      <alignment horizontal="left"/>
    </xf>
    <xf numFmtId="0" fontId="11" fillId="0" borderId="0" xfId="5" applyFont="1" applyAlignment="1" applyProtection="1">
      <alignment horizontal="center"/>
    </xf>
    <xf numFmtId="9" fontId="6" fillId="2" borderId="0" xfId="9" applyFont="1" applyFill="1" applyAlignment="1">
      <alignment horizontal="left"/>
    </xf>
    <xf numFmtId="9" fontId="7" fillId="2" borderId="0" xfId="9" applyFont="1" applyFill="1"/>
    <xf numFmtId="9" fontId="7" fillId="2" borderId="0" xfId="9" applyFont="1" applyFill="1" applyAlignment="1">
      <alignment horizontal="center"/>
    </xf>
    <xf numFmtId="9" fontId="7" fillId="2" borderId="0" xfId="9" applyFont="1" applyFill="1" applyAlignment="1">
      <alignment horizontal="left" vertical="center"/>
    </xf>
    <xf numFmtId="0" fontId="3" fillId="2" borderId="0" xfId="0" applyFont="1" applyFill="1"/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quotePrefix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left" vertical="center" wrapText="1"/>
    </xf>
    <xf numFmtId="4" fontId="3" fillId="2" borderId="0" xfId="0" applyNumberFormat="1" applyFont="1" applyFill="1"/>
    <xf numFmtId="0" fontId="3" fillId="2" borderId="6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 wrapText="1"/>
    </xf>
    <xf numFmtId="0" fontId="9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18" fillId="2" borderId="1" xfId="0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quotePrefix="1" applyFont="1" applyFill="1" applyBorder="1" applyAlignment="1">
      <alignment horizontal="left" vertical="center" wrapText="1"/>
    </xf>
    <xf numFmtId="0" fontId="3" fillId="2" borderId="7" xfId="0" quotePrefix="1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3" fillId="2" borderId="1" xfId="8" quotePrefix="1" applyFont="1" applyFill="1" applyBorder="1" applyAlignment="1">
      <alignment horizontal="left" vertical="center" wrapText="1"/>
    </xf>
    <xf numFmtId="0" fontId="3" fillId="2" borderId="4" xfId="4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3" fillId="2" borderId="3" xfId="0" quotePrefix="1" applyFont="1" applyFill="1" applyBorder="1" applyAlignment="1">
      <alignment vertical="center" wrapText="1"/>
    </xf>
    <xf numFmtId="0" fontId="3" fillId="2" borderId="1" xfId="0" quotePrefix="1" applyFont="1" applyFill="1" applyBorder="1" applyAlignment="1">
      <alignment horizontal="left" vertical="center" wrapText="1"/>
    </xf>
    <xf numFmtId="0" fontId="17" fillId="0" borderId="4" xfId="0" applyFont="1" applyBorder="1" applyAlignment="1">
      <alignment vertical="center" wrapText="1"/>
    </xf>
    <xf numFmtId="0" fontId="21" fillId="2" borderId="0" xfId="0" applyFont="1" applyFill="1"/>
    <xf numFmtId="0" fontId="20" fillId="2" borderId="0" xfId="0" applyFont="1" applyFill="1"/>
    <xf numFmtId="0" fontId="18" fillId="2" borderId="0" xfId="0" applyFont="1" applyFill="1"/>
    <xf numFmtId="0" fontId="2" fillId="2" borderId="0" xfId="0" applyFont="1" applyFill="1"/>
    <xf numFmtId="4" fontId="2" fillId="2" borderId="0" xfId="0" applyNumberFormat="1" applyFont="1" applyFill="1"/>
    <xf numFmtId="9" fontId="3" fillId="2" borderId="0" xfId="9" applyFont="1" applyFill="1" applyAlignment="1">
      <alignment horizontal="left"/>
    </xf>
    <xf numFmtId="0" fontId="17" fillId="2" borderId="4" xfId="0" quotePrefix="1" applyFont="1" applyFill="1" applyBorder="1" applyAlignment="1">
      <alignment horizontal="left" vertical="center" wrapText="1"/>
    </xf>
    <xf numFmtId="0" fontId="17" fillId="0" borderId="1" xfId="0" quotePrefix="1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49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right" vertical="center" wrapText="1"/>
    </xf>
    <xf numFmtId="0" fontId="22" fillId="0" borderId="0" xfId="0" applyFont="1"/>
    <xf numFmtId="3" fontId="2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center" vertical="center"/>
    </xf>
    <xf numFmtId="3" fontId="19" fillId="2" borderId="1" xfId="0" applyNumberFormat="1" applyFont="1" applyFill="1" applyBorder="1" applyAlignment="1">
      <alignment horizontal="center" vertical="center"/>
    </xf>
    <xf numFmtId="3" fontId="19" fillId="2" borderId="1" xfId="0" applyNumberFormat="1" applyFont="1" applyFill="1" applyBorder="1" applyAlignment="1">
      <alignment horizontal="center" vertical="center" wrapText="1"/>
    </xf>
    <xf numFmtId="3" fontId="18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4" fontId="20" fillId="2" borderId="0" xfId="0" applyNumberFormat="1" applyFont="1" applyFill="1" applyAlignment="1">
      <alignment horizontal="center" vertical="center" wrapText="1"/>
    </xf>
    <xf numFmtId="2" fontId="7" fillId="2" borderId="0" xfId="0" applyNumberFormat="1" applyFont="1" applyFill="1"/>
    <xf numFmtId="4" fontId="7" fillId="2" borderId="0" xfId="0" applyNumberFormat="1" applyFont="1" applyFill="1"/>
    <xf numFmtId="0" fontId="2" fillId="2" borderId="3" xfId="4" applyFont="1" applyFill="1" applyBorder="1" applyAlignment="1">
      <alignment horizontal="center" vertical="center" wrapText="1"/>
    </xf>
    <xf numFmtId="0" fontId="2" fillId="2" borderId="4" xfId="4" applyFont="1" applyFill="1" applyBorder="1" applyAlignment="1">
      <alignment horizontal="center" vertical="center" wrapText="1"/>
    </xf>
    <xf numFmtId="0" fontId="2" fillId="2" borderId="1" xfId="4" applyFont="1" applyFill="1" applyBorder="1" applyAlignment="1">
      <alignment horizontal="center" vertical="center" wrapText="1"/>
    </xf>
    <xf numFmtId="9" fontId="17" fillId="0" borderId="0" xfId="9" applyFont="1" applyAlignment="1">
      <alignment horizontal="left"/>
    </xf>
    <xf numFmtId="0" fontId="11" fillId="0" borderId="0" xfId="5" applyFont="1" applyAlignment="1" applyProtection="1">
      <alignment horizontal="left"/>
    </xf>
    <xf numFmtId="0" fontId="2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6" fillId="0" borderId="6" xfId="0" applyFont="1" applyBorder="1"/>
    <xf numFmtId="0" fontId="3" fillId="2" borderId="6" xfId="0" applyFont="1" applyFill="1" applyBorder="1" applyAlignment="1">
      <alignment horizontal="center" vertical="center" wrapText="1"/>
    </xf>
    <xf numFmtId="0" fontId="17" fillId="2" borderId="1" xfId="0" quotePrefix="1" applyFont="1" applyFill="1" applyBorder="1" applyAlignment="1">
      <alignment horizontal="left" vertical="center" wrapText="1"/>
    </xf>
    <xf numFmtId="0" fontId="17" fillId="2" borderId="3" xfId="0" quotePrefix="1" applyFont="1" applyFill="1" applyBorder="1" applyAlignment="1">
      <alignment horizontal="left" vertical="center" wrapText="1"/>
    </xf>
    <xf numFmtId="0" fontId="17" fillId="2" borderId="4" xfId="0" quotePrefix="1" applyFont="1" applyFill="1" applyBorder="1" applyAlignment="1">
      <alignment horizontal="left" vertical="center" wrapText="1"/>
    </xf>
  </cellXfs>
  <cellStyles count="10">
    <cellStyle name="Відсотковий" xfId="9" builtinId="5"/>
    <cellStyle name="Гіперпосилання" xfId="5" builtinId="8"/>
    <cellStyle name="Звичайний" xfId="0" builtinId="0"/>
    <cellStyle name="Обычный 10" xfId="7" xr:uid="{00000000-0005-0000-0000-000003000000}"/>
    <cellStyle name="Обычный 2" xfId="1" xr:uid="{00000000-0005-0000-0000-000004000000}"/>
    <cellStyle name="Обычный 2 2" xfId="6" xr:uid="{00000000-0005-0000-0000-000005000000}"/>
    <cellStyle name="Обычный 3" xfId="3" xr:uid="{00000000-0005-0000-0000-000006000000}"/>
    <cellStyle name="Обычный 9" xfId="8" xr:uid="{00000000-0005-0000-0000-000007000000}"/>
    <cellStyle name="Обычный_дод 3" xfId="4" xr:uid="{00000000-0005-0000-0000-000008000000}"/>
    <cellStyle name="Финансовый 2" xfId="2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7"/>
  <sheetViews>
    <sheetView tabSelected="1" view="pageBreakPreview" zoomScale="90" zoomScaleNormal="90" zoomScaleSheetLayoutView="90" workbookViewId="0">
      <selection activeCell="E5" sqref="E5"/>
    </sheetView>
  </sheetViews>
  <sheetFormatPr defaultColWidth="9.109375" defaultRowHeight="18"/>
  <cols>
    <col min="1" max="1" width="15.88671875" style="2" customWidth="1"/>
    <col min="2" max="2" width="14.88671875" style="1" customWidth="1"/>
    <col min="3" max="3" width="16" style="1" customWidth="1"/>
    <col min="4" max="4" width="50" style="1" customWidth="1"/>
    <col min="5" max="5" width="55.5546875" style="3" customWidth="1"/>
    <col min="6" max="6" width="18.5546875" style="1" customWidth="1"/>
    <col min="7" max="7" width="19.33203125" style="1" customWidth="1"/>
    <col min="8" max="8" width="11.109375" style="2" customWidth="1"/>
    <col min="9" max="9" width="24" style="1" customWidth="1"/>
    <col min="10" max="10" width="18.44140625" style="1" bestFit="1" customWidth="1"/>
    <col min="11" max="11" width="16.88671875" style="1" bestFit="1" customWidth="1"/>
    <col min="12" max="12" width="15.5546875" style="1" bestFit="1" customWidth="1"/>
    <col min="13" max="16384" width="9.109375" style="1"/>
  </cols>
  <sheetData>
    <row r="1" spans="1:8" s="9" customFormat="1">
      <c r="A1" s="8"/>
      <c r="D1" s="10"/>
      <c r="E1" s="11"/>
      <c r="F1" s="72" t="s">
        <v>70</v>
      </c>
      <c r="G1" s="72"/>
      <c r="H1" s="72"/>
    </row>
    <row r="2" spans="1:8" s="9" customFormat="1">
      <c r="A2" s="8"/>
      <c r="D2" s="10"/>
      <c r="E2" s="11"/>
      <c r="F2" s="51" t="s">
        <v>49</v>
      </c>
      <c r="G2" s="51"/>
      <c r="H2" s="51"/>
    </row>
    <row r="3" spans="1:8" s="9" customFormat="1">
      <c r="A3" s="8"/>
      <c r="D3" s="10"/>
      <c r="E3" s="11"/>
      <c r="F3" s="72" t="s">
        <v>264</v>
      </c>
      <c r="G3" s="72"/>
      <c r="H3" s="72"/>
    </row>
    <row r="4" spans="1:8" s="4" customFormat="1" ht="21">
      <c r="A4" s="74" t="s">
        <v>262</v>
      </c>
      <c r="B4" s="74"/>
      <c r="C4" s="74"/>
      <c r="D4" s="74"/>
      <c r="E4" s="74"/>
      <c r="F4" s="74"/>
      <c r="G4" s="74"/>
      <c r="H4" s="74"/>
    </row>
    <row r="5" spans="1:8" s="4" customFormat="1" ht="21">
      <c r="A5" s="73">
        <v>1558900000</v>
      </c>
      <c r="B5" s="73"/>
      <c r="C5" s="5"/>
      <c r="D5" s="5"/>
      <c r="E5" s="5"/>
      <c r="F5" s="5"/>
      <c r="G5" s="5"/>
      <c r="H5" s="27"/>
    </row>
    <row r="6" spans="1:8" s="4" customFormat="1" ht="21">
      <c r="A6" s="6" t="s">
        <v>11</v>
      </c>
      <c r="B6" s="7"/>
      <c r="C6" s="5"/>
      <c r="D6" s="5"/>
      <c r="E6" s="5"/>
      <c r="F6" s="5"/>
      <c r="G6" s="5"/>
      <c r="H6" s="27"/>
    </row>
    <row r="7" spans="1:8" ht="42" customHeight="1">
      <c r="A7" s="75" t="s">
        <v>1</v>
      </c>
      <c r="B7" s="75" t="s">
        <v>2</v>
      </c>
      <c r="C7" s="75" t="s">
        <v>3</v>
      </c>
      <c r="D7" s="75" t="s">
        <v>4</v>
      </c>
      <c r="E7" s="75" t="s">
        <v>56</v>
      </c>
      <c r="F7" s="75" t="s">
        <v>61</v>
      </c>
      <c r="G7" s="75" t="s">
        <v>69</v>
      </c>
      <c r="H7" s="75" t="s">
        <v>0</v>
      </c>
    </row>
    <row r="8" spans="1:8" ht="68.400000000000006" customHeight="1">
      <c r="A8" s="76"/>
      <c r="B8" s="76"/>
      <c r="C8" s="76"/>
      <c r="D8" s="77"/>
      <c r="E8" s="77"/>
      <c r="F8" s="77"/>
      <c r="G8" s="77"/>
      <c r="H8" s="77"/>
    </row>
    <row r="9" spans="1:8">
      <c r="A9" s="22">
        <v>1</v>
      </c>
      <c r="B9" s="22">
        <v>2</v>
      </c>
      <c r="C9" s="22">
        <v>3</v>
      </c>
      <c r="D9" s="28">
        <v>4</v>
      </c>
      <c r="E9" s="28">
        <v>5</v>
      </c>
      <c r="F9" s="28">
        <v>6</v>
      </c>
      <c r="G9" s="28">
        <v>7</v>
      </c>
      <c r="H9" s="28">
        <v>8</v>
      </c>
    </row>
    <row r="10" spans="1:8" s="49" customFormat="1" ht="15.6">
      <c r="A10" s="19" t="s">
        <v>12</v>
      </c>
      <c r="B10" s="19"/>
      <c r="C10" s="19"/>
      <c r="D10" s="69" t="s">
        <v>36</v>
      </c>
      <c r="E10" s="70"/>
      <c r="F10" s="58">
        <f t="shared" ref="F10:G10" si="0">F11</f>
        <v>19845050</v>
      </c>
      <c r="G10" s="58">
        <f t="shared" si="0"/>
        <v>4110271.33</v>
      </c>
      <c r="H10" s="29">
        <f>G10/F10</f>
        <v>0.20711821486970303</v>
      </c>
    </row>
    <row r="11" spans="1:8" s="49" customFormat="1" ht="15.6">
      <c r="A11" s="19" t="s">
        <v>13</v>
      </c>
      <c r="B11" s="14"/>
      <c r="C11" s="14"/>
      <c r="D11" s="69" t="s">
        <v>36</v>
      </c>
      <c r="E11" s="70"/>
      <c r="F11" s="58">
        <f>F12+F13+F18+F19+F24+F25+F26+F27+F31+F32</f>
        <v>19845050</v>
      </c>
      <c r="G11" s="58">
        <f>G12+G13+G18+G19+G24+G25+G26+G27+G31+G32</f>
        <v>4110271.33</v>
      </c>
      <c r="H11" s="29">
        <f t="shared" ref="H11:H74" si="1">G11/F11</f>
        <v>0.20711821486970303</v>
      </c>
    </row>
    <row r="12" spans="1:8" s="12" customFormat="1" ht="78">
      <c r="A12" s="14" t="s">
        <v>172</v>
      </c>
      <c r="B12" s="14" t="s">
        <v>154</v>
      </c>
      <c r="C12" s="14" t="s">
        <v>121</v>
      </c>
      <c r="D12" s="20" t="s">
        <v>155</v>
      </c>
      <c r="E12" s="17" t="s">
        <v>241</v>
      </c>
      <c r="F12" s="59">
        <v>52000</v>
      </c>
      <c r="G12" s="59">
        <v>0</v>
      </c>
      <c r="H12" s="30">
        <f t="shared" si="1"/>
        <v>0</v>
      </c>
    </row>
    <row r="13" spans="1:8" s="12" customFormat="1" ht="31.2">
      <c r="A13" s="14" t="s">
        <v>42</v>
      </c>
      <c r="B13" s="14" t="s">
        <v>43</v>
      </c>
      <c r="C13" s="14" t="s">
        <v>15</v>
      </c>
      <c r="D13" s="20" t="s">
        <v>16</v>
      </c>
      <c r="E13" s="17" t="s">
        <v>24</v>
      </c>
      <c r="F13" s="59">
        <f>F14+F15+F16+F17</f>
        <v>11288410</v>
      </c>
      <c r="G13" s="59">
        <f>G14+G15+G16+G17</f>
        <v>1079115.5</v>
      </c>
      <c r="H13" s="30">
        <f t="shared" si="1"/>
        <v>9.5594995220761828E-2</v>
      </c>
    </row>
    <row r="14" spans="1:8" s="12" customFormat="1" ht="124.8">
      <c r="A14" s="14"/>
      <c r="B14" s="14"/>
      <c r="C14" s="14"/>
      <c r="D14" s="20"/>
      <c r="E14" s="20" t="s">
        <v>173</v>
      </c>
      <c r="F14" s="59">
        <f>2036600-65630</f>
        <v>1970970</v>
      </c>
      <c r="G14" s="59">
        <v>0</v>
      </c>
      <c r="H14" s="30">
        <f t="shared" si="1"/>
        <v>0</v>
      </c>
    </row>
    <row r="15" spans="1:8" s="12" customFormat="1" ht="62.4">
      <c r="A15" s="14"/>
      <c r="B15" s="14"/>
      <c r="C15" s="14"/>
      <c r="D15" s="20"/>
      <c r="E15" s="20" t="s">
        <v>174</v>
      </c>
      <c r="F15" s="59">
        <v>1822170</v>
      </c>
      <c r="G15" s="59">
        <v>1079115.5</v>
      </c>
      <c r="H15" s="30">
        <f t="shared" si="1"/>
        <v>0.59221450248879082</v>
      </c>
    </row>
    <row r="16" spans="1:8" s="12" customFormat="1" ht="62.4">
      <c r="A16" s="14"/>
      <c r="B16" s="14"/>
      <c r="C16" s="14"/>
      <c r="D16" s="20"/>
      <c r="E16" s="20" t="s">
        <v>242</v>
      </c>
      <c r="F16" s="59">
        <v>5800000</v>
      </c>
      <c r="G16" s="59">
        <v>0</v>
      </c>
      <c r="H16" s="30">
        <f t="shared" si="1"/>
        <v>0</v>
      </c>
    </row>
    <row r="17" spans="1:8" s="12" customFormat="1" ht="15.6">
      <c r="A17" s="14"/>
      <c r="B17" s="14"/>
      <c r="C17" s="14"/>
      <c r="D17" s="20"/>
      <c r="E17" s="20" t="s">
        <v>243</v>
      </c>
      <c r="F17" s="59">
        <v>1695270</v>
      </c>
      <c r="G17" s="59">
        <v>0</v>
      </c>
      <c r="H17" s="30">
        <f t="shared" si="1"/>
        <v>0</v>
      </c>
    </row>
    <row r="18" spans="1:8" s="12" customFormat="1" ht="31.2">
      <c r="A18" s="14" t="s">
        <v>175</v>
      </c>
      <c r="B18" s="14" t="s">
        <v>176</v>
      </c>
      <c r="C18" s="15" t="s">
        <v>177</v>
      </c>
      <c r="D18" s="16" t="s">
        <v>178</v>
      </c>
      <c r="E18" s="20" t="s">
        <v>179</v>
      </c>
      <c r="F18" s="59">
        <v>962100</v>
      </c>
      <c r="G18" s="59">
        <v>962100</v>
      </c>
      <c r="H18" s="30">
        <f t="shared" si="1"/>
        <v>1</v>
      </c>
    </row>
    <row r="19" spans="1:8" s="12" customFormat="1" ht="46.8">
      <c r="A19" s="14" t="s">
        <v>71</v>
      </c>
      <c r="B19" s="14" t="s">
        <v>72</v>
      </c>
      <c r="C19" s="14" t="s">
        <v>73</v>
      </c>
      <c r="D19" s="20" t="s">
        <v>74</v>
      </c>
      <c r="E19" s="17" t="s">
        <v>24</v>
      </c>
      <c r="F19" s="59">
        <f>F20+F21+F22+F23</f>
        <v>1108400</v>
      </c>
      <c r="G19" s="59">
        <f>G20+G21+G22+G23</f>
        <v>345329.9</v>
      </c>
      <c r="H19" s="30">
        <f t="shared" si="1"/>
        <v>0.31155710934680625</v>
      </c>
    </row>
    <row r="20" spans="1:8" s="12" customFormat="1" ht="124.8">
      <c r="A20" s="14"/>
      <c r="B20" s="14"/>
      <c r="C20" s="14"/>
      <c r="D20" s="20"/>
      <c r="E20" s="20" t="s">
        <v>180</v>
      </c>
      <c r="F20" s="59">
        <f>1426100-707200</f>
        <v>718900</v>
      </c>
      <c r="G20" s="59">
        <v>19735.28</v>
      </c>
      <c r="H20" s="30">
        <f t="shared" si="1"/>
        <v>2.7452051745722631E-2</v>
      </c>
    </row>
    <row r="21" spans="1:8" s="12" customFormat="1" ht="15.6">
      <c r="A21" s="14"/>
      <c r="B21" s="14"/>
      <c r="C21" s="14"/>
      <c r="D21" s="20"/>
      <c r="E21" s="20" t="s">
        <v>75</v>
      </c>
      <c r="F21" s="59">
        <f>192000+60000</f>
        <v>252000</v>
      </c>
      <c r="G21" s="59">
        <v>189069</v>
      </c>
      <c r="H21" s="30">
        <f t="shared" si="1"/>
        <v>0.75027380952380951</v>
      </c>
    </row>
    <row r="22" spans="1:8" s="12" customFormat="1" ht="78">
      <c r="A22" s="14"/>
      <c r="B22" s="14"/>
      <c r="C22" s="14"/>
      <c r="D22" s="20"/>
      <c r="E22" s="20" t="s">
        <v>181</v>
      </c>
      <c r="F22" s="59">
        <v>100000</v>
      </c>
      <c r="G22" s="59">
        <v>99025.62</v>
      </c>
      <c r="H22" s="30">
        <f t="shared" si="1"/>
        <v>0.99025619999999992</v>
      </c>
    </row>
    <row r="23" spans="1:8" s="12" customFormat="1" ht="15.6">
      <c r="A23" s="14"/>
      <c r="B23" s="14"/>
      <c r="C23" s="14"/>
      <c r="D23" s="20"/>
      <c r="E23" s="20" t="s">
        <v>182</v>
      </c>
      <c r="F23" s="59">
        <f>45000-7500</f>
        <v>37500</v>
      </c>
      <c r="G23" s="59">
        <v>37500</v>
      </c>
      <c r="H23" s="30">
        <f t="shared" si="1"/>
        <v>1</v>
      </c>
    </row>
    <row r="24" spans="1:8" s="12" customFormat="1" ht="124.8">
      <c r="A24" s="14" t="s">
        <v>183</v>
      </c>
      <c r="B24" s="14" t="s">
        <v>184</v>
      </c>
      <c r="C24" s="18" t="s">
        <v>159</v>
      </c>
      <c r="D24" s="16" t="s">
        <v>185</v>
      </c>
      <c r="E24" s="53" t="s">
        <v>244</v>
      </c>
      <c r="F24" s="59">
        <v>197300</v>
      </c>
      <c r="G24" s="59">
        <v>0</v>
      </c>
      <c r="H24" s="30">
        <f t="shared" si="1"/>
        <v>0</v>
      </c>
    </row>
    <row r="25" spans="1:8" s="12" customFormat="1" ht="62.4">
      <c r="A25" s="14" t="s">
        <v>76</v>
      </c>
      <c r="B25" s="14" t="s">
        <v>77</v>
      </c>
      <c r="C25" s="18" t="s">
        <v>78</v>
      </c>
      <c r="D25" s="16" t="s">
        <v>79</v>
      </c>
      <c r="E25" s="17" t="s">
        <v>81</v>
      </c>
      <c r="F25" s="59">
        <f>340000-56600</f>
        <v>283400</v>
      </c>
      <c r="G25" s="59">
        <v>283333.33</v>
      </c>
      <c r="H25" s="30">
        <f t="shared" si="1"/>
        <v>0.99976474947071281</v>
      </c>
    </row>
    <row r="26" spans="1:8" s="12" customFormat="1" ht="46.8">
      <c r="A26" s="18" t="s">
        <v>186</v>
      </c>
      <c r="B26" s="18" t="s">
        <v>187</v>
      </c>
      <c r="C26" s="18" t="s">
        <v>78</v>
      </c>
      <c r="D26" s="16" t="s">
        <v>188</v>
      </c>
      <c r="E26" s="17" t="s">
        <v>80</v>
      </c>
      <c r="F26" s="59">
        <f>7000000-80000-3000000</f>
        <v>3920000</v>
      </c>
      <c r="G26" s="59">
        <v>0</v>
      </c>
      <c r="H26" s="30">
        <f t="shared" si="1"/>
        <v>0</v>
      </c>
    </row>
    <row r="27" spans="1:8" s="12" customFormat="1" ht="31.2">
      <c r="A27" s="14" t="s">
        <v>82</v>
      </c>
      <c r="B27" s="14" t="s">
        <v>83</v>
      </c>
      <c r="C27" s="18" t="s">
        <v>84</v>
      </c>
      <c r="D27" s="16" t="s">
        <v>85</v>
      </c>
      <c r="E27" s="17" t="s">
        <v>24</v>
      </c>
      <c r="F27" s="59">
        <f>F28+F29+F30</f>
        <v>954600</v>
      </c>
      <c r="G27" s="59">
        <f>G28+G29+G30</f>
        <v>563000</v>
      </c>
      <c r="H27" s="30">
        <f t="shared" si="1"/>
        <v>0.58977582233396186</v>
      </c>
    </row>
    <row r="28" spans="1:8" s="12" customFormat="1" ht="31.2">
      <c r="A28" s="14"/>
      <c r="B28" s="14"/>
      <c r="C28" s="18"/>
      <c r="D28" s="16"/>
      <c r="E28" s="17" t="s">
        <v>86</v>
      </c>
      <c r="F28" s="59">
        <v>534000</v>
      </c>
      <c r="G28" s="59">
        <v>534000</v>
      </c>
      <c r="H28" s="30">
        <f t="shared" si="1"/>
        <v>1</v>
      </c>
    </row>
    <row r="29" spans="1:8" s="12" customFormat="1" ht="31.2">
      <c r="A29" s="14"/>
      <c r="B29" s="14"/>
      <c r="C29" s="18"/>
      <c r="D29" s="16"/>
      <c r="E29" s="17" t="s">
        <v>87</v>
      </c>
      <c r="F29" s="59">
        <f>191600+40180+159820</f>
        <v>391600</v>
      </c>
      <c r="G29" s="59">
        <v>0</v>
      </c>
      <c r="H29" s="30">
        <f t="shared" si="1"/>
        <v>0</v>
      </c>
    </row>
    <row r="30" spans="1:8" s="12" customFormat="1" ht="31.2">
      <c r="A30" s="14"/>
      <c r="B30" s="14"/>
      <c r="C30" s="18"/>
      <c r="D30" s="16"/>
      <c r="E30" s="17" t="s">
        <v>189</v>
      </c>
      <c r="F30" s="59">
        <v>29000</v>
      </c>
      <c r="G30" s="59">
        <v>29000</v>
      </c>
      <c r="H30" s="30">
        <f t="shared" si="1"/>
        <v>1</v>
      </c>
    </row>
    <row r="31" spans="1:8" s="12" customFormat="1" ht="15.6">
      <c r="A31" s="15" t="s">
        <v>88</v>
      </c>
      <c r="B31" s="15" t="s">
        <v>89</v>
      </c>
      <c r="C31" s="15" t="s">
        <v>50</v>
      </c>
      <c r="D31" s="16" t="s">
        <v>90</v>
      </c>
      <c r="E31" s="17" t="s">
        <v>14</v>
      </c>
      <c r="F31" s="59">
        <f>514000+307000+201140</f>
        <v>1022140</v>
      </c>
      <c r="G31" s="59">
        <v>820737</v>
      </c>
      <c r="H31" s="30">
        <f t="shared" si="1"/>
        <v>0.802959477175338</v>
      </c>
    </row>
    <row r="32" spans="1:8" s="12" customFormat="1" ht="15.6">
      <c r="A32" s="14" t="s">
        <v>57</v>
      </c>
      <c r="B32" s="14" t="s">
        <v>58</v>
      </c>
      <c r="C32" s="18" t="s">
        <v>50</v>
      </c>
      <c r="D32" s="16" t="s">
        <v>59</v>
      </c>
      <c r="E32" s="17" t="s">
        <v>91</v>
      </c>
      <c r="F32" s="59">
        <f>200500-22800-121000</f>
        <v>56700</v>
      </c>
      <c r="G32" s="59">
        <v>56655.6</v>
      </c>
      <c r="H32" s="30">
        <f t="shared" si="1"/>
        <v>0.99921693121693123</v>
      </c>
    </row>
    <row r="33" spans="1:8" s="49" customFormat="1" ht="15.6">
      <c r="A33" s="19" t="s">
        <v>5</v>
      </c>
      <c r="B33" s="19"/>
      <c r="C33" s="19"/>
      <c r="D33" s="69" t="s">
        <v>62</v>
      </c>
      <c r="E33" s="70"/>
      <c r="F33" s="58">
        <f t="shared" ref="F33:G33" si="2">F34</f>
        <v>23722577</v>
      </c>
      <c r="G33" s="58">
        <f t="shared" si="2"/>
        <v>9081818.0899999999</v>
      </c>
      <c r="H33" s="29">
        <f t="shared" si="1"/>
        <v>0.38283438135747222</v>
      </c>
    </row>
    <row r="34" spans="1:8" s="49" customFormat="1" ht="15.6">
      <c r="A34" s="19" t="s">
        <v>6</v>
      </c>
      <c r="B34" s="14"/>
      <c r="C34" s="14"/>
      <c r="D34" s="69" t="s">
        <v>62</v>
      </c>
      <c r="E34" s="70"/>
      <c r="F34" s="58">
        <f>F35+F40+F50+F51+F52+F53+F54+F55+F58</f>
        <v>23722577</v>
      </c>
      <c r="G34" s="58">
        <f>G35+G40+G50+G51+G52+G53+G54+G55+G58</f>
        <v>9081818.0899999999</v>
      </c>
      <c r="H34" s="29">
        <f t="shared" si="1"/>
        <v>0.38283438135747222</v>
      </c>
    </row>
    <row r="35" spans="1:8" s="12" customFormat="1" ht="15.6">
      <c r="A35" s="14" t="s">
        <v>51</v>
      </c>
      <c r="B35" s="14" t="s">
        <v>52</v>
      </c>
      <c r="C35" s="15" t="s">
        <v>53</v>
      </c>
      <c r="D35" s="16" t="s">
        <v>54</v>
      </c>
      <c r="E35" s="17" t="s">
        <v>24</v>
      </c>
      <c r="F35" s="59">
        <f>F36+F37+F38+F39</f>
        <v>2090037</v>
      </c>
      <c r="G35" s="59">
        <f>G36+G37+G38+G39</f>
        <v>566599.97</v>
      </c>
      <c r="H35" s="30">
        <f t="shared" si="1"/>
        <v>0.27109566481358943</v>
      </c>
    </row>
    <row r="36" spans="1:8" s="12" customFormat="1" ht="62.4">
      <c r="A36" s="14"/>
      <c r="B36" s="14"/>
      <c r="C36" s="15"/>
      <c r="D36" s="16"/>
      <c r="E36" s="34" t="s">
        <v>63</v>
      </c>
      <c r="F36" s="59">
        <v>1073037</v>
      </c>
      <c r="G36" s="59">
        <v>0</v>
      </c>
      <c r="H36" s="30">
        <f t="shared" si="1"/>
        <v>0</v>
      </c>
    </row>
    <row r="37" spans="1:8" s="12" customFormat="1" ht="31.2">
      <c r="A37" s="14"/>
      <c r="B37" s="14"/>
      <c r="C37" s="15"/>
      <c r="D37" s="16"/>
      <c r="E37" s="17" t="s">
        <v>92</v>
      </c>
      <c r="F37" s="59">
        <f>700000-260000</f>
        <v>440000</v>
      </c>
      <c r="G37" s="59">
        <f>436800-436800</f>
        <v>0</v>
      </c>
      <c r="H37" s="30">
        <f t="shared" si="1"/>
        <v>0</v>
      </c>
    </row>
    <row r="38" spans="1:8" s="12" customFormat="1" ht="31.2">
      <c r="A38" s="14"/>
      <c r="B38" s="14"/>
      <c r="C38" s="15"/>
      <c r="D38" s="16"/>
      <c r="E38" s="17" t="s">
        <v>190</v>
      </c>
      <c r="F38" s="59">
        <v>500000</v>
      </c>
      <c r="G38" s="59">
        <v>489600</v>
      </c>
      <c r="H38" s="30">
        <f t="shared" si="1"/>
        <v>0.97919999999999996</v>
      </c>
    </row>
    <row r="39" spans="1:8" s="12" customFormat="1" ht="15.6">
      <c r="A39" s="14"/>
      <c r="B39" s="14"/>
      <c r="C39" s="15"/>
      <c r="D39" s="16"/>
      <c r="E39" s="17" t="s">
        <v>191</v>
      </c>
      <c r="F39" s="59">
        <v>77000</v>
      </c>
      <c r="G39" s="59">
        <v>76999.97</v>
      </c>
      <c r="H39" s="30">
        <f t="shared" si="1"/>
        <v>0.99999961038961038</v>
      </c>
    </row>
    <row r="40" spans="1:8" s="12" customFormat="1" ht="46.8">
      <c r="A40" s="14" t="s">
        <v>21</v>
      </c>
      <c r="B40" s="14" t="s">
        <v>22</v>
      </c>
      <c r="C40" s="15" t="s">
        <v>23</v>
      </c>
      <c r="D40" s="16" t="s">
        <v>44</v>
      </c>
      <c r="E40" s="17" t="s">
        <v>24</v>
      </c>
      <c r="F40" s="59">
        <f>SUM(F41:F49)</f>
        <v>5719174</v>
      </c>
      <c r="G40" s="59">
        <f>SUM(G41:G49)</f>
        <v>534171.43000000005</v>
      </c>
      <c r="H40" s="30">
        <f t="shared" si="1"/>
        <v>9.3400101133485375E-2</v>
      </c>
    </row>
    <row r="41" spans="1:8" s="12" customFormat="1" ht="93.6">
      <c r="A41" s="14"/>
      <c r="B41" s="14"/>
      <c r="C41" s="15"/>
      <c r="D41" s="16"/>
      <c r="E41" s="17" t="s">
        <v>245</v>
      </c>
      <c r="F41" s="59">
        <f>526625</f>
        <v>526625</v>
      </c>
      <c r="G41" s="59">
        <v>526623</v>
      </c>
      <c r="H41" s="30">
        <f t="shared" si="1"/>
        <v>0.99999620223118912</v>
      </c>
    </row>
    <row r="42" spans="1:8" s="12" customFormat="1" ht="78">
      <c r="A42" s="14"/>
      <c r="B42" s="14"/>
      <c r="C42" s="15"/>
      <c r="D42" s="16"/>
      <c r="E42" s="17" t="s">
        <v>246</v>
      </c>
      <c r="F42" s="59">
        <f>2700000-5960</f>
        <v>2694040</v>
      </c>
      <c r="G42" s="59">
        <v>0</v>
      </c>
      <c r="H42" s="30">
        <f t="shared" si="1"/>
        <v>0</v>
      </c>
    </row>
    <row r="43" spans="1:8" s="12" customFormat="1" ht="31.2">
      <c r="A43" s="14"/>
      <c r="B43" s="14"/>
      <c r="C43" s="15"/>
      <c r="D43" s="16"/>
      <c r="E43" s="17" t="s">
        <v>92</v>
      </c>
      <c r="F43" s="59">
        <f>800000-340000+5960</f>
        <v>465960</v>
      </c>
      <c r="G43" s="59">
        <f>453600-453600</f>
        <v>0</v>
      </c>
      <c r="H43" s="30">
        <f t="shared" si="1"/>
        <v>0</v>
      </c>
    </row>
    <row r="44" spans="1:8" s="12" customFormat="1" ht="62.4">
      <c r="A44" s="14"/>
      <c r="B44" s="14"/>
      <c r="C44" s="15"/>
      <c r="D44" s="16"/>
      <c r="E44" s="17" t="s">
        <v>247</v>
      </c>
      <c r="F44" s="59">
        <f>600000-200000</f>
        <v>400000</v>
      </c>
      <c r="G44" s="59">
        <v>0</v>
      </c>
      <c r="H44" s="30">
        <f t="shared" si="1"/>
        <v>0</v>
      </c>
    </row>
    <row r="45" spans="1:8" s="12" customFormat="1" ht="78">
      <c r="A45" s="14"/>
      <c r="B45" s="14"/>
      <c r="C45" s="15"/>
      <c r="D45" s="16"/>
      <c r="E45" s="17" t="s">
        <v>248</v>
      </c>
      <c r="F45" s="59">
        <f>400000+200000</f>
        <v>600000</v>
      </c>
      <c r="G45" s="59">
        <f>599464-599464</f>
        <v>0</v>
      </c>
      <c r="H45" s="30">
        <f t="shared" si="1"/>
        <v>0</v>
      </c>
    </row>
    <row r="46" spans="1:8" s="12" customFormat="1" ht="15.6">
      <c r="A46" s="14"/>
      <c r="B46" s="14"/>
      <c r="C46" s="15"/>
      <c r="D46" s="16"/>
      <c r="E46" s="17" t="s">
        <v>191</v>
      </c>
      <c r="F46" s="59">
        <f>9000-1451</f>
        <v>7549</v>
      </c>
      <c r="G46" s="59">
        <v>7548.43</v>
      </c>
      <c r="H46" s="30">
        <f t="shared" si="1"/>
        <v>0.99992449331037225</v>
      </c>
    </row>
    <row r="47" spans="1:8" s="12" customFormat="1" ht="78">
      <c r="A47" s="14"/>
      <c r="B47" s="14"/>
      <c r="C47" s="15"/>
      <c r="D47" s="16"/>
      <c r="E47" s="41" t="s">
        <v>249</v>
      </c>
      <c r="F47" s="59">
        <v>475000</v>
      </c>
      <c r="G47" s="59">
        <f>475000-475000</f>
        <v>0</v>
      </c>
      <c r="H47" s="30">
        <f t="shared" si="1"/>
        <v>0</v>
      </c>
    </row>
    <row r="48" spans="1:8" s="12" customFormat="1" ht="78">
      <c r="A48" s="14"/>
      <c r="B48" s="14"/>
      <c r="C48" s="15"/>
      <c r="D48" s="16"/>
      <c r="E48" s="41" t="s">
        <v>250</v>
      </c>
      <c r="F48" s="59">
        <v>475000</v>
      </c>
      <c r="G48" s="59">
        <v>0</v>
      </c>
      <c r="H48" s="30">
        <f t="shared" si="1"/>
        <v>0</v>
      </c>
    </row>
    <row r="49" spans="1:10" s="12" customFormat="1" ht="31.2">
      <c r="A49" s="14"/>
      <c r="B49" s="14"/>
      <c r="C49" s="15"/>
      <c r="D49" s="16"/>
      <c r="E49" s="41" t="s">
        <v>251</v>
      </c>
      <c r="F49" s="59">
        <v>75000</v>
      </c>
      <c r="G49" s="59">
        <v>0</v>
      </c>
      <c r="H49" s="30">
        <f t="shared" si="1"/>
        <v>0</v>
      </c>
      <c r="J49" s="21"/>
    </row>
    <row r="50" spans="1:10" s="12" customFormat="1" ht="78">
      <c r="A50" s="14" t="s">
        <v>192</v>
      </c>
      <c r="B50" s="14" t="s">
        <v>193</v>
      </c>
      <c r="C50" s="15" t="s">
        <v>194</v>
      </c>
      <c r="D50" s="16" t="s">
        <v>195</v>
      </c>
      <c r="E50" s="17" t="s">
        <v>191</v>
      </c>
      <c r="F50" s="59">
        <f>9100-31</f>
        <v>9069</v>
      </c>
      <c r="G50" s="59">
        <v>9068.64</v>
      </c>
      <c r="H50" s="30">
        <f t="shared" si="1"/>
        <v>0.99996030433344352</v>
      </c>
    </row>
    <row r="51" spans="1:10" s="12" customFormat="1" ht="46.8">
      <c r="A51" s="14" t="s">
        <v>196</v>
      </c>
      <c r="B51" s="14" t="s">
        <v>197</v>
      </c>
      <c r="C51" s="15" t="s">
        <v>198</v>
      </c>
      <c r="D51" s="16" t="s">
        <v>199</v>
      </c>
      <c r="E51" s="17" t="s">
        <v>191</v>
      </c>
      <c r="F51" s="59">
        <f>4000-517</f>
        <v>3483</v>
      </c>
      <c r="G51" s="59">
        <v>3482.02</v>
      </c>
      <c r="H51" s="30">
        <f t="shared" si="1"/>
        <v>0.99971863336204425</v>
      </c>
    </row>
    <row r="52" spans="1:10" s="12" customFormat="1" ht="93.6">
      <c r="A52" s="14" t="s">
        <v>200</v>
      </c>
      <c r="B52" s="14" t="s">
        <v>201</v>
      </c>
      <c r="C52" s="18" t="s">
        <v>95</v>
      </c>
      <c r="D52" s="16" t="s">
        <v>202</v>
      </c>
      <c r="E52" s="17" t="s">
        <v>203</v>
      </c>
      <c r="F52" s="59">
        <f>1400000-400000</f>
        <v>1000000</v>
      </c>
      <c r="G52" s="59">
        <v>33235.199999999997</v>
      </c>
      <c r="H52" s="30">
        <f t="shared" si="1"/>
        <v>3.3235199999999999E-2</v>
      </c>
      <c r="J52" s="21"/>
    </row>
    <row r="53" spans="1:10" s="12" customFormat="1" ht="47.4" customHeight="1">
      <c r="A53" s="14" t="s">
        <v>93</v>
      </c>
      <c r="B53" s="14" t="s">
        <v>94</v>
      </c>
      <c r="C53" s="18" t="s">
        <v>95</v>
      </c>
      <c r="D53" s="78" t="s">
        <v>96</v>
      </c>
      <c r="E53" s="78"/>
      <c r="F53" s="59">
        <f>1304329-12529</f>
        <v>1291800</v>
      </c>
      <c r="G53" s="59">
        <v>1291800</v>
      </c>
      <c r="H53" s="30">
        <f t="shared" si="1"/>
        <v>1</v>
      </c>
    </row>
    <row r="54" spans="1:10" s="12" customFormat="1" ht="47.4" customHeight="1">
      <c r="A54" s="14" t="s">
        <v>97</v>
      </c>
      <c r="B54" s="14" t="s">
        <v>98</v>
      </c>
      <c r="C54" s="18" t="s">
        <v>95</v>
      </c>
      <c r="D54" s="79" t="s">
        <v>99</v>
      </c>
      <c r="E54" s="80"/>
      <c r="F54" s="59">
        <v>3043200</v>
      </c>
      <c r="G54" s="59">
        <v>3043200</v>
      </c>
      <c r="H54" s="30">
        <f t="shared" si="1"/>
        <v>1</v>
      </c>
    </row>
    <row r="55" spans="1:10" s="12" customFormat="1" ht="46.8">
      <c r="A55" s="18" t="s">
        <v>204</v>
      </c>
      <c r="B55" s="18" t="s">
        <v>205</v>
      </c>
      <c r="C55" s="15" t="s">
        <v>206</v>
      </c>
      <c r="D55" s="16" t="s">
        <v>207</v>
      </c>
      <c r="E55" s="52" t="s">
        <v>24</v>
      </c>
      <c r="F55" s="59">
        <f>F56+F57</f>
        <v>754270</v>
      </c>
      <c r="G55" s="59">
        <f>G56+G57</f>
        <v>304270</v>
      </c>
      <c r="H55" s="30">
        <f t="shared" si="1"/>
        <v>0.40339666167287574</v>
      </c>
    </row>
    <row r="56" spans="1:10" s="12" customFormat="1" ht="15.6">
      <c r="A56" s="18"/>
      <c r="B56" s="18"/>
      <c r="C56" s="15"/>
      <c r="D56" s="16"/>
      <c r="E56" s="52" t="s">
        <v>208</v>
      </c>
      <c r="F56" s="59">
        <f>310000-5730</f>
        <v>304270</v>
      </c>
      <c r="G56" s="59">
        <v>304270</v>
      </c>
      <c r="H56" s="30">
        <f t="shared" si="1"/>
        <v>1</v>
      </c>
    </row>
    <row r="57" spans="1:10" s="12" customFormat="1" ht="46.8">
      <c r="A57" s="18"/>
      <c r="B57" s="18"/>
      <c r="C57" s="15"/>
      <c r="D57" s="16"/>
      <c r="E57" s="41" t="s">
        <v>252</v>
      </c>
      <c r="F57" s="59">
        <v>450000</v>
      </c>
      <c r="G57" s="59">
        <v>0</v>
      </c>
      <c r="H57" s="30">
        <f t="shared" si="1"/>
        <v>0</v>
      </c>
    </row>
    <row r="58" spans="1:10" s="12" customFormat="1" ht="31.2">
      <c r="A58" s="14" t="s">
        <v>55</v>
      </c>
      <c r="B58" s="14" t="s">
        <v>38</v>
      </c>
      <c r="C58" s="18" t="s">
        <v>41</v>
      </c>
      <c r="D58" s="16" t="s">
        <v>39</v>
      </c>
      <c r="E58" s="34" t="s">
        <v>24</v>
      </c>
      <c r="F58" s="59">
        <f>SUM(F59:F64)</f>
        <v>9811544</v>
      </c>
      <c r="G58" s="59">
        <f>SUM(G59:G64)</f>
        <v>3295990.83</v>
      </c>
      <c r="H58" s="31">
        <f t="shared" si="1"/>
        <v>0.33592988320696521</v>
      </c>
    </row>
    <row r="59" spans="1:10" s="12" customFormat="1" ht="78">
      <c r="A59" s="14"/>
      <c r="B59" s="14"/>
      <c r="C59" s="18"/>
      <c r="D59" s="16"/>
      <c r="E59" s="43" t="s">
        <v>209</v>
      </c>
      <c r="F59" s="59">
        <f>200000+200000-130000</f>
        <v>270000</v>
      </c>
      <c r="G59" s="59">
        <v>0</v>
      </c>
      <c r="H59" s="31">
        <f t="shared" si="1"/>
        <v>0</v>
      </c>
    </row>
    <row r="60" spans="1:10" s="12" customFormat="1" ht="93.6">
      <c r="A60" s="14"/>
      <c r="B60" s="14"/>
      <c r="C60" s="18"/>
      <c r="D60" s="16"/>
      <c r="E60" s="35" t="s">
        <v>100</v>
      </c>
      <c r="F60" s="59">
        <f>2800119+100000+1820000</f>
        <v>4720119</v>
      </c>
      <c r="G60" s="59">
        <v>0</v>
      </c>
      <c r="H60" s="31">
        <f t="shared" si="1"/>
        <v>0</v>
      </c>
    </row>
    <row r="61" spans="1:10" s="12" customFormat="1" ht="93.6">
      <c r="A61" s="14"/>
      <c r="B61" s="14"/>
      <c r="C61" s="18"/>
      <c r="D61" s="16"/>
      <c r="E61" s="35" t="s">
        <v>253</v>
      </c>
      <c r="F61" s="59">
        <f>1194216+295784</f>
        <v>1490000</v>
      </c>
      <c r="G61" s="59">
        <v>0</v>
      </c>
      <c r="H61" s="30">
        <f t="shared" si="1"/>
        <v>0</v>
      </c>
    </row>
    <row r="62" spans="1:10" s="12" customFormat="1" ht="78">
      <c r="A62" s="14"/>
      <c r="B62" s="14"/>
      <c r="C62" s="18"/>
      <c r="D62" s="16"/>
      <c r="E62" s="35" t="s">
        <v>210</v>
      </c>
      <c r="F62" s="59">
        <f>1400315-211300+180000</f>
        <v>1369015</v>
      </c>
      <c r="G62" s="59">
        <v>1354848.61</v>
      </c>
      <c r="H62" s="30">
        <f t="shared" si="1"/>
        <v>0.98965212945073655</v>
      </c>
    </row>
    <row r="63" spans="1:10" s="49" customFormat="1" ht="62.4">
      <c r="A63" s="14"/>
      <c r="B63" s="14"/>
      <c r="C63" s="18"/>
      <c r="D63" s="16"/>
      <c r="E63" s="44" t="s">
        <v>211</v>
      </c>
      <c r="F63" s="59">
        <v>500000</v>
      </c>
      <c r="G63" s="59">
        <v>499900</v>
      </c>
      <c r="H63" s="30">
        <f t="shared" si="1"/>
        <v>0.99980000000000002</v>
      </c>
    </row>
    <row r="64" spans="1:10" s="49" customFormat="1" ht="109.2">
      <c r="A64" s="14"/>
      <c r="B64" s="14"/>
      <c r="C64" s="18"/>
      <c r="D64" s="16"/>
      <c r="E64" s="35" t="s">
        <v>212</v>
      </c>
      <c r="F64" s="59">
        <f>1500000-37590</f>
        <v>1462410</v>
      </c>
      <c r="G64" s="59">
        <v>1441242.22</v>
      </c>
      <c r="H64" s="30">
        <f t="shared" si="1"/>
        <v>0.98552541352972145</v>
      </c>
    </row>
    <row r="65" spans="1:10" s="12" customFormat="1" ht="15.6">
      <c r="A65" s="19" t="s">
        <v>101</v>
      </c>
      <c r="B65" s="19"/>
      <c r="C65" s="19"/>
      <c r="D65" s="69" t="s">
        <v>102</v>
      </c>
      <c r="E65" s="70"/>
      <c r="F65" s="58">
        <f t="shared" ref="F65:G65" si="3">F66</f>
        <v>7640299</v>
      </c>
      <c r="G65" s="58">
        <f t="shared" si="3"/>
        <v>3012252.12</v>
      </c>
      <c r="H65" s="29">
        <f t="shared" si="1"/>
        <v>0.39425840794974126</v>
      </c>
    </row>
    <row r="66" spans="1:10" s="12" customFormat="1" ht="15.6">
      <c r="A66" s="19" t="s">
        <v>103</v>
      </c>
      <c r="B66" s="14"/>
      <c r="C66" s="14"/>
      <c r="D66" s="69" t="s">
        <v>102</v>
      </c>
      <c r="E66" s="70"/>
      <c r="F66" s="58">
        <f>F67+F68</f>
        <v>7640299</v>
      </c>
      <c r="G66" s="58">
        <f>G67+G68</f>
        <v>3012252.12</v>
      </c>
      <c r="H66" s="29">
        <f t="shared" si="1"/>
        <v>0.39425840794974126</v>
      </c>
    </row>
    <row r="67" spans="1:10" s="49" customFormat="1" ht="93.6">
      <c r="A67" s="15" t="s">
        <v>104</v>
      </c>
      <c r="B67" s="15" t="s">
        <v>105</v>
      </c>
      <c r="C67" s="15" t="s">
        <v>106</v>
      </c>
      <c r="D67" s="16" t="s">
        <v>107</v>
      </c>
      <c r="E67" s="36" t="s">
        <v>213</v>
      </c>
      <c r="F67" s="60">
        <v>991625</v>
      </c>
      <c r="G67" s="60">
        <f>785905.6-307879.38</f>
        <v>478026.22</v>
      </c>
      <c r="H67" s="30">
        <f t="shared" si="1"/>
        <v>0.48206350182780788</v>
      </c>
    </row>
    <row r="68" spans="1:10" s="49" customFormat="1" ht="163.80000000000001" customHeight="1">
      <c r="A68" s="18" t="s">
        <v>214</v>
      </c>
      <c r="B68" s="15">
        <v>3225</v>
      </c>
      <c r="C68" s="15">
        <v>1060</v>
      </c>
      <c r="D68" s="79" t="s">
        <v>215</v>
      </c>
      <c r="E68" s="80"/>
      <c r="F68" s="60">
        <v>6648674</v>
      </c>
      <c r="G68" s="60">
        <v>2534225.9</v>
      </c>
      <c r="H68" s="30">
        <f t="shared" si="1"/>
        <v>0.38116260475397046</v>
      </c>
    </row>
    <row r="69" spans="1:10" s="12" customFormat="1" ht="15.6">
      <c r="A69" s="19" t="s">
        <v>108</v>
      </c>
      <c r="B69" s="19"/>
      <c r="C69" s="19"/>
      <c r="D69" s="69" t="s">
        <v>109</v>
      </c>
      <c r="E69" s="70"/>
      <c r="F69" s="58">
        <f t="shared" ref="F69:G69" si="4">F70</f>
        <v>500100</v>
      </c>
      <c r="G69" s="58">
        <f t="shared" si="4"/>
        <v>500062</v>
      </c>
      <c r="H69" s="29">
        <f t="shared" si="1"/>
        <v>0.99992401519696061</v>
      </c>
    </row>
    <row r="70" spans="1:10" s="12" customFormat="1" ht="15.6">
      <c r="A70" s="19" t="s">
        <v>110</v>
      </c>
      <c r="B70" s="14"/>
      <c r="C70" s="14"/>
      <c r="D70" s="69" t="s">
        <v>109</v>
      </c>
      <c r="E70" s="70"/>
      <c r="F70" s="58">
        <f>F71+F75</f>
        <v>500100</v>
      </c>
      <c r="G70" s="58">
        <f>G71+G75</f>
        <v>500062</v>
      </c>
      <c r="H70" s="29">
        <f t="shared" si="1"/>
        <v>0.99992401519696061</v>
      </c>
    </row>
    <row r="71" spans="1:10" s="12" customFormat="1" ht="46.8">
      <c r="A71" s="15" t="s">
        <v>111</v>
      </c>
      <c r="B71" s="15" t="s">
        <v>112</v>
      </c>
      <c r="C71" s="15" t="s">
        <v>113</v>
      </c>
      <c r="D71" s="16" t="s">
        <v>114</v>
      </c>
      <c r="E71" s="36" t="s">
        <v>24</v>
      </c>
      <c r="F71" s="60">
        <f>F72+F73+F74</f>
        <v>420100</v>
      </c>
      <c r="G71" s="60">
        <f>G72+G73+G74</f>
        <v>420062</v>
      </c>
      <c r="H71" s="30">
        <f t="shared" si="1"/>
        <v>0.99990954534634613</v>
      </c>
    </row>
    <row r="72" spans="1:10" s="12" customFormat="1" ht="15.6">
      <c r="A72" s="15"/>
      <c r="B72" s="15"/>
      <c r="C72" s="15"/>
      <c r="D72" s="16"/>
      <c r="E72" s="44" t="s">
        <v>115</v>
      </c>
      <c r="F72" s="60">
        <v>200000</v>
      </c>
      <c r="G72" s="60">
        <v>200000</v>
      </c>
      <c r="H72" s="30">
        <f t="shared" si="1"/>
        <v>1</v>
      </c>
    </row>
    <row r="73" spans="1:10" s="12" customFormat="1" ht="15.6">
      <c r="A73" s="15"/>
      <c r="B73" s="15"/>
      <c r="C73" s="15"/>
      <c r="D73" s="16"/>
      <c r="E73" s="44" t="s">
        <v>14</v>
      </c>
      <c r="F73" s="60">
        <v>30000</v>
      </c>
      <c r="G73" s="60">
        <v>30000</v>
      </c>
      <c r="H73" s="30">
        <f t="shared" si="1"/>
        <v>1</v>
      </c>
    </row>
    <row r="74" spans="1:10" s="49" customFormat="1" ht="15.6">
      <c r="A74" s="15"/>
      <c r="B74" s="15"/>
      <c r="C74" s="15"/>
      <c r="D74" s="16"/>
      <c r="E74" s="44" t="s">
        <v>216</v>
      </c>
      <c r="F74" s="60">
        <v>190100</v>
      </c>
      <c r="G74" s="60">
        <v>190062</v>
      </c>
      <c r="H74" s="30">
        <f t="shared" si="1"/>
        <v>0.99980010520778539</v>
      </c>
    </row>
    <row r="75" spans="1:10" s="49" customFormat="1" ht="31.2">
      <c r="A75" s="14" t="s">
        <v>217</v>
      </c>
      <c r="B75" s="14" t="s">
        <v>83</v>
      </c>
      <c r="C75" s="18" t="s">
        <v>84</v>
      </c>
      <c r="D75" s="16" t="s">
        <v>85</v>
      </c>
      <c r="E75" s="17" t="s">
        <v>218</v>
      </c>
      <c r="F75" s="60">
        <v>80000</v>
      </c>
      <c r="G75" s="60">
        <v>80000</v>
      </c>
      <c r="H75" s="30">
        <f t="shared" ref="H75:H138" si="5">G75/F75</f>
        <v>1</v>
      </c>
      <c r="J75" s="50"/>
    </row>
    <row r="76" spans="1:10" s="12" customFormat="1" ht="15.6">
      <c r="A76" s="19" t="s">
        <v>116</v>
      </c>
      <c r="B76" s="19"/>
      <c r="C76" s="19"/>
      <c r="D76" s="71" t="s">
        <v>117</v>
      </c>
      <c r="E76" s="71"/>
      <c r="F76" s="58">
        <f t="shared" ref="F76:G76" si="6">F77</f>
        <v>35000</v>
      </c>
      <c r="G76" s="58">
        <f t="shared" si="6"/>
        <v>35000</v>
      </c>
      <c r="H76" s="29">
        <f t="shared" si="5"/>
        <v>1</v>
      </c>
    </row>
    <row r="77" spans="1:10" s="49" customFormat="1" ht="15.6">
      <c r="A77" s="19" t="s">
        <v>118</v>
      </c>
      <c r="B77" s="14"/>
      <c r="C77" s="14"/>
      <c r="D77" s="69" t="s">
        <v>117</v>
      </c>
      <c r="E77" s="70"/>
      <c r="F77" s="58">
        <f>F78</f>
        <v>35000</v>
      </c>
      <c r="G77" s="58">
        <f>G78</f>
        <v>35000</v>
      </c>
      <c r="H77" s="29">
        <f t="shared" si="5"/>
        <v>1</v>
      </c>
    </row>
    <row r="78" spans="1:10" s="49" customFormat="1" ht="46.8">
      <c r="A78" s="15" t="s">
        <v>119</v>
      </c>
      <c r="B78" s="15" t="s">
        <v>120</v>
      </c>
      <c r="C78" s="15" t="s">
        <v>121</v>
      </c>
      <c r="D78" s="16" t="s">
        <v>122</v>
      </c>
      <c r="E78" s="36" t="s">
        <v>123</v>
      </c>
      <c r="F78" s="60">
        <v>35000</v>
      </c>
      <c r="G78" s="60">
        <v>35000</v>
      </c>
      <c r="H78" s="30">
        <f t="shared" si="5"/>
        <v>1</v>
      </c>
    </row>
    <row r="79" spans="1:10" s="12" customFormat="1" ht="15.6">
      <c r="A79" s="19" t="s">
        <v>26</v>
      </c>
      <c r="B79" s="19"/>
      <c r="C79" s="19"/>
      <c r="D79" s="69" t="s">
        <v>64</v>
      </c>
      <c r="E79" s="70"/>
      <c r="F79" s="58">
        <f t="shared" ref="F79:G79" si="7">F80</f>
        <v>24882046</v>
      </c>
      <c r="G79" s="58">
        <f t="shared" si="7"/>
        <v>13907539.140000001</v>
      </c>
      <c r="H79" s="29">
        <f t="shared" si="5"/>
        <v>0.55893872794865829</v>
      </c>
    </row>
    <row r="80" spans="1:10" s="12" customFormat="1" ht="15.6">
      <c r="A80" s="19" t="s">
        <v>27</v>
      </c>
      <c r="B80" s="14"/>
      <c r="C80" s="14"/>
      <c r="D80" s="69" t="s">
        <v>64</v>
      </c>
      <c r="E80" s="70"/>
      <c r="F80" s="58">
        <f>F81+F98+F108+F109+F113+F119+F120+F123+F127+F128</f>
        <v>24882046</v>
      </c>
      <c r="G80" s="58">
        <f>G81+G98+G108+G109+G113+G119+G120+G123+G127+G128</f>
        <v>13907539.140000001</v>
      </c>
      <c r="H80" s="29">
        <f t="shared" si="5"/>
        <v>0.55893872794865829</v>
      </c>
    </row>
    <row r="81" spans="1:9" s="12" customFormat="1" ht="31.2">
      <c r="A81" s="14" t="s">
        <v>65</v>
      </c>
      <c r="B81" s="14" t="s">
        <v>45</v>
      </c>
      <c r="C81" s="18" t="s">
        <v>25</v>
      </c>
      <c r="D81" s="16" t="s">
        <v>28</v>
      </c>
      <c r="E81" s="34" t="s">
        <v>24</v>
      </c>
      <c r="F81" s="59">
        <f>F82+F83+F84+F85+F86+F87+F88+F89</f>
        <v>5363893.75</v>
      </c>
      <c r="G81" s="59">
        <f>G82+G83+G84+G85+G86+G87+G88+G89</f>
        <v>795666.49</v>
      </c>
      <c r="H81" s="30">
        <f t="shared" si="5"/>
        <v>0.1483374815170416</v>
      </c>
      <c r="I81" s="21"/>
    </row>
    <row r="82" spans="1:9" s="12" customFormat="1" ht="156">
      <c r="A82" s="14"/>
      <c r="B82" s="14"/>
      <c r="C82" s="18"/>
      <c r="D82" s="16"/>
      <c r="E82" s="40" t="s">
        <v>263</v>
      </c>
      <c r="F82" s="59">
        <f>43200+27908-6487.25-13046</f>
        <v>51574.75</v>
      </c>
      <c r="G82" s="59">
        <v>51574.02</v>
      </c>
      <c r="H82" s="30">
        <f t="shared" si="5"/>
        <v>0.99998584578694028</v>
      </c>
    </row>
    <row r="83" spans="1:9" s="12" customFormat="1" ht="62.4">
      <c r="A83" s="14"/>
      <c r="B83" s="14"/>
      <c r="C83" s="18"/>
      <c r="D83" s="16"/>
      <c r="E83" s="40" t="s">
        <v>124</v>
      </c>
      <c r="F83" s="59">
        <v>600000</v>
      </c>
      <c r="G83" s="59">
        <v>0</v>
      </c>
      <c r="H83" s="30">
        <f t="shared" si="5"/>
        <v>0</v>
      </c>
    </row>
    <row r="84" spans="1:9" s="12" customFormat="1" ht="46.8">
      <c r="A84" s="14"/>
      <c r="B84" s="14"/>
      <c r="C84" s="18"/>
      <c r="D84" s="16"/>
      <c r="E84" s="41" t="s">
        <v>125</v>
      </c>
      <c r="F84" s="59">
        <v>94300</v>
      </c>
      <c r="G84" s="59">
        <v>37952.699999999997</v>
      </c>
      <c r="H84" s="30">
        <f t="shared" si="5"/>
        <v>0.40246765641569454</v>
      </c>
    </row>
    <row r="85" spans="1:9" s="12" customFormat="1" ht="46.8">
      <c r="A85" s="14"/>
      <c r="B85" s="14"/>
      <c r="C85" s="18"/>
      <c r="D85" s="16"/>
      <c r="E85" s="41" t="s">
        <v>219</v>
      </c>
      <c r="F85" s="61">
        <v>878000</v>
      </c>
      <c r="G85" s="61">
        <v>272891.03000000003</v>
      </c>
      <c r="H85" s="30">
        <f t="shared" si="5"/>
        <v>0.31080982915717542</v>
      </c>
    </row>
    <row r="86" spans="1:9" s="12" customFormat="1" ht="46.8">
      <c r="A86" s="14"/>
      <c r="B86" s="14"/>
      <c r="C86" s="18"/>
      <c r="D86" s="16"/>
      <c r="E86" s="41" t="s">
        <v>220</v>
      </c>
      <c r="F86" s="61">
        <v>522000</v>
      </c>
      <c r="G86" s="61">
        <v>0</v>
      </c>
      <c r="H86" s="30">
        <f t="shared" si="5"/>
        <v>0</v>
      </c>
    </row>
    <row r="87" spans="1:9" s="12" customFormat="1" ht="46.8">
      <c r="A87" s="14"/>
      <c r="B87" s="14"/>
      <c r="C87" s="18"/>
      <c r="D87" s="16"/>
      <c r="E87" s="41" t="s">
        <v>221</v>
      </c>
      <c r="F87" s="61">
        <v>35100</v>
      </c>
      <c r="G87" s="61">
        <v>35031.85</v>
      </c>
      <c r="H87" s="30">
        <f t="shared" si="5"/>
        <v>0.99805840455840455</v>
      </c>
    </row>
    <row r="88" spans="1:9" s="48" customFormat="1" ht="46.8">
      <c r="A88" s="14"/>
      <c r="B88" s="14"/>
      <c r="C88" s="18"/>
      <c r="D88" s="16"/>
      <c r="E88" s="41" t="s">
        <v>222</v>
      </c>
      <c r="F88" s="61">
        <v>56150</v>
      </c>
      <c r="G88" s="61">
        <v>54025.53</v>
      </c>
      <c r="H88" s="30">
        <f t="shared" si="5"/>
        <v>0.96216438112199465</v>
      </c>
    </row>
    <row r="89" spans="1:9" s="48" customFormat="1" ht="93.6">
      <c r="A89" s="14"/>
      <c r="B89" s="14"/>
      <c r="C89" s="18"/>
      <c r="D89" s="16"/>
      <c r="E89" s="41" t="s">
        <v>126</v>
      </c>
      <c r="F89" s="60">
        <f>SUM(F90:F97)</f>
        <v>3126769</v>
      </c>
      <c r="G89" s="60">
        <f>SUM(G90:G97)</f>
        <v>344191.36</v>
      </c>
      <c r="H89" s="30">
        <f t="shared" si="5"/>
        <v>0.11007892172399047</v>
      </c>
    </row>
    <row r="90" spans="1:9" s="48" customFormat="1" ht="62.4">
      <c r="A90" s="14"/>
      <c r="B90" s="14"/>
      <c r="C90" s="18"/>
      <c r="D90" s="16"/>
      <c r="E90" s="42" t="s">
        <v>223</v>
      </c>
      <c r="F90" s="62">
        <f>153000+90000</f>
        <v>243000</v>
      </c>
      <c r="G90" s="62">
        <v>0</v>
      </c>
      <c r="H90" s="31">
        <f t="shared" si="5"/>
        <v>0</v>
      </c>
    </row>
    <row r="91" spans="1:9" s="48" customFormat="1" ht="62.4">
      <c r="A91" s="14"/>
      <c r="B91" s="14"/>
      <c r="C91" s="18"/>
      <c r="D91" s="16"/>
      <c r="E91" s="42" t="s">
        <v>224</v>
      </c>
      <c r="F91" s="62">
        <f>225000-89</f>
        <v>224911</v>
      </c>
      <c r="G91" s="62">
        <v>0</v>
      </c>
      <c r="H91" s="31">
        <f t="shared" si="5"/>
        <v>0</v>
      </c>
    </row>
    <row r="92" spans="1:9" s="48" customFormat="1" ht="46.8">
      <c r="A92" s="14"/>
      <c r="B92" s="14"/>
      <c r="C92" s="18"/>
      <c r="D92" s="16"/>
      <c r="E92" s="37" t="s">
        <v>128</v>
      </c>
      <c r="F92" s="63">
        <f>45000-64</f>
        <v>44936</v>
      </c>
      <c r="G92" s="63">
        <v>0</v>
      </c>
      <c r="H92" s="31">
        <f t="shared" si="5"/>
        <v>0</v>
      </c>
    </row>
    <row r="93" spans="1:9" s="48" customFormat="1" ht="46.8">
      <c r="A93" s="14"/>
      <c r="B93" s="14"/>
      <c r="C93" s="18"/>
      <c r="D93" s="16"/>
      <c r="E93" s="37" t="s">
        <v>127</v>
      </c>
      <c r="F93" s="63">
        <f>36894-30067</f>
        <v>6827</v>
      </c>
      <c r="G93" s="63">
        <v>6825.37</v>
      </c>
      <c r="H93" s="31">
        <f t="shared" si="5"/>
        <v>0.99976124212684925</v>
      </c>
    </row>
    <row r="94" spans="1:9" s="48" customFormat="1" ht="46.8">
      <c r="A94" s="14"/>
      <c r="B94" s="14"/>
      <c r="C94" s="18"/>
      <c r="D94" s="16"/>
      <c r="E94" s="42" t="s">
        <v>225</v>
      </c>
      <c r="F94" s="62">
        <f>450000-17006</f>
        <v>432994</v>
      </c>
      <c r="G94" s="62">
        <v>0</v>
      </c>
      <c r="H94" s="31">
        <f t="shared" si="5"/>
        <v>0</v>
      </c>
    </row>
    <row r="95" spans="1:9" s="48" customFormat="1" ht="62.4">
      <c r="A95" s="14"/>
      <c r="B95" s="14"/>
      <c r="C95" s="18"/>
      <c r="D95" s="16"/>
      <c r="E95" s="42" t="s">
        <v>226</v>
      </c>
      <c r="F95" s="62">
        <v>450000</v>
      </c>
      <c r="G95" s="62">
        <v>0</v>
      </c>
      <c r="H95" s="31">
        <f t="shared" si="5"/>
        <v>0</v>
      </c>
    </row>
    <row r="96" spans="1:9" s="12" customFormat="1" ht="78">
      <c r="A96" s="14"/>
      <c r="B96" s="14"/>
      <c r="C96" s="18"/>
      <c r="D96" s="16"/>
      <c r="E96" s="42" t="s">
        <v>227</v>
      </c>
      <c r="F96" s="62">
        <f>135000+15300-621</f>
        <v>149679</v>
      </c>
      <c r="G96" s="62">
        <v>0</v>
      </c>
      <c r="H96" s="31">
        <f t="shared" si="5"/>
        <v>0</v>
      </c>
    </row>
    <row r="97" spans="1:8" s="12" customFormat="1" ht="62.4">
      <c r="A97" s="14"/>
      <c r="B97" s="14"/>
      <c r="C97" s="18"/>
      <c r="D97" s="16"/>
      <c r="E97" s="37" t="s">
        <v>66</v>
      </c>
      <c r="F97" s="63">
        <f>1578123-3701</f>
        <v>1574422</v>
      </c>
      <c r="G97" s="63">
        <f>386801.85-49435.86</f>
        <v>337365.99</v>
      </c>
      <c r="H97" s="31">
        <f t="shared" si="5"/>
        <v>0.21427926566066785</v>
      </c>
    </row>
    <row r="98" spans="1:8" ht="31.2">
      <c r="A98" s="14" t="s">
        <v>29</v>
      </c>
      <c r="B98" s="14" t="s">
        <v>30</v>
      </c>
      <c r="C98" s="18" t="s">
        <v>18</v>
      </c>
      <c r="D98" s="16" t="s">
        <v>31</v>
      </c>
      <c r="E98" s="34" t="s">
        <v>24</v>
      </c>
      <c r="F98" s="59">
        <f>SUM(F99:F106)</f>
        <v>6806036.25</v>
      </c>
      <c r="G98" s="59">
        <f>SUM(G99:G106)</f>
        <v>6754187.6799999997</v>
      </c>
      <c r="H98" s="30">
        <f t="shared" si="5"/>
        <v>0.99238197269372463</v>
      </c>
    </row>
    <row r="99" spans="1:8" ht="46.8">
      <c r="A99" s="14"/>
      <c r="B99" s="14"/>
      <c r="C99" s="18"/>
      <c r="D99" s="16"/>
      <c r="E99" s="32" t="s">
        <v>129</v>
      </c>
      <c r="F99" s="60">
        <f>1503280-51935.79</f>
        <v>1451344.21</v>
      </c>
      <c r="G99" s="60">
        <v>1451343.78</v>
      </c>
      <c r="H99" s="30">
        <f t="shared" si="5"/>
        <v>0.99999970372293701</v>
      </c>
    </row>
    <row r="100" spans="1:8" ht="46.8">
      <c r="A100" s="14"/>
      <c r="B100" s="14"/>
      <c r="C100" s="18"/>
      <c r="D100" s="16"/>
      <c r="E100" s="32" t="s">
        <v>130</v>
      </c>
      <c r="F100" s="60">
        <f>1444546-43160.86</f>
        <v>1401385.14</v>
      </c>
      <c r="G100" s="60">
        <v>1401385.08</v>
      </c>
      <c r="H100" s="30">
        <f t="shared" si="5"/>
        <v>0.99999995718521761</v>
      </c>
    </row>
    <row r="101" spans="1:8" ht="46.8">
      <c r="A101" s="14"/>
      <c r="B101" s="14"/>
      <c r="C101" s="18"/>
      <c r="D101" s="16"/>
      <c r="E101" s="32" t="s">
        <v>228</v>
      </c>
      <c r="F101" s="60">
        <f>1448646+41354+6487.25</f>
        <v>1496487.25</v>
      </c>
      <c r="G101" s="60">
        <v>1444642.67</v>
      </c>
      <c r="H101" s="30">
        <f t="shared" si="5"/>
        <v>0.9653558157612101</v>
      </c>
    </row>
    <row r="102" spans="1:8" ht="46.8">
      <c r="A102" s="14"/>
      <c r="B102" s="14"/>
      <c r="C102" s="18"/>
      <c r="D102" s="16"/>
      <c r="E102" s="32" t="s">
        <v>131</v>
      </c>
      <c r="F102" s="60">
        <f>286470-40195.96</f>
        <v>246274.04</v>
      </c>
      <c r="G102" s="60">
        <v>246273.22</v>
      </c>
      <c r="H102" s="30">
        <f t="shared" si="5"/>
        <v>0.99999667037581386</v>
      </c>
    </row>
    <row r="103" spans="1:8" ht="46.8">
      <c r="A103" s="14"/>
      <c r="B103" s="14"/>
      <c r="C103" s="18"/>
      <c r="D103" s="16"/>
      <c r="E103" s="32" t="s">
        <v>132</v>
      </c>
      <c r="F103" s="60">
        <f>122370-38372.01</f>
        <v>83997.989999999991</v>
      </c>
      <c r="G103" s="60">
        <v>83997.48</v>
      </c>
      <c r="H103" s="30">
        <f t="shared" si="5"/>
        <v>0.99999392842614454</v>
      </c>
    </row>
    <row r="104" spans="1:8" ht="46.8">
      <c r="A104" s="14"/>
      <c r="B104" s="14"/>
      <c r="C104" s="18"/>
      <c r="D104" s="16"/>
      <c r="E104" s="32" t="s">
        <v>133</v>
      </c>
      <c r="F104" s="60">
        <f>314517-94371.64+0.63</f>
        <v>220145.99</v>
      </c>
      <c r="G104" s="60">
        <v>220144.77</v>
      </c>
      <c r="H104" s="30">
        <f t="shared" si="5"/>
        <v>0.99999445822292743</v>
      </c>
    </row>
    <row r="105" spans="1:8" s="46" customFormat="1" ht="46.8">
      <c r="A105" s="14"/>
      <c r="B105" s="14"/>
      <c r="C105" s="18"/>
      <c r="D105" s="16"/>
      <c r="E105" s="32" t="s">
        <v>134</v>
      </c>
      <c r="F105" s="60">
        <f>296125-95302.37</f>
        <v>200822.63</v>
      </c>
      <c r="G105" s="60">
        <v>200822.3</v>
      </c>
      <c r="H105" s="30">
        <f t="shared" si="5"/>
        <v>0.99999835675889703</v>
      </c>
    </row>
    <row r="106" spans="1:8" ht="93.6">
      <c r="A106" s="14"/>
      <c r="B106" s="14"/>
      <c r="C106" s="18"/>
      <c r="D106" s="16"/>
      <c r="E106" s="32" t="s">
        <v>126</v>
      </c>
      <c r="F106" s="59">
        <f>F107</f>
        <v>1705579</v>
      </c>
      <c r="G106" s="59">
        <f>G107</f>
        <v>1705578.38</v>
      </c>
      <c r="H106" s="30">
        <f t="shared" si="5"/>
        <v>0.99999963648708146</v>
      </c>
    </row>
    <row r="107" spans="1:8" ht="62.4">
      <c r="A107" s="14"/>
      <c r="B107" s="14"/>
      <c r="C107" s="18"/>
      <c r="D107" s="16"/>
      <c r="E107" s="37" t="s">
        <v>254</v>
      </c>
      <c r="F107" s="63">
        <f>1799333-15300-78454</f>
        <v>1705579</v>
      </c>
      <c r="G107" s="63">
        <v>1705578.38</v>
      </c>
      <c r="H107" s="31">
        <f t="shared" si="5"/>
        <v>0.99999963648708146</v>
      </c>
    </row>
    <row r="108" spans="1:8" ht="78">
      <c r="A108" s="14" t="s">
        <v>135</v>
      </c>
      <c r="B108" s="14" t="s">
        <v>136</v>
      </c>
      <c r="C108" s="18" t="s">
        <v>18</v>
      </c>
      <c r="D108" s="16" t="s">
        <v>137</v>
      </c>
      <c r="E108" s="34" t="s">
        <v>138</v>
      </c>
      <c r="F108" s="59">
        <v>1095000</v>
      </c>
      <c r="G108" s="59">
        <v>70017.3</v>
      </c>
      <c r="H108" s="30">
        <f t="shared" si="5"/>
        <v>6.3942739726027403E-2</v>
      </c>
    </row>
    <row r="109" spans="1:8">
      <c r="A109" s="14" t="s">
        <v>32</v>
      </c>
      <c r="B109" s="14" t="s">
        <v>17</v>
      </c>
      <c r="C109" s="18" t="s">
        <v>18</v>
      </c>
      <c r="D109" s="16" t="s">
        <v>19</v>
      </c>
      <c r="E109" s="34" t="s">
        <v>24</v>
      </c>
      <c r="F109" s="59">
        <f>F110+F111+F112</f>
        <v>1125500</v>
      </c>
      <c r="G109" s="59">
        <f>G110+G111+G112</f>
        <v>285551.75</v>
      </c>
      <c r="H109" s="30">
        <f t="shared" si="5"/>
        <v>0.25371101732563306</v>
      </c>
    </row>
    <row r="110" spans="1:8" ht="31.2">
      <c r="A110" s="14"/>
      <c r="B110" s="14"/>
      <c r="C110" s="18"/>
      <c r="D110" s="16"/>
      <c r="E110" s="34" t="s">
        <v>67</v>
      </c>
      <c r="F110" s="59">
        <v>839500</v>
      </c>
      <c r="G110" s="59">
        <v>0</v>
      </c>
      <c r="H110" s="30">
        <f t="shared" si="5"/>
        <v>0</v>
      </c>
    </row>
    <row r="111" spans="1:8" ht="31.2">
      <c r="A111" s="14"/>
      <c r="B111" s="14"/>
      <c r="C111" s="18"/>
      <c r="D111" s="16"/>
      <c r="E111" s="34" t="s">
        <v>139</v>
      </c>
      <c r="F111" s="59">
        <v>252000</v>
      </c>
      <c r="G111" s="59">
        <v>251579.99</v>
      </c>
      <c r="H111" s="30">
        <f t="shared" si="5"/>
        <v>0.9983332936507936</v>
      </c>
    </row>
    <row r="112" spans="1:8" ht="78">
      <c r="A112" s="14"/>
      <c r="B112" s="14"/>
      <c r="C112" s="18"/>
      <c r="D112" s="16"/>
      <c r="E112" s="34" t="s">
        <v>229</v>
      </c>
      <c r="F112" s="59">
        <v>34000</v>
      </c>
      <c r="G112" s="59">
        <v>33971.760000000002</v>
      </c>
      <c r="H112" s="30">
        <f t="shared" si="5"/>
        <v>0.99916941176470597</v>
      </c>
    </row>
    <row r="113" spans="1:8" ht="31.2">
      <c r="A113" s="15">
        <v>1216091</v>
      </c>
      <c r="B113" s="15">
        <v>6091</v>
      </c>
      <c r="C113" s="18" t="s">
        <v>140</v>
      </c>
      <c r="D113" s="16" t="s">
        <v>141</v>
      </c>
      <c r="E113" s="17" t="s">
        <v>24</v>
      </c>
      <c r="F113" s="59">
        <f>SUM(F114:F117)</f>
        <v>6859841</v>
      </c>
      <c r="G113" s="59">
        <f>SUM(G114:G117)</f>
        <v>2929300.02</v>
      </c>
      <c r="H113" s="30">
        <f t="shared" si="5"/>
        <v>0.42702156216157194</v>
      </c>
    </row>
    <row r="114" spans="1:8" ht="46.8">
      <c r="A114" s="14"/>
      <c r="B114" s="14"/>
      <c r="C114" s="18"/>
      <c r="D114" s="16"/>
      <c r="E114" s="17" t="s">
        <v>142</v>
      </c>
      <c r="F114" s="59">
        <v>5800000</v>
      </c>
      <c r="G114" s="59">
        <v>2329300.02</v>
      </c>
      <c r="H114" s="30">
        <f t="shared" si="5"/>
        <v>0.40160345172413792</v>
      </c>
    </row>
    <row r="115" spans="1:8" s="46" customFormat="1" ht="46.8">
      <c r="A115" s="14"/>
      <c r="B115" s="14"/>
      <c r="C115" s="18"/>
      <c r="D115" s="16"/>
      <c r="E115" s="17" t="s">
        <v>143</v>
      </c>
      <c r="F115" s="59">
        <v>600000</v>
      </c>
      <c r="G115" s="59">
        <v>600000</v>
      </c>
      <c r="H115" s="30">
        <f t="shared" si="5"/>
        <v>1</v>
      </c>
    </row>
    <row r="116" spans="1:8" ht="78">
      <c r="A116" s="14"/>
      <c r="B116" s="14"/>
      <c r="C116" s="18"/>
      <c r="D116" s="16"/>
      <c r="E116" s="54" t="s">
        <v>255</v>
      </c>
      <c r="F116" s="59">
        <v>300000</v>
      </c>
      <c r="G116" s="59">
        <v>0</v>
      </c>
      <c r="H116" s="30">
        <f t="shared" si="5"/>
        <v>0</v>
      </c>
    </row>
    <row r="117" spans="1:8" ht="93.6">
      <c r="A117" s="14"/>
      <c r="B117" s="14"/>
      <c r="C117" s="18"/>
      <c r="D117" s="16"/>
      <c r="E117" s="32" t="s">
        <v>256</v>
      </c>
      <c r="F117" s="59">
        <f>F118</f>
        <v>159841</v>
      </c>
      <c r="G117" s="59">
        <f>G118</f>
        <v>0</v>
      </c>
      <c r="H117" s="30">
        <f t="shared" si="5"/>
        <v>0</v>
      </c>
    </row>
    <row r="118" spans="1:8" ht="78">
      <c r="A118" s="14"/>
      <c r="B118" s="14"/>
      <c r="C118" s="18"/>
      <c r="D118" s="16"/>
      <c r="E118" s="42" t="s">
        <v>230</v>
      </c>
      <c r="F118" s="64">
        <f>171000-11159</f>
        <v>159841</v>
      </c>
      <c r="G118" s="64">
        <v>0</v>
      </c>
      <c r="H118" s="30">
        <f t="shared" si="5"/>
        <v>0</v>
      </c>
    </row>
    <row r="119" spans="1:8" s="46" customFormat="1" ht="31.2">
      <c r="A119" s="14" t="s">
        <v>144</v>
      </c>
      <c r="B119" s="14" t="s">
        <v>83</v>
      </c>
      <c r="C119" s="18" t="s">
        <v>84</v>
      </c>
      <c r="D119" s="16" t="s">
        <v>85</v>
      </c>
      <c r="E119" s="17" t="s">
        <v>145</v>
      </c>
      <c r="F119" s="59">
        <v>36000</v>
      </c>
      <c r="G119" s="59">
        <v>0</v>
      </c>
      <c r="H119" s="30">
        <f t="shared" si="5"/>
        <v>0</v>
      </c>
    </row>
    <row r="120" spans="1:8">
      <c r="A120" s="14" t="s">
        <v>231</v>
      </c>
      <c r="B120" s="14" t="s">
        <v>232</v>
      </c>
      <c r="C120" s="18" t="s">
        <v>233</v>
      </c>
      <c r="D120" s="16" t="s">
        <v>234</v>
      </c>
      <c r="E120" s="32" t="s">
        <v>24</v>
      </c>
      <c r="F120" s="59">
        <f>F121</f>
        <v>522900</v>
      </c>
      <c r="G120" s="59">
        <f>G121</f>
        <v>0</v>
      </c>
      <c r="H120" s="30">
        <f t="shared" si="5"/>
        <v>0</v>
      </c>
    </row>
    <row r="121" spans="1:8" ht="93.6">
      <c r="A121" s="14"/>
      <c r="B121" s="14"/>
      <c r="C121" s="18"/>
      <c r="D121" s="16"/>
      <c r="E121" s="32" t="s">
        <v>126</v>
      </c>
      <c r="F121" s="59">
        <f>F122</f>
        <v>522900</v>
      </c>
      <c r="G121" s="59">
        <f>G122</f>
        <v>0</v>
      </c>
      <c r="H121" s="30">
        <f t="shared" si="5"/>
        <v>0</v>
      </c>
    </row>
    <row r="122" spans="1:8" ht="46.8">
      <c r="A122" s="14"/>
      <c r="B122" s="14"/>
      <c r="C122" s="18"/>
      <c r="D122" s="16"/>
      <c r="E122" s="42" t="s">
        <v>235</v>
      </c>
      <c r="F122" s="64">
        <f>360000+162900</f>
        <v>522900</v>
      </c>
      <c r="G122" s="64">
        <v>0</v>
      </c>
      <c r="H122" s="31">
        <f t="shared" si="5"/>
        <v>0</v>
      </c>
    </row>
    <row r="123" spans="1:8" ht="31.2">
      <c r="A123" s="14" t="s">
        <v>146</v>
      </c>
      <c r="B123" s="14" t="s">
        <v>147</v>
      </c>
      <c r="C123" s="18" t="s">
        <v>20</v>
      </c>
      <c r="D123" s="16" t="s">
        <v>148</v>
      </c>
      <c r="E123" s="34" t="s">
        <v>24</v>
      </c>
      <c r="F123" s="59">
        <f>SUM(F124:F126)</f>
        <v>2650510</v>
      </c>
      <c r="G123" s="59">
        <f>SUM(G124:G126)</f>
        <v>2650506.6</v>
      </c>
      <c r="H123" s="30">
        <f t="shared" si="5"/>
        <v>0.99999871722800526</v>
      </c>
    </row>
    <row r="124" spans="1:8" ht="31.2">
      <c r="A124" s="14"/>
      <c r="B124" s="14"/>
      <c r="C124" s="18"/>
      <c r="D124" s="16"/>
      <c r="E124" s="38" t="s">
        <v>149</v>
      </c>
      <c r="F124" s="59">
        <f>600000-9490</f>
        <v>590510</v>
      </c>
      <c r="G124" s="59">
        <v>590506.80000000005</v>
      </c>
      <c r="H124" s="30">
        <f t="shared" si="5"/>
        <v>0.99999458095544536</v>
      </c>
    </row>
    <row r="125" spans="1:8">
      <c r="A125" s="14"/>
      <c r="B125" s="14"/>
      <c r="C125" s="18"/>
      <c r="D125" s="16"/>
      <c r="E125" s="23" t="s">
        <v>150</v>
      </c>
      <c r="F125" s="59">
        <v>1460000</v>
      </c>
      <c r="G125" s="59">
        <v>1459999.8</v>
      </c>
      <c r="H125" s="30">
        <f t="shared" si="5"/>
        <v>0.9999998630136987</v>
      </c>
    </row>
    <row r="126" spans="1:8" s="47" customFormat="1" ht="31.2">
      <c r="A126" s="14"/>
      <c r="B126" s="14"/>
      <c r="C126" s="18"/>
      <c r="D126" s="16"/>
      <c r="E126" s="45" t="s">
        <v>257</v>
      </c>
      <c r="F126" s="59">
        <v>600000</v>
      </c>
      <c r="G126" s="59">
        <v>600000</v>
      </c>
      <c r="H126" s="30">
        <f t="shared" si="5"/>
        <v>1</v>
      </c>
    </row>
    <row r="127" spans="1:8" s="47" customFormat="1" ht="109.2">
      <c r="A127" s="14" t="s">
        <v>151</v>
      </c>
      <c r="B127" s="14" t="s">
        <v>38</v>
      </c>
      <c r="C127" s="18" t="s">
        <v>41</v>
      </c>
      <c r="D127" s="16" t="s">
        <v>39</v>
      </c>
      <c r="E127" s="34" t="s">
        <v>152</v>
      </c>
      <c r="F127" s="59">
        <f>378921-50556</f>
        <v>328365</v>
      </c>
      <c r="G127" s="59">
        <v>328364.3</v>
      </c>
      <c r="H127" s="30">
        <f t="shared" si="5"/>
        <v>0.99999786822590708</v>
      </c>
    </row>
    <row r="128" spans="1:8">
      <c r="A128" s="14" t="s">
        <v>153</v>
      </c>
      <c r="B128" s="14" t="s">
        <v>58</v>
      </c>
      <c r="C128" s="18" t="s">
        <v>50</v>
      </c>
      <c r="D128" s="16" t="s">
        <v>59</v>
      </c>
      <c r="E128" s="17" t="s">
        <v>91</v>
      </c>
      <c r="F128" s="59">
        <f>200000-106000</f>
        <v>94000</v>
      </c>
      <c r="G128" s="59">
        <v>93945</v>
      </c>
      <c r="H128" s="30">
        <f t="shared" si="5"/>
        <v>0.99941489361702129</v>
      </c>
    </row>
    <row r="129" spans="1:8" ht="40.799999999999997" customHeight="1">
      <c r="A129" s="19" t="s">
        <v>33</v>
      </c>
      <c r="B129" s="19"/>
      <c r="C129" s="19"/>
      <c r="D129" s="69" t="s">
        <v>68</v>
      </c>
      <c r="E129" s="70"/>
      <c r="F129" s="58">
        <f t="shared" ref="F129:G129" si="8">F130</f>
        <v>32667034</v>
      </c>
      <c r="G129" s="58">
        <f t="shared" si="8"/>
        <v>12354456.970000001</v>
      </c>
      <c r="H129" s="29">
        <f t="shared" si="5"/>
        <v>0.37819340960063902</v>
      </c>
    </row>
    <row r="130" spans="1:8" ht="40.799999999999997" customHeight="1">
      <c r="A130" s="19" t="s">
        <v>34</v>
      </c>
      <c r="B130" s="14"/>
      <c r="C130" s="14"/>
      <c r="D130" s="69" t="s">
        <v>68</v>
      </c>
      <c r="E130" s="70"/>
      <c r="F130" s="58">
        <f>F131+F134+F135+F138+F141+F142</f>
        <v>32667034</v>
      </c>
      <c r="G130" s="58">
        <f>G131+G134+G135+G138+G141+G142</f>
        <v>12354456.970000001</v>
      </c>
      <c r="H130" s="29">
        <f t="shared" si="5"/>
        <v>0.37819340960063902</v>
      </c>
    </row>
    <row r="131" spans="1:8" ht="78">
      <c r="A131" s="15">
        <v>1510150</v>
      </c>
      <c r="B131" s="18" t="s">
        <v>154</v>
      </c>
      <c r="C131" s="18" t="s">
        <v>121</v>
      </c>
      <c r="D131" s="16" t="s">
        <v>155</v>
      </c>
      <c r="E131" s="39" t="s">
        <v>24</v>
      </c>
      <c r="F131" s="59">
        <f>F132+F133</f>
        <v>1220000</v>
      </c>
      <c r="G131" s="59">
        <f>G132+G133</f>
        <v>572995.69000000006</v>
      </c>
      <c r="H131" s="30">
        <f t="shared" si="5"/>
        <v>0.46966859836065578</v>
      </c>
    </row>
    <row r="132" spans="1:8" ht="78">
      <c r="A132" s="15"/>
      <c r="B132" s="18"/>
      <c r="C132" s="18"/>
      <c r="D132" s="16"/>
      <c r="E132" s="39" t="s">
        <v>156</v>
      </c>
      <c r="F132" s="59">
        <v>590000</v>
      </c>
      <c r="G132" s="59">
        <f>568375.53-719.84</f>
        <v>567655.69000000006</v>
      </c>
      <c r="H132" s="30">
        <f t="shared" si="5"/>
        <v>0.96212828813559337</v>
      </c>
    </row>
    <row r="133" spans="1:8" ht="78">
      <c r="A133" s="15"/>
      <c r="B133" s="18"/>
      <c r="C133" s="18"/>
      <c r="D133" s="16"/>
      <c r="E133" s="39" t="s">
        <v>258</v>
      </c>
      <c r="F133" s="59">
        <v>630000</v>
      </c>
      <c r="G133" s="59">
        <v>5340</v>
      </c>
      <c r="H133" s="30">
        <f t="shared" si="5"/>
        <v>8.4761904761904757E-3</v>
      </c>
    </row>
    <row r="134" spans="1:8" ht="124.8">
      <c r="A134" s="14" t="s">
        <v>157</v>
      </c>
      <c r="B134" s="14" t="s">
        <v>158</v>
      </c>
      <c r="C134" s="18" t="s">
        <v>159</v>
      </c>
      <c r="D134" s="16" t="s">
        <v>160</v>
      </c>
      <c r="E134" s="34" t="s">
        <v>236</v>
      </c>
      <c r="F134" s="59">
        <f>550000+2000000+5000000</f>
        <v>7550000</v>
      </c>
      <c r="G134" s="59">
        <f>499270.91</f>
        <v>499270.91</v>
      </c>
      <c r="H134" s="30">
        <f t="shared" si="5"/>
        <v>6.6128597350993371E-2</v>
      </c>
    </row>
    <row r="135" spans="1:8" ht="31.2">
      <c r="A135" s="15">
        <v>1516015</v>
      </c>
      <c r="B135" s="18" t="s">
        <v>30</v>
      </c>
      <c r="C135" s="18" t="s">
        <v>18</v>
      </c>
      <c r="D135" s="16" t="s">
        <v>31</v>
      </c>
      <c r="E135" s="34" t="s">
        <v>24</v>
      </c>
      <c r="F135" s="59">
        <f>F136+F137</f>
        <v>1122000</v>
      </c>
      <c r="G135" s="59">
        <f>G136+G137</f>
        <v>1122000</v>
      </c>
      <c r="H135" s="30">
        <f t="shared" si="5"/>
        <v>1</v>
      </c>
    </row>
    <row r="136" spans="1:8" ht="62.4">
      <c r="A136" s="15"/>
      <c r="B136" s="18"/>
      <c r="C136" s="18"/>
      <c r="D136" s="16"/>
      <c r="E136" s="34" t="s">
        <v>161</v>
      </c>
      <c r="F136" s="59">
        <v>486000</v>
      </c>
      <c r="G136" s="59">
        <v>486000</v>
      </c>
      <c r="H136" s="30">
        <f t="shared" si="5"/>
        <v>1</v>
      </c>
    </row>
    <row r="137" spans="1:8" s="47" customFormat="1" ht="46.8">
      <c r="A137" s="15"/>
      <c r="B137" s="18"/>
      <c r="C137" s="18"/>
      <c r="D137" s="16"/>
      <c r="E137" s="34" t="s">
        <v>259</v>
      </c>
      <c r="F137" s="59">
        <v>636000</v>
      </c>
      <c r="G137" s="59">
        <v>636000</v>
      </c>
      <c r="H137" s="30">
        <f t="shared" si="5"/>
        <v>1</v>
      </c>
    </row>
    <row r="138" spans="1:8" s="47" customFormat="1" ht="31.2">
      <c r="A138" s="14" t="s">
        <v>162</v>
      </c>
      <c r="B138" s="14" t="s">
        <v>163</v>
      </c>
      <c r="C138" s="18" t="s">
        <v>140</v>
      </c>
      <c r="D138" s="16" t="s">
        <v>141</v>
      </c>
      <c r="E138" s="34" t="s">
        <v>24</v>
      </c>
      <c r="F138" s="59">
        <f>SUM(F139:F140)</f>
        <v>1063146</v>
      </c>
      <c r="G138" s="59">
        <f>SUM(G139:G140)</f>
        <v>926968.8</v>
      </c>
      <c r="H138" s="30">
        <f t="shared" si="5"/>
        <v>0.87191110157965135</v>
      </c>
    </row>
    <row r="139" spans="1:8" ht="46.8">
      <c r="A139" s="14"/>
      <c r="B139" s="14"/>
      <c r="C139" s="18"/>
      <c r="D139" s="16"/>
      <c r="E139" s="33" t="s">
        <v>164</v>
      </c>
      <c r="F139" s="59">
        <v>926970</v>
      </c>
      <c r="G139" s="59">
        <v>926968.8</v>
      </c>
      <c r="H139" s="30">
        <f t="shared" ref="H139:H151" si="9">G139/F139</f>
        <v>0.99999870545972369</v>
      </c>
    </row>
    <row r="140" spans="1:8" ht="46.8">
      <c r="A140" s="14"/>
      <c r="B140" s="14"/>
      <c r="C140" s="18"/>
      <c r="D140" s="16"/>
      <c r="E140" s="33" t="s">
        <v>165</v>
      </c>
      <c r="F140" s="59">
        <v>136176</v>
      </c>
      <c r="G140" s="59">
        <v>0</v>
      </c>
      <c r="H140" s="30">
        <f t="shared" si="9"/>
        <v>0</v>
      </c>
    </row>
    <row r="141" spans="1:8" s="46" customFormat="1" ht="31.2">
      <c r="A141" s="14" t="s">
        <v>166</v>
      </c>
      <c r="B141" s="14" t="s">
        <v>46</v>
      </c>
      <c r="C141" s="18" t="s">
        <v>20</v>
      </c>
      <c r="D141" s="16" t="s">
        <v>35</v>
      </c>
      <c r="E141" s="34" t="s">
        <v>167</v>
      </c>
      <c r="F141" s="59">
        <v>19920588</v>
      </c>
      <c r="G141" s="59">
        <v>7865688.2199999997</v>
      </c>
      <c r="H141" s="30">
        <f t="shared" si="9"/>
        <v>0.39485221118975</v>
      </c>
    </row>
    <row r="142" spans="1:8" s="46" customFormat="1" ht="93.6">
      <c r="A142" s="14" t="s">
        <v>37</v>
      </c>
      <c r="B142" s="14" t="s">
        <v>38</v>
      </c>
      <c r="C142" s="18" t="s">
        <v>41</v>
      </c>
      <c r="D142" s="16" t="s">
        <v>39</v>
      </c>
      <c r="E142" s="34" t="s">
        <v>60</v>
      </c>
      <c r="F142" s="59">
        <v>1791300</v>
      </c>
      <c r="G142" s="59">
        <v>1367533.35</v>
      </c>
      <c r="H142" s="30">
        <f t="shared" si="9"/>
        <v>0.76343066488025457</v>
      </c>
    </row>
    <row r="143" spans="1:8" s="46" customFormat="1">
      <c r="A143" s="19" t="s">
        <v>7</v>
      </c>
      <c r="B143" s="19"/>
      <c r="C143" s="19"/>
      <c r="D143" s="69" t="s">
        <v>168</v>
      </c>
      <c r="E143" s="70"/>
      <c r="F143" s="58">
        <f t="shared" ref="F143:G143" si="10">F144</f>
        <v>41655782</v>
      </c>
      <c r="G143" s="58">
        <f t="shared" si="10"/>
        <v>36017144</v>
      </c>
      <c r="H143" s="29">
        <f t="shared" si="9"/>
        <v>0.86463732693819073</v>
      </c>
    </row>
    <row r="144" spans="1:8">
      <c r="A144" s="19" t="s">
        <v>8</v>
      </c>
      <c r="B144" s="14"/>
      <c r="C144" s="14"/>
      <c r="D144" s="69" t="s">
        <v>168</v>
      </c>
      <c r="E144" s="70"/>
      <c r="F144" s="58">
        <f>F145+F146</f>
        <v>41655782</v>
      </c>
      <c r="G144" s="58">
        <f>G145+G146</f>
        <v>36017144</v>
      </c>
      <c r="H144" s="29">
        <f t="shared" si="9"/>
        <v>0.86463732693819073</v>
      </c>
    </row>
    <row r="145" spans="1:8" ht="78">
      <c r="A145" s="15" t="s">
        <v>237</v>
      </c>
      <c r="B145" s="15" t="s">
        <v>238</v>
      </c>
      <c r="C145" s="15" t="s">
        <v>9</v>
      </c>
      <c r="D145" s="16" t="s">
        <v>239</v>
      </c>
      <c r="E145" s="39" t="s">
        <v>240</v>
      </c>
      <c r="F145" s="59">
        <v>1041300</v>
      </c>
      <c r="G145" s="59">
        <v>1041300</v>
      </c>
      <c r="H145" s="30">
        <f t="shared" si="9"/>
        <v>1</v>
      </c>
    </row>
    <row r="146" spans="1:8" ht="46.8">
      <c r="A146" s="14" t="s">
        <v>47</v>
      </c>
      <c r="B146" s="14" t="s">
        <v>48</v>
      </c>
      <c r="C146" s="18" t="s">
        <v>9</v>
      </c>
      <c r="D146" s="16" t="s">
        <v>40</v>
      </c>
      <c r="E146" s="34" t="s">
        <v>24</v>
      </c>
      <c r="F146" s="59">
        <f>F147+F148+F149+F150</f>
        <v>40614482</v>
      </c>
      <c r="G146" s="59">
        <f>G147+G148+G149+G150</f>
        <v>34975844</v>
      </c>
      <c r="H146" s="30">
        <f t="shared" si="9"/>
        <v>0.86116681237003101</v>
      </c>
    </row>
    <row r="147" spans="1:8" ht="78">
      <c r="A147" s="14"/>
      <c r="B147" s="14"/>
      <c r="C147" s="18"/>
      <c r="D147" s="16"/>
      <c r="E147" s="34" t="s">
        <v>169</v>
      </c>
      <c r="F147" s="59">
        <f>6810000+5874082+6000000+2000000+4300000-2000000+5500000+1500000+1000000+2120000+4085400</f>
        <v>37189482</v>
      </c>
      <c r="G147" s="59">
        <v>31604082</v>
      </c>
      <c r="H147" s="30">
        <f t="shared" si="9"/>
        <v>0.84981237436972101</v>
      </c>
    </row>
    <row r="148" spans="1:8" ht="46.8">
      <c r="A148" s="14"/>
      <c r="B148" s="14"/>
      <c r="C148" s="18"/>
      <c r="D148" s="16"/>
      <c r="E148" s="34" t="s">
        <v>170</v>
      </c>
      <c r="F148" s="59">
        <f>1000000+130000-100000</f>
        <v>1030000</v>
      </c>
      <c r="G148" s="59">
        <v>1030000</v>
      </c>
      <c r="H148" s="30">
        <f t="shared" si="9"/>
        <v>1</v>
      </c>
    </row>
    <row r="149" spans="1:8" ht="46.8">
      <c r="A149" s="14"/>
      <c r="B149" s="14"/>
      <c r="C149" s="18"/>
      <c r="D149" s="16"/>
      <c r="E149" s="34" t="s">
        <v>171</v>
      </c>
      <c r="F149" s="59">
        <v>1295000</v>
      </c>
      <c r="G149" s="59">
        <v>1241762</v>
      </c>
      <c r="H149" s="30">
        <f t="shared" si="9"/>
        <v>0.9588895752895753</v>
      </c>
    </row>
    <row r="150" spans="1:8" ht="62.4">
      <c r="A150" s="14"/>
      <c r="B150" s="14"/>
      <c r="C150" s="18"/>
      <c r="D150" s="16"/>
      <c r="E150" s="34" t="s">
        <v>260</v>
      </c>
      <c r="F150" s="59">
        <v>1100000</v>
      </c>
      <c r="G150" s="59">
        <v>1100000</v>
      </c>
      <c r="H150" s="30">
        <f t="shared" si="9"/>
        <v>1</v>
      </c>
    </row>
    <row r="151" spans="1:8">
      <c r="A151" s="24"/>
      <c r="B151" s="13"/>
      <c r="C151" s="13"/>
      <c r="D151" s="25"/>
      <c r="E151" s="26" t="s">
        <v>10</v>
      </c>
      <c r="F151" s="65">
        <f>F10+F33+F65+F69+F76+F79+F129+F143</f>
        <v>150947888</v>
      </c>
      <c r="G151" s="65">
        <f>G10+G33+G65+G69+G76+G79+G129+G143</f>
        <v>79018543.650000006</v>
      </c>
      <c r="H151" s="29">
        <f t="shared" si="9"/>
        <v>0.52348227389574342</v>
      </c>
    </row>
    <row r="152" spans="1:8">
      <c r="A152" s="12"/>
      <c r="B152" s="55"/>
      <c r="C152" s="55"/>
      <c r="D152" s="12"/>
      <c r="E152" s="56"/>
      <c r="F152" s="66"/>
      <c r="G152" s="66"/>
    </row>
    <row r="153" spans="1:8" ht="18.600000000000001">
      <c r="A153" s="57"/>
      <c r="B153" s="12" t="s">
        <v>261</v>
      </c>
      <c r="C153" s="12"/>
      <c r="D153" s="12"/>
      <c r="E153" s="12"/>
      <c r="F153" s="21"/>
      <c r="G153" s="21"/>
    </row>
    <row r="154" spans="1:8">
      <c r="G154" s="67"/>
    </row>
    <row r="155" spans="1:8">
      <c r="G155" s="68"/>
    </row>
    <row r="156" spans="1:8">
      <c r="F156" s="68"/>
      <c r="G156" s="67"/>
    </row>
    <row r="157" spans="1:8">
      <c r="G157" s="68"/>
    </row>
  </sheetData>
  <customSheetViews>
    <customSheetView guid="{02AC496F-F7D9-465B-9A66-D319977CD4A2}" scale="80" showPageBreaks="1" printArea="1" view="pageBreakPreview" topLeftCell="A88">
      <selection activeCell="K94" sqref="K94"/>
      <rowBreaks count="1" manualBreakCount="1">
        <brk id="102" max="7" man="1"/>
      </rowBreaks>
      <pageMargins left="0.19685039370078741" right="0.19685039370078741" top="0.19685039370078741" bottom="0.19685039370078741" header="0.19685039370078741" footer="0.19685039370078741"/>
      <pageSetup paperSize="9" scale="70" fitToHeight="35" orientation="landscape" r:id="rId1"/>
    </customSheetView>
    <customSheetView guid="{9D5EF3DD-3431-45D7-BCA1-2268CCD9FD10}" scale="80" showPageBreaks="1" printArea="1" view="pageBreakPreview">
      <selection activeCell="G407" sqref="G407"/>
      <rowBreaks count="1" manualBreakCount="1">
        <brk id="102" max="7" man="1"/>
      </rowBreaks>
      <pageMargins left="0.19685039370078741" right="0.19685039370078741" top="0.19685039370078741" bottom="0.19685039370078741" header="0.19685039370078741" footer="0.19685039370078741"/>
      <pageSetup paperSize="9" scale="70" fitToHeight="35" orientation="landscape" r:id="rId2"/>
    </customSheetView>
    <customSheetView guid="{71B4C162-96A9-4CA7-B3F0-0C57B820C4BA}" scale="80" showPageBreaks="1" printArea="1" view="pageBreakPreview" topLeftCell="A48">
      <selection activeCell="G35" sqref="G35"/>
      <rowBreaks count="1" manualBreakCount="1">
        <brk id="102" max="7" man="1"/>
      </rowBreaks>
      <pageMargins left="0.19685039370078741" right="0.19685039370078741" top="0.19685039370078741" bottom="0.19685039370078741" header="0.19685039370078741" footer="0.19685039370078741"/>
      <pageSetup paperSize="9" scale="70" fitToHeight="35" orientation="landscape" r:id="rId3"/>
    </customSheetView>
    <customSheetView guid="{6174BFC3-8EFC-491A-B8A3-28DB8186A904}" scale="80" showPageBreaks="1" fitToPage="1" printArea="1" view="pageBreakPreview">
      <selection activeCell="G142" sqref="G142"/>
      <rowBreaks count="1" manualBreakCount="1">
        <brk id="101" max="7" man="1"/>
      </rowBreaks>
      <pageMargins left="0.19685039370078741" right="0.19685039370078741" top="0.19685039370078741" bottom="0.19685039370078741" header="0.19685039370078741" footer="0.19685039370078741"/>
      <pageSetup paperSize="9" scale="47" fitToHeight="36" orientation="portrait" r:id="rId4"/>
    </customSheetView>
  </customSheetViews>
  <mergeCells count="31">
    <mergeCell ref="D53:E53"/>
    <mergeCell ref="D54:E54"/>
    <mergeCell ref="D66:E66"/>
    <mergeCell ref="D68:E68"/>
    <mergeCell ref="D77:E77"/>
    <mergeCell ref="D34:E34"/>
    <mergeCell ref="D33:E33"/>
    <mergeCell ref="F7:F8"/>
    <mergeCell ref="D10:E10"/>
    <mergeCell ref="D11:E11"/>
    <mergeCell ref="F1:H1"/>
    <mergeCell ref="F3:H3"/>
    <mergeCell ref="A5:B5"/>
    <mergeCell ref="A4:H4"/>
    <mergeCell ref="A7:A8"/>
    <mergeCell ref="B7:B8"/>
    <mergeCell ref="C7:C8"/>
    <mergeCell ref="D7:D8"/>
    <mergeCell ref="E7:E8"/>
    <mergeCell ref="G7:G8"/>
    <mergeCell ref="H7:H8"/>
    <mergeCell ref="D143:E143"/>
    <mergeCell ref="D144:E144"/>
    <mergeCell ref="D65:E65"/>
    <mergeCell ref="D69:E69"/>
    <mergeCell ref="D70:E70"/>
    <mergeCell ref="D76:E76"/>
    <mergeCell ref="D79:E79"/>
    <mergeCell ref="D80:E80"/>
    <mergeCell ref="D129:E129"/>
    <mergeCell ref="D130:E130"/>
  </mergeCells>
  <pageMargins left="0.19685039370078741" right="0.19685039370078741" top="0.19685039370078741" bottom="0.19685039370078741" header="0.19685039370078741" footer="0.19685039370078741"/>
  <pageSetup paperSize="9" scale="49" fitToHeight="37" orientation="portrait" r:id="rId5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Ilya-408</cp:lastModifiedBy>
  <cp:lastPrinted>2025-04-02T12:41:18Z</cp:lastPrinted>
  <dcterms:created xsi:type="dcterms:W3CDTF">2019-04-10T18:00:09Z</dcterms:created>
  <dcterms:modified xsi:type="dcterms:W3CDTF">2025-11-03T06:11:06Z</dcterms:modified>
</cp:coreProperties>
</file>