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1_НАСТУПНЕ\на сайт рада нов\"/>
    </mc:Choice>
  </mc:AlternateContent>
  <bookViews>
    <workbookView xWindow="-108" yWindow="-108" windowWidth="23256" windowHeight="12576"/>
  </bookViews>
  <sheets>
    <sheet name="Аркуш1" sheetId="1" r:id="rId1"/>
  </sheets>
  <definedNames>
    <definedName name="_xlnm.Print_Titles" localSheetId="0">Аркуш1!$4:$5</definedName>
    <definedName name="_xlnm.Print_Area" localSheetId="0">Аркуш1!$A$1:$M$177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1" i="1" l="1"/>
  <c r="I131" i="1"/>
  <c r="J131" i="1"/>
  <c r="K131" i="1"/>
  <c r="L131" i="1"/>
  <c r="D144" i="1"/>
  <c r="H143" i="1"/>
  <c r="H131" i="1" l="1"/>
  <c r="J166" i="1"/>
  <c r="E114" i="1" l="1"/>
  <c r="G110" i="1"/>
  <c r="I110" i="1"/>
  <c r="J110" i="1"/>
  <c r="K110" i="1"/>
  <c r="D124" i="1"/>
  <c r="F123" i="1"/>
  <c r="D123" i="1" s="1"/>
  <c r="E111" i="1"/>
  <c r="E28" i="1" l="1"/>
  <c r="E44" i="1" l="1"/>
  <c r="E47" i="1"/>
  <c r="D46" i="1"/>
  <c r="E30" i="1"/>
  <c r="D33" i="1"/>
  <c r="D34" i="1"/>
  <c r="D35" i="1"/>
  <c r="D36" i="1"/>
  <c r="F37" i="1"/>
  <c r="D37" i="1" s="1"/>
  <c r="E38" i="1"/>
  <c r="D40" i="1"/>
  <c r="F30" i="1" l="1"/>
  <c r="D30" i="1"/>
  <c r="L172" i="1"/>
  <c r="M172" i="1"/>
  <c r="H152" i="1" l="1"/>
  <c r="I152" i="1"/>
  <c r="D142" i="1"/>
  <c r="F141" i="1"/>
  <c r="D141" i="1" s="1"/>
  <c r="H119" i="1"/>
  <c r="H110" i="1" s="1"/>
  <c r="D118" i="1"/>
  <c r="F117" i="1"/>
  <c r="D117" i="1" s="1"/>
  <c r="F114" i="1"/>
  <c r="D116" i="1"/>
  <c r="D122" i="1"/>
  <c r="H107" i="1"/>
  <c r="I107" i="1"/>
  <c r="J107" i="1"/>
  <c r="H103" i="1"/>
  <c r="I103" i="1"/>
  <c r="J103" i="1"/>
  <c r="H100" i="1"/>
  <c r="I100" i="1"/>
  <c r="H94" i="1"/>
  <c r="I94" i="1"/>
  <c r="H56" i="1"/>
  <c r="H6" i="1"/>
  <c r="F136" i="1"/>
  <c r="D140" i="1"/>
  <c r="D139" i="1"/>
  <c r="H167" i="1" l="1"/>
  <c r="H171" i="1" l="1"/>
  <c r="H174" i="1"/>
  <c r="F94" i="1"/>
  <c r="G94" i="1"/>
  <c r="J94" i="1"/>
  <c r="K94" i="1"/>
  <c r="L94" i="1"/>
  <c r="M94" i="1"/>
  <c r="E94" i="1"/>
  <c r="D98" i="1"/>
  <c r="F86" i="1"/>
  <c r="D88" i="1"/>
  <c r="F79" i="1"/>
  <c r="I79" i="1"/>
  <c r="I56" i="1" s="1"/>
  <c r="D82" i="1"/>
  <c r="E66" i="1"/>
  <c r="J6" i="1"/>
  <c r="K6" i="1"/>
  <c r="L6" i="1"/>
  <c r="M6" i="1"/>
  <c r="D43" i="1"/>
  <c r="D32" i="1"/>
  <c r="D31" i="1"/>
  <c r="D174" i="1" l="1"/>
  <c r="H172" i="1"/>
  <c r="D171" i="1"/>
  <c r="H169" i="1"/>
  <c r="I14" i="1"/>
  <c r="I6" i="1" s="1"/>
  <c r="I167" i="1" s="1"/>
  <c r="F28" i="1"/>
  <c r="D28" i="1" s="1"/>
  <c r="D29" i="1"/>
  <c r="I170" i="1" l="1"/>
  <c r="I169" i="1" s="1"/>
  <c r="I173" i="1"/>
  <c r="I172" i="1" s="1"/>
  <c r="D27" i="1" l="1"/>
  <c r="E13" i="1" l="1"/>
  <c r="F103" i="1" l="1"/>
  <c r="G103" i="1"/>
  <c r="K103" i="1"/>
  <c r="L103" i="1"/>
  <c r="M103" i="1"/>
  <c r="D106" i="1"/>
  <c r="D13" i="1"/>
  <c r="D24" i="1" l="1"/>
  <c r="D25" i="1"/>
  <c r="D26" i="1"/>
  <c r="E23" i="1"/>
  <c r="D23" i="1" s="1"/>
  <c r="L152" i="1" l="1"/>
  <c r="L145" i="1"/>
  <c r="L128" i="1"/>
  <c r="L111" i="1"/>
  <c r="L110" i="1" s="1"/>
  <c r="L107" i="1"/>
  <c r="L100" i="1"/>
  <c r="L56" i="1"/>
  <c r="L167" i="1" s="1"/>
  <c r="D154" i="1" l="1"/>
  <c r="D147" i="1"/>
  <c r="D133" i="1"/>
  <c r="D109" i="1"/>
  <c r="D105" i="1"/>
  <c r="D102" i="1"/>
  <c r="D58" i="1"/>
  <c r="F20" i="1"/>
  <c r="D20" i="1" s="1"/>
  <c r="F19" i="1"/>
  <c r="E16" i="1"/>
  <c r="G53" i="1"/>
  <c r="G6" i="1" s="1"/>
  <c r="E53" i="1"/>
  <c r="D55" i="1"/>
  <c r="D9" i="1"/>
  <c r="D10" i="1"/>
  <c r="D11" i="1"/>
  <c r="D12" i="1"/>
  <c r="E8" i="1"/>
  <c r="D8" i="1" s="1"/>
  <c r="D50" i="1"/>
  <c r="E49" i="1"/>
  <c r="D49" i="1" s="1"/>
  <c r="F14" i="1" l="1"/>
  <c r="F6" i="1" s="1"/>
  <c r="D19" i="1"/>
  <c r="E7" i="1"/>
  <c r="D7" i="1" l="1"/>
  <c r="F152" i="1"/>
  <c r="G152" i="1"/>
  <c r="M152" i="1"/>
  <c r="E153" i="1"/>
  <c r="E152" i="1" s="1"/>
  <c r="G145" i="1"/>
  <c r="J145" i="1"/>
  <c r="K145" i="1"/>
  <c r="M145" i="1"/>
  <c r="M143" i="1" s="1"/>
  <c r="E146" i="1"/>
  <c r="D146" i="1" s="1"/>
  <c r="E132" i="1"/>
  <c r="E131" i="1" s="1"/>
  <c r="E108" i="1"/>
  <c r="D108" i="1" s="1"/>
  <c r="M107" i="1"/>
  <c r="K107" i="1"/>
  <c r="G107" i="1"/>
  <c r="F107" i="1"/>
  <c r="E104" i="1"/>
  <c r="E103" i="1" s="1"/>
  <c r="F100" i="1"/>
  <c r="G100" i="1"/>
  <c r="J100" i="1"/>
  <c r="K100" i="1"/>
  <c r="M100" i="1"/>
  <c r="E101" i="1"/>
  <c r="E100" i="1" s="1"/>
  <c r="K156" i="1"/>
  <c r="J156" i="1"/>
  <c r="J155" i="1" s="1"/>
  <c r="J152" i="1" s="1"/>
  <c r="D162" i="1"/>
  <c r="D163" i="1"/>
  <c r="D164" i="1"/>
  <c r="D165" i="1"/>
  <c r="D161" i="1"/>
  <c r="D157" i="1"/>
  <c r="M131" i="1" l="1"/>
  <c r="D143" i="1"/>
  <c r="D132" i="1"/>
  <c r="D153" i="1"/>
  <c r="E107" i="1"/>
  <c r="D107" i="1" s="1"/>
  <c r="D103" i="1"/>
  <c r="D101" i="1"/>
  <c r="D104" i="1"/>
  <c r="D100" i="1"/>
  <c r="D21" i="1" l="1"/>
  <c r="D22" i="1"/>
  <c r="E18" i="1"/>
  <c r="D18" i="1" s="1"/>
  <c r="E17" i="1"/>
  <c r="D17" i="1" s="1"/>
  <c r="D16" i="1"/>
  <c r="E15" i="1"/>
  <c r="E14" i="1" s="1"/>
  <c r="G56" i="1"/>
  <c r="J56" i="1"/>
  <c r="J167" i="1" s="1"/>
  <c r="K56" i="1"/>
  <c r="M56" i="1"/>
  <c r="F89" i="1"/>
  <c r="E91" i="1"/>
  <c r="D91" i="1" s="1"/>
  <c r="E90" i="1"/>
  <c r="D76" i="1"/>
  <c r="D78" i="1"/>
  <c r="E87" i="1"/>
  <c r="E85" i="1"/>
  <c r="D85" i="1" s="1"/>
  <c r="E84" i="1"/>
  <c r="E81" i="1"/>
  <c r="D81" i="1" s="1"/>
  <c r="E80" i="1"/>
  <c r="E77" i="1"/>
  <c r="D77" i="1" s="1"/>
  <c r="E75" i="1"/>
  <c r="E74" i="1"/>
  <c r="D67" i="1"/>
  <c r="D70" i="1"/>
  <c r="D71" i="1"/>
  <c r="D72" i="1"/>
  <c r="E69" i="1"/>
  <c r="D69" i="1" s="1"/>
  <c r="E68" i="1"/>
  <c r="D68" i="1" s="1"/>
  <c r="D66" i="1"/>
  <c r="D64" i="1"/>
  <c r="E63" i="1"/>
  <c r="D63" i="1" s="1"/>
  <c r="E62" i="1"/>
  <c r="D62" i="1" s="1"/>
  <c r="E61" i="1"/>
  <c r="D61" i="1" s="1"/>
  <c r="E59" i="1"/>
  <c r="E79" i="1" l="1"/>
  <c r="D87" i="1"/>
  <c r="E86" i="1"/>
  <c r="D79" i="1"/>
  <c r="D15" i="1"/>
  <c r="F56" i="1"/>
  <c r="E89" i="1"/>
  <c r="D89" i="1" s="1"/>
  <c r="D86" i="1"/>
  <c r="E57" i="1"/>
  <c r="D57" i="1" s="1"/>
  <c r="D59" i="1"/>
  <c r="D90" i="1"/>
  <c r="D80" i="1"/>
  <c r="E73" i="1"/>
  <c r="D73" i="1" s="1"/>
  <c r="D74" i="1"/>
  <c r="E65" i="1"/>
  <c r="E60" i="1"/>
  <c r="E83" i="1"/>
  <c r="D83" i="1" s="1"/>
  <c r="D84" i="1"/>
  <c r="D75" i="1"/>
  <c r="E56" i="1" l="1"/>
  <c r="F150" i="1"/>
  <c r="F145" i="1" s="1"/>
  <c r="D151" i="1"/>
  <c r="D149" i="1"/>
  <c r="E148" i="1"/>
  <c r="E145" i="1" s="1"/>
  <c r="D148" i="1" l="1"/>
  <c r="D150" i="1"/>
  <c r="D145" i="1"/>
  <c r="D136" i="1"/>
  <c r="D138" i="1"/>
  <c r="F134" i="1"/>
  <c r="F131" i="1" s="1"/>
  <c r="D137" i="1"/>
  <c r="D135" i="1"/>
  <c r="M119" i="1"/>
  <c r="M110" i="1" s="1"/>
  <c r="E125" i="1"/>
  <c r="E110" i="1" s="1"/>
  <c r="D120" i="1"/>
  <c r="D121" i="1"/>
  <c r="D130" i="1"/>
  <c r="M167" i="1" l="1"/>
  <c r="D134" i="1"/>
  <c r="D131" i="1"/>
  <c r="D119" i="1"/>
  <c r="D112" i="1"/>
  <c r="D113" i="1"/>
  <c r="F111" i="1"/>
  <c r="F110" i="1" s="1"/>
  <c r="D125" i="1"/>
  <c r="D126" i="1"/>
  <c r="D127" i="1"/>
  <c r="D97" i="1"/>
  <c r="D111" i="1" l="1"/>
  <c r="G167" i="1" l="1"/>
  <c r="E51" i="1" l="1"/>
  <c r="E42" i="1" l="1"/>
  <c r="D93" i="1" l="1"/>
  <c r="D159" i="1" l="1"/>
  <c r="D160" i="1"/>
  <c r="D129" i="1"/>
  <c r="D128" i="1" l="1"/>
  <c r="F167" i="1"/>
  <c r="F170" i="1" s="1"/>
  <c r="F169" i="1" l="1"/>
  <c r="D44" i="1"/>
  <c r="D45" i="1"/>
  <c r="D96" i="1" l="1"/>
  <c r="D99" i="1"/>
  <c r="D54" i="1" l="1"/>
  <c r="D53" i="1" l="1"/>
  <c r="D52" i="1"/>
  <c r="D51" i="1" l="1"/>
  <c r="D115" i="1" l="1"/>
  <c r="D92" i="1" l="1"/>
  <c r="D48" i="1" l="1"/>
  <c r="D39" i="1" l="1"/>
  <c r="E41" i="1" l="1"/>
  <c r="E6" i="1" s="1"/>
  <c r="E167" i="1" l="1"/>
  <c r="D42" i="1"/>
  <c r="K155" i="1" l="1"/>
  <c r="D166" i="1"/>
  <c r="K152" i="1" l="1"/>
  <c r="D158" i="1"/>
  <c r="K167" i="1" l="1"/>
  <c r="D114" i="1"/>
  <c r="K170" i="1" l="1"/>
  <c r="D110" i="1"/>
  <c r="K173" i="1"/>
  <c r="K172" i="1" s="1"/>
  <c r="K169" i="1" l="1"/>
  <c r="D169" i="1" s="1"/>
  <c r="D170" i="1"/>
  <c r="D14" i="1"/>
  <c r="D56" i="1" l="1"/>
  <c r="D65" i="1"/>
  <c r="G175" i="1" l="1"/>
  <c r="G168" i="1"/>
  <c r="D175" i="1" l="1"/>
  <c r="G172" i="1"/>
  <c r="F173" i="1"/>
  <c r="F172" i="1" s="1"/>
  <c r="D38" i="1" l="1"/>
  <c r="D95" i="1" l="1"/>
  <c r="D94" i="1"/>
  <c r="D47" i="1" l="1"/>
  <c r="D41" i="1"/>
  <c r="D60" i="1"/>
  <c r="E173" i="1" l="1"/>
  <c r="E172" i="1" s="1"/>
  <c r="D156" i="1" l="1"/>
  <c r="J173" i="1" l="1"/>
  <c r="J172" i="1" s="1"/>
  <c r="D167" i="1"/>
  <c r="D172" i="1" l="1"/>
  <c r="D173" i="1"/>
  <c r="J168" i="1" l="1"/>
  <c r="D152" i="1"/>
  <c r="D155" i="1" l="1"/>
  <c r="E168" i="1" l="1"/>
  <c r="D168" i="1" s="1"/>
  <c r="D6" i="1"/>
</calcChain>
</file>

<file path=xl/sharedStrings.xml><?xml version="1.0" encoding="utf-8"?>
<sst xmlns="http://schemas.openxmlformats.org/spreadsheetml/2006/main" count="363" uniqueCount="260">
  <si>
    <t>1.</t>
  </si>
  <si>
    <t>Виконавчий комітет</t>
  </si>
  <si>
    <t>2.</t>
  </si>
  <si>
    <t>Управління освіти</t>
  </si>
  <si>
    <t>3.</t>
  </si>
  <si>
    <t>Фінансове управління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</si>
  <si>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</si>
  <si>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4.</t>
  </si>
  <si>
    <t>РАЗОМ пропозиції на уточнення</t>
  </si>
  <si>
    <t>РАЗОМ</t>
  </si>
  <si>
    <t>№</t>
  </si>
  <si>
    <t>1.1.</t>
  </si>
  <si>
    <t>2.1.</t>
  </si>
  <si>
    <t>3.1.</t>
  </si>
  <si>
    <t>Відділ комунального господарства та благоустрою</t>
  </si>
  <si>
    <t>4.1.</t>
  </si>
  <si>
    <t xml:space="preserve"> </t>
  </si>
  <si>
    <t>Додаток до висновку</t>
  </si>
  <si>
    <t>Перерозподіл коштів</t>
  </si>
  <si>
    <t>ЗФ</t>
  </si>
  <si>
    <t>Передача коштів ЗФ до БР</t>
  </si>
  <si>
    <t>Субвенція з місцевого бюджету державному бюджету на виконання програм соціально-економічного розвитку регіонів</t>
  </si>
  <si>
    <t>Начальник фінансового управління</t>
  </si>
  <si>
    <t>Пропозиції  щодо внесення змін до видаткової частини бюджету Чорноморської міської територіальної громади на 2025 рік</t>
  </si>
  <si>
    <t>в т.ч. загальний фонд</t>
  </si>
  <si>
    <t>1.2.</t>
  </si>
  <si>
    <t>1.3.</t>
  </si>
  <si>
    <t>1.4.</t>
  </si>
  <si>
    <t>1.5.</t>
  </si>
  <si>
    <t>Надання дошкільної освіти</t>
  </si>
  <si>
    <t>2.2.</t>
  </si>
  <si>
    <t>2.3.</t>
  </si>
  <si>
    <t>2.4.</t>
  </si>
  <si>
    <t>Управління соціальної політики</t>
  </si>
  <si>
    <t>5.</t>
  </si>
  <si>
    <t>5.1.</t>
  </si>
  <si>
    <t>6.</t>
  </si>
  <si>
    <t>6.1.</t>
  </si>
  <si>
    <t>Забезпечення діяльності інших закладів у сфері освіти</t>
  </si>
  <si>
    <t>2.5.</t>
  </si>
  <si>
    <t>2.6.</t>
  </si>
  <si>
    <t>1.6.</t>
  </si>
  <si>
    <t>Розподіл джерел фінансування:</t>
  </si>
  <si>
    <t>за рахунок коштів бюджету Чорноморської міської територіальної громади</t>
  </si>
  <si>
    <t>СФ (ЦФ)</t>
  </si>
  <si>
    <t>Муніципальні формування з охорони громадського порядку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</si>
  <si>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</si>
  <si>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Надання загальної середньої освіти закладами загальної середньої освіти за рахунок коштів місцевого бюджету</t>
  </si>
  <si>
    <t>Заходи із запобігання та ліквідації надзвичайних ситуацій та наслідків стихійного лиха</t>
  </si>
  <si>
    <t>Відділ молоді та спорту</t>
  </si>
  <si>
    <t>2.7.</t>
  </si>
  <si>
    <t>2.8.</t>
  </si>
  <si>
    <t>2.9.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</si>
  <si>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</si>
  <si>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</si>
  <si>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Багатопрофільна стаціонарна медична допомога населенню</t>
  </si>
  <si>
    <t>1.7.</t>
  </si>
  <si>
    <t>Відділ культури</t>
  </si>
  <si>
    <t xml:space="preserve">за рахунок залишку коштів 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</si>
  <si>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</si>
  <si>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</si>
  <si>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 xml:space="preserve">Субвенція з місцевого бюджету державному бюджету на виконання програм соціально-економічного розвитку регіонів / резерв коштів </t>
  </si>
  <si>
    <t>Інші програми та заходи у сфері охорони здоров`я</t>
  </si>
  <si>
    <t>Надання позашкільної освіти закладами позашкільної освіти, заходи із позашкільної роботи з дітьми</t>
  </si>
  <si>
    <t>Розвиток здібностей у дітей та молоді з фізичної культури та спорту комунальними дитячо-юнацькими спортивними школами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</si>
  <si>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</si>
  <si>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Оплата праці з нарахуваннями</t>
  </si>
  <si>
    <t>7693</t>
  </si>
  <si>
    <t>7.</t>
  </si>
  <si>
    <t>7.1.</t>
  </si>
  <si>
    <t xml:space="preserve">за рахунок субвенцій </t>
  </si>
  <si>
    <t>7.2.</t>
  </si>
  <si>
    <t>КУ "Муніципальна варта" - предмети, матеріали, обладнання та інвентар</t>
  </si>
  <si>
    <t>Інші заходи громадського порядку та безпеки</t>
  </si>
  <si>
    <t>СФ (ФОНПС)</t>
  </si>
  <si>
    <t>Природоохоронні заходи за рахунок цільових фондів</t>
  </si>
  <si>
    <t>1.8.</t>
  </si>
  <si>
    <t>Забезпечення діяльності центрів професійного розвитку педагогічних працівників</t>
  </si>
  <si>
    <t>Надання інших пільг окремим категоріям громадян відповідно до законодавства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</si>
  <si>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</si>
  <si>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Інші заходи у сфері соціального захисту і соціального забезпечення</t>
  </si>
  <si>
    <t>3.2.</t>
  </si>
  <si>
    <t>3.3.</t>
  </si>
  <si>
    <t>3.4.</t>
  </si>
  <si>
    <t>Капітальний ремонт інженерних мереж холодного водопостачання з улаштуванням приладів колективного обліку та водовідведення, електропостачання з улаштуванням приладів індивідуального обліку, автоматичної системи пожежної сигналізації, капітальний ремонт ліфтів, гідроізоляція душових в гуртожитку за адресою: Одеська область, Одеський район, м.Чорноморськ, вул.Олександрійська, 16 (за рахунок цільових коштів від ДП МТП "Чорноморськ", отриманих 07.02.2022р. відповідно до Угоди пайової участі у витратах, необхідних для проведення капітального ремонту об’єктів житлового фонду та об’єктів соціальної інфраструктури від 21 січня 2022 року)</t>
  </si>
  <si>
    <t>Матеріально-технічне забезпечення військової частини А0515</t>
  </si>
  <si>
    <t>Матеріально-технічне забезпечення військової частини А1744</t>
  </si>
  <si>
    <t>Матеріально-технічне забезпечення військової частини А3346 (через військову частину А3519)</t>
  </si>
  <si>
    <t>7.3.</t>
  </si>
  <si>
    <t>Ольга ЯКОВЕНКО</t>
  </si>
  <si>
    <t>№12502 від 28.10.25</t>
  </si>
  <si>
    <t>Олександрівська с/а - придбання продуктів харчування для забезпечення роботи Пункту Незламності (відповідно до постанови КМУ від 17.12.2022р. № 1401 (зі змінами))</t>
  </si>
  <si>
    <t>6030</t>
  </si>
  <si>
    <t>Організація благоустрою населених пунктів</t>
  </si>
  <si>
    <t>Олександрівська с/а - поточний ремонт (відсипка) дорожнього покриття по вул.Тіниста; встановлення дорожніх дзеркал на перехресті вулиць Розвитку та Єдності</t>
  </si>
  <si>
    <t>№12346 від 23.10.25</t>
  </si>
  <si>
    <t>Придбання пально-мастильних матеріалів для посилення громадської безпеки та охорони об'єктів, що забезпечують життєдіяльність населення Чорноморської міської територіальної громади, із залученням  громадських формувань на період воєнного стану</t>
  </si>
  <si>
    <t>№12623 від 30.10.25</t>
  </si>
  <si>
    <t>Поточний ремонт приміщення котельної КНП "Чорноморська лікарня" Чорноморської міської ради Одеського району Одеської області за адресою: Одеська область, Одеський район, м.Чорноморськ, вул.Віталія Шума, 4 літ."Д" з проведенням демонтажу димової труби</t>
  </si>
  <si>
    <t xml:space="preserve">КНП "Чорноморська лікарня" - забезпечення надання медичної допомоги дітям (учням)  у закладах освіти </t>
  </si>
  <si>
    <t>Заходи та роботи з територіальної оборони</t>
  </si>
  <si>
    <t>розп. ООД(В)А</t>
  </si>
  <si>
    <t>Заохочення та відзначення осіб (працівників), які виконують роботи з будівництва фортифікаційних споруд на територіях, де ведуться бойові дії (за рахунок субвенції з обласного бюджету Одеської області згідно розпорядження ООД(В)А від 29.10.2025 № 1120/А-2025)</t>
  </si>
  <si>
    <t>Капітальний ремонт підвального приміщення з пристосуванням під СПП з властивостями ПРУ в будівлі Чорноморського ліцею № 4 Чорноморської міської ради Одеського району Одеської області, за адресою Одеська область, Одеський район, м.Чорноморськ, вулиця 1 Травня, 9-А</t>
  </si>
  <si>
    <t>Капітальний ремонт вентиляції (Найпростішого укриття) в будівлі Чорноморського ліцею № 4 Чорноморської міської ради Одеського району Одеської області. За адресою Одеська область, Одеський район, м.Чорноморськ, вулиця
1 Травня, 9-А</t>
  </si>
  <si>
    <t>Заходи державної політики з питань сім`ї</t>
  </si>
  <si>
    <t>Оплата комунальних послуг (електроенергія)</t>
  </si>
  <si>
    <t>розр.</t>
  </si>
  <si>
    <t>Інші заходи, пов`язані з економічною діяльністю</t>
  </si>
  <si>
    <t>КП "Чорноморськводоканал" - фінансова підтримка</t>
  </si>
  <si>
    <t>КП "Чорноморськтеплоенерго" - фінансова підтримка</t>
  </si>
  <si>
    <t>№12239 від 21.10.25</t>
  </si>
  <si>
    <t>№10589 від 11.09.25, №12398 від 24.10.25</t>
  </si>
  <si>
    <t>Забезпечення діяльності водопровідно-каналізаційного господарства</t>
  </si>
  <si>
    <t>Поточний ремонт РЧВ 2000 м3 за адресою: Одеська область, Одеський район, м.Чорноморську, вул.Транспортна, 11</t>
  </si>
  <si>
    <t>№12635 від 31.10.25</t>
  </si>
  <si>
    <t>Встановлення насосних станцій (заміна обладнання)</t>
  </si>
  <si>
    <t>Будівництво об'єктів житлово-комунального господарства</t>
  </si>
  <si>
    <t>Охорона водних ресурсів / Поточний ремонт камери на каналізаційному напірному колекторі за адресою: Одеська область, Одеський район, с.Молодіжне, на розі вул.Дукова та вул.Богдана Хмельницького</t>
  </si>
  <si>
    <t>Охорона водних ресурсів / Поточний ремонт камери на каналізаційному напірному колекторі в районі КОС м.Чорноморська  за адресою: Одеська область, Одеський район, Дальницька сільрада, комплект будівель і споруд № 2 (за межами населеного пункту)</t>
  </si>
  <si>
    <t>№12636 від 31.10.25</t>
  </si>
  <si>
    <t>Капітальний ремонт гуртожитку (балконів) за адресою: Одеська область, Одеський район, м.Чорноморськ, вул.Олександрійська, 16</t>
  </si>
  <si>
    <t>Управління капітального будівництва</t>
  </si>
  <si>
    <t>Будівництво освітніх установ та закладів</t>
  </si>
  <si>
    <t>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адресою: м.Чорноморськ, с.Бурлача Балка, вул.Інститутська, 22. Коригування</t>
  </si>
  <si>
    <t>№11910 від 14.10.25</t>
  </si>
  <si>
    <t>6091</t>
  </si>
  <si>
    <t>Будівництво будівлі з улаштуванням  газопоршневої когенераційної установки (джерела резервного живлення) потужністю понад 1 мВт  на території котельні Комунального підприємства "Чорноморськтеплоенерго" Чорноморської міської ради Одеського району Одеської області за адресою : Одеська область, Одеський район, м.Чорноморськ, вул. Садова, 1. Коригування</t>
  </si>
  <si>
    <t>Будівництво самопливного колектору діаметром 400 мм від вул.1 Травня до вул.Промислова у м.Чорноморську Одеського району Одеської області</t>
  </si>
  <si>
    <t>Управління комунальної власності та земельних відносин</t>
  </si>
  <si>
    <t>7130</t>
  </si>
  <si>
    <t>Здійснення заходів із землеустрою</t>
  </si>
  <si>
    <t>Виготовлення технічної документації із землеустрою про нормативну грошову оцінку земель міста Чорноморська, с. Олександрівка, с. Б. Балка, с. Малодолинське</t>
  </si>
  <si>
    <t>№12573 від 29.10.25</t>
  </si>
  <si>
    <t>КП - Фірма "Райдуга" - фінансова підтримка</t>
  </si>
  <si>
    <t>Оплата інших енергоносіїв та інших комунальних послуг</t>
  </si>
  <si>
    <t>Оплата комунальних послуг (газопостачання)</t>
  </si>
  <si>
    <t>Роботи із забезпечення вогнезахисту (вогнезахисна обробка дерев'яних конструкцій даху протипожежними засобами)</t>
  </si>
  <si>
    <t>№12700 від 03.11.25</t>
  </si>
  <si>
    <t>№12720 від 03.11.25</t>
  </si>
  <si>
    <t>Оплата комунальних послуг (теплопостачання)</t>
  </si>
  <si>
    <t>Підрізання дерев та живих огорож</t>
  </si>
  <si>
    <t>Придбання будівельних матеріалів для організації ремонтних робіт з відновлення інфраструктури пришкільного стадіону Чорноморського ліцею № 6</t>
  </si>
  <si>
    <t>Придбання новорічних подарунків</t>
  </si>
  <si>
    <t>Поточний ремонт покрівлі Чорноморської спеціальної школи, розташованої за адресою: Одеська область, Одеський район, місто Чорноморськ, вулиця Пляжна, 3</t>
  </si>
  <si>
    <t>Оплата за послуги зберігання та сортування підручників для учнів закладів загальної середньої освіти</t>
  </si>
  <si>
    <t>Придбання продуктів харчування (печиво)</t>
  </si>
  <si>
    <t>Придбання води питної</t>
  </si>
  <si>
    <t>Аналізатор гематологічний автоматичний</t>
  </si>
  <si>
    <t>Капітальний ремонт (технічне переоснащення) частини внутрішньобудинкової зливної каналізації, системи водовідведення та водопостачання поліклініки КНП "Чорноморська лікарня" (Захисників України, 1)</t>
  </si>
  <si>
    <t>Технічне обслуговування системи пожежної сигналізації (вул.Віталія Шума, 4 та вул.Захисників України, 1)</t>
  </si>
  <si>
    <t>Оплата інших енергоносіїв (придбання дизельного пального для забезпечення роботи генератора)</t>
  </si>
  <si>
    <t>8.1.</t>
  </si>
  <si>
    <t>перерозп.</t>
  </si>
  <si>
    <t>Матеріально-технічне забезпечення військової частини А0216</t>
  </si>
  <si>
    <t>уточн.</t>
  </si>
  <si>
    <t>№5408 від 27.10.25</t>
  </si>
  <si>
    <t>Матеріально-технічне забезпечення військової частини А4210</t>
  </si>
  <si>
    <t>№5375 від 23.10.25</t>
  </si>
  <si>
    <t>Матеріально-технічне забезпечення військової частини А4219</t>
  </si>
  <si>
    <t>№4643 від 16.09.25</t>
  </si>
  <si>
    <t>Матеріально-технічне забезпечення військової частини А4648</t>
  </si>
  <si>
    <t>№5411 від 27.10.25</t>
  </si>
  <si>
    <t>Матеріально-технічне забезпечення Головного управління поліції в Одеській області</t>
  </si>
  <si>
    <t>№5528 від 31.10.25</t>
  </si>
  <si>
    <t>Матеріально-технічне забезпечення Управління Служби безпеки України в Одеській області</t>
  </si>
  <si>
    <t>№12736 від 03.11.25</t>
  </si>
  <si>
    <t>Виконавчий комiтет Чорноморської мiської ради Одеського району Одеської областi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</si>
  <si>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</si>
  <si>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</si>
  <si>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</si>
  <si>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Оплата праці з нарахуваннями разом, в т.ч.:</t>
  </si>
  <si>
    <t>Служба у справах дітей</t>
  </si>
  <si>
    <t>7.4.</t>
  </si>
  <si>
    <t>7.5.</t>
  </si>
  <si>
    <t>8.</t>
  </si>
  <si>
    <t>8.2.</t>
  </si>
  <si>
    <t>8.3.</t>
  </si>
  <si>
    <t>9.</t>
  </si>
  <si>
    <t>9.1.</t>
  </si>
  <si>
    <t>9.2.</t>
  </si>
  <si>
    <t>9.3.</t>
  </si>
  <si>
    <t>10.</t>
  </si>
  <si>
    <t>10.1.</t>
  </si>
  <si>
    <t>10.2.</t>
  </si>
  <si>
    <t>Заходи та роботи з мобілізаційної підготовки місцевого значення</t>
  </si>
  <si>
    <t>Здійснення заходів щодо забезпечення поставки людських і транспортних ресурсів у військово-організаційні структури</t>
  </si>
  <si>
    <t>1.9.</t>
  </si>
  <si>
    <t>Виплата одноразової матеріальної допомоги  особам, які відповідно до розпорядчих документів, брали  участь  від Чорноморської міської територіальної громади  у  виконанні оперативних завдань з посилення оборони на території Донецької області  із розрахунку 2 500 гривень на добу відповідно до поданої заяви (за окремим розрахунком)</t>
  </si>
  <si>
    <t>Гідравлічне випробування систем опалення та водопостачання будівлі поліклініки КНП "Чорноморська лікарня" Чорноморської міської ради Одеського району Одеської області за адресою: м.Чорноморськ, вул.Захисників України, 1 та будівлі інфекційного відділення літ."Б" КНП "Чорноморська лікарня" Чорноморської міської ради Одеського району Одеської області за адресою: м.Чорноморськ, вул.Віталія Шума, 4</t>
  </si>
  <si>
    <t>№12623 від 30.10.25
№12736 від 03.11.25</t>
  </si>
  <si>
    <t>Послуги з проведення лабараторно-інструментальних досліджень</t>
  </si>
  <si>
    <t>Послуги з дезінсекції</t>
  </si>
  <si>
    <t>Послуги з дератизації</t>
  </si>
  <si>
    <t>Послуги з проведення практичних тренінгів та фіт-тестувань</t>
  </si>
  <si>
    <t>0180</t>
  </si>
  <si>
    <t>Інша діяльність у сфері державного управління</t>
  </si>
  <si>
    <t>1.10.</t>
  </si>
  <si>
    <t>5.2.</t>
  </si>
  <si>
    <t>Інші заходи в галузі культури і мистецтва</t>
  </si>
  <si>
    <t>4082</t>
  </si>
  <si>
    <t>№12777 від 04.11.25</t>
  </si>
  <si>
    <t>Придбання медичного обладнання для оснащення лікарняного банку крови</t>
  </si>
  <si>
    <t>Придбання медичного обладнання для надання реабілітаційної допомоги дорослим та дітям в амбулаторних умовах та забезпечення якісних хірургічних операцій дорослим та дітям в стаціонарних умовах</t>
  </si>
  <si>
    <t>№12919 від 06.11.25</t>
  </si>
  <si>
    <t>За рахунок перевиконання доходів загального фонду</t>
  </si>
  <si>
    <t>Стоматологічна допомога населенню</t>
  </si>
  <si>
    <t>№12911 від 06.11.25</t>
  </si>
  <si>
    <t>Придбання цифрової рентгенологічної системи на 2 робочих місця (виконання вимог для укладання пакетів медичних послуг с НСЗУ)</t>
  </si>
  <si>
    <t>Придбання стоматологічного обладнання (виконання вимог для укладання пакетів медичних послуг с НСЗУ)</t>
  </si>
  <si>
    <t>Первинна медична допомога населенню, що надається центрами первинної медичної (медико-санітарної) допомоги</t>
  </si>
  <si>
    <t>КНП "Чорноморський міський центр первинної медико-санітарної допомоги" / відшкодування вартості лікарських засобів пільгової категорії населення</t>
  </si>
  <si>
    <t>7351</t>
  </si>
  <si>
    <t>Розроблення комплексних планів просторового розвитку територій територіальних громад</t>
  </si>
  <si>
    <t>1.11.</t>
  </si>
  <si>
    <t>1.12.</t>
  </si>
  <si>
    <t>1.13.</t>
  </si>
  <si>
    <t>№12913 від 06.11.25</t>
  </si>
  <si>
    <t>Придбання шкільного автобусу</t>
  </si>
  <si>
    <t>Капітальний ремонт покрівлі будівлі КДЮСШ, розташованої за адресою: Одеська область, Одеський район, місто Чорноморськ, Захисників України, 8-Е</t>
  </si>
  <si>
    <t>3.5.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</si>
  <si>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</si>
  <si>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Реконструкція напірного каналізаційного колектору за адресою: Одеська область, Одеський район, м.Чорноморськ, від вул.Космонавтів, 59Г в с.Малодолинське до вул.Світла, 51 в смт.Олександрівка (коригування)</t>
  </si>
  <si>
    <t>№12867 від 05.11.25</t>
  </si>
  <si>
    <t>Реконструкція водогону Дн 600 мм на рибпорт в с.Бурлача Балка Одеського району Одеської області на ділянці в районі с.Сухий Лиман довжиною 460м</t>
  </si>
  <si>
    <t>№12866 від 05.11.25</t>
  </si>
  <si>
    <t>№12850 від 05.11.25</t>
  </si>
  <si>
    <t>Співфінансування ОСББ за Міською цільовою програмою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 - корегування за фактично укладеними договорами</t>
  </si>
  <si>
    <t xml:space="preserve">За рахунок доходів/субвенцій </t>
  </si>
  <si>
    <t>Придбання автопідйомника телескопічного для виконання заходів з благоустрою</t>
  </si>
  <si>
    <t>№12851 від 06.11.25</t>
  </si>
  <si>
    <t>Заходи з енергозбереження</t>
  </si>
  <si>
    <t>Капітальний ремонт житлового будинку (заміна вікон) за адресою: м.Чорноморськ, вул.Корабельна, 6-А</t>
  </si>
  <si>
    <t>7.6.</t>
  </si>
  <si>
    <t>Придбання модульних (мобільних) укриттів як засобу захисту населення Чорноморської міської територіальної громади (за рахунок благодійної фінансової допомоги на безоплатній основі від Ганзейського міста Вісмар, Німеччина)</t>
  </si>
  <si>
    <t>дог.від 21.10.25</t>
  </si>
  <si>
    <t>7370</t>
  </si>
  <si>
    <t>Реалізація інших заходів щодо соціально-економічного розвитку територій</t>
  </si>
  <si>
    <t>Збільшення електропотужностей для 13-го мікрорайону міста Чорноморськ, Одеської області</t>
  </si>
  <si>
    <t>№12694 від 03.11.25</t>
  </si>
  <si>
    <t xml:space="preserve">          спеціальний фонд разом, в т.ч.:</t>
  </si>
  <si>
    <t xml:space="preserve">                                           бюджет розвитку</t>
  </si>
  <si>
    <t xml:space="preserve">                                           цільовий фонд</t>
  </si>
  <si>
    <t>за рахунок цільових надходжень</t>
  </si>
  <si>
    <t>Медикаменти та перев'язувальні матеріали</t>
  </si>
  <si>
    <t>Оплата послуг (крім комунальних)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</si>
  <si>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</si>
  <si>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Капітальні видатки / Придбання обладнання</t>
  </si>
  <si>
    <t>Капітальний ремонт з утепленням покрівлі нежитлової будівлі відділення сімейної медицини за адресою: вул.Перемоги, 64, селище Олександрівка, м.Чорноморськ / розробка проектно-кошторисної документації</t>
  </si>
  <si>
    <t>Поточний ремонт нежитлових приміщень за адресою: 68005, вул.Захисників України, 1, м.Чорноморськ, Одеського району, Одеської області</t>
  </si>
  <si>
    <t>Предмети, матеріали, обладнання та інвентар / придбання кондиціонерів</t>
  </si>
  <si>
    <t>КНП "Чорноморський міський центр первинної медико-санітарної допомоги" / придбання пально-мастильних матеріалів для забезпечення роботи генератора</t>
  </si>
  <si>
    <t>№12897 від 06.11.25</t>
  </si>
  <si>
    <t>№12930 від 07.11.25</t>
  </si>
  <si>
    <t>Внески до статутного капіталу суб'єктів господарювання</t>
  </si>
  <si>
    <t>КП "Чорноморськводоканал" - придбання перетворювачів частоти</t>
  </si>
  <si>
    <t>7.7.</t>
  </si>
  <si>
    <t>7670</t>
  </si>
  <si>
    <t>8.4.</t>
  </si>
  <si>
    <t>8.5.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</si>
</sst>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4" fontId="1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4" fontId="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" fontId="3" fillId="3" borderId="1" xfId="0" applyNumberFormat="1" applyFont="1" applyFill="1" applyBorder="1" applyAlignment="1">
      <alignment horizontal="center" vertical="center"/>
    </xf>
    <xf numFmtId="4" fontId="3" fillId="3" borderId="1" xfId="0" quotePrefix="1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6" fillId="2" borderId="0" xfId="0" applyFont="1" applyFill="1"/>
    <xf numFmtId="16" fontId="2" fillId="3" borderId="1" xfId="0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left" wrapText="1"/>
    </xf>
    <xf numFmtId="4" fontId="2" fillId="3" borderId="0" xfId="0" applyNumberFormat="1" applyFont="1" applyFill="1" applyAlignment="1">
      <alignment horizontal="left" wrapText="1"/>
    </xf>
    <xf numFmtId="0" fontId="1" fillId="3" borderId="0" xfId="0" applyFont="1" applyFill="1"/>
    <xf numFmtId="17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9" fillId="3" borderId="3" xfId="0" quotePrefix="1" applyFont="1" applyFill="1" applyBorder="1" applyAlignment="1">
      <alignment horizontal="left" vertical="center" wrapText="1"/>
    </xf>
    <xf numFmtId="0" fontId="8" fillId="3" borderId="3" xfId="0" quotePrefix="1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13" fillId="3" borderId="1" xfId="2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9" xfId="1"/>
    <cellStyle name="Обычный_дод 3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8"/>
  <sheetViews>
    <sheetView tabSelected="1" view="pageBreakPreview" zoomScale="70" zoomScaleNormal="100" zoomScaleSheetLayoutView="70" workbookViewId="0">
      <pane xSplit="4" ySplit="5" topLeftCell="E141" activePane="bottomRight" state="frozen"/>
      <selection pane="topRight" activeCell="E1" sqref="E1"/>
      <selection pane="bottomLeft" activeCell="A6" sqref="A6"/>
      <selection pane="bottomRight" activeCell="C16" sqref="C16"/>
    </sheetView>
  </sheetViews>
  <sheetFormatPr defaultColWidth="8.88671875" defaultRowHeight="15.6" x14ac:dyDescent="0.3"/>
  <cols>
    <col min="1" max="1" width="5.33203125" style="10" customWidth="1"/>
    <col min="2" max="2" width="13" style="9" customWidth="1"/>
    <col min="3" max="3" width="64.5546875" style="11" customWidth="1"/>
    <col min="4" max="4" width="17.88671875" style="11" customWidth="1"/>
    <col min="5" max="5" width="17" style="11" customWidth="1"/>
    <col min="6" max="9" width="17.33203125" style="11" customWidth="1"/>
    <col min="10" max="10" width="17.88671875" style="11" customWidth="1"/>
    <col min="11" max="11" width="16.6640625" style="11" customWidth="1"/>
    <col min="12" max="12" width="17" style="11" customWidth="1"/>
    <col min="13" max="13" width="16.6640625" style="11" customWidth="1"/>
    <col min="14" max="14" width="16.44140625" style="1" bestFit="1" customWidth="1"/>
    <col min="15" max="16384" width="8.88671875" style="1"/>
  </cols>
  <sheetData>
    <row r="1" spans="1:14" x14ac:dyDescent="0.3">
      <c r="A1" s="10" t="s">
        <v>16</v>
      </c>
      <c r="K1" s="29"/>
      <c r="M1" s="29" t="s">
        <v>17</v>
      </c>
    </row>
    <row r="2" spans="1:14" ht="25.95" customHeight="1" x14ac:dyDescent="0.3">
      <c r="A2" s="108" t="s">
        <v>23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4" spans="1:14" ht="68.400000000000006" customHeight="1" x14ac:dyDescent="0.3">
      <c r="A4" s="109" t="s">
        <v>10</v>
      </c>
      <c r="B4" s="110"/>
      <c r="C4" s="109" t="s">
        <v>16</v>
      </c>
      <c r="D4" s="109" t="s">
        <v>9</v>
      </c>
      <c r="E4" s="109" t="s">
        <v>18</v>
      </c>
      <c r="F4" s="109"/>
      <c r="G4" s="111" t="s">
        <v>228</v>
      </c>
      <c r="H4" s="112"/>
      <c r="I4" s="99" t="s">
        <v>205</v>
      </c>
      <c r="J4" s="109" t="s">
        <v>58</v>
      </c>
      <c r="K4" s="109"/>
      <c r="L4" s="109"/>
      <c r="M4" s="109"/>
      <c r="N4" s="37"/>
    </row>
    <row r="5" spans="1:14" s="2" customFormat="1" ht="46.8" x14ac:dyDescent="0.3">
      <c r="A5" s="109"/>
      <c r="B5" s="110"/>
      <c r="C5" s="109"/>
      <c r="D5" s="109"/>
      <c r="E5" s="5" t="s">
        <v>19</v>
      </c>
      <c r="F5" s="5" t="s">
        <v>20</v>
      </c>
      <c r="G5" s="5" t="s">
        <v>19</v>
      </c>
      <c r="H5" s="97" t="s">
        <v>44</v>
      </c>
      <c r="I5" s="97" t="s">
        <v>20</v>
      </c>
      <c r="J5" s="5" t="s">
        <v>19</v>
      </c>
      <c r="K5" s="5" t="s">
        <v>20</v>
      </c>
      <c r="L5" s="85" t="s">
        <v>74</v>
      </c>
      <c r="M5" s="5" t="s">
        <v>44</v>
      </c>
    </row>
    <row r="6" spans="1:14" s="19" customFormat="1" ht="17.399999999999999" x14ac:dyDescent="0.3">
      <c r="A6" s="31" t="s">
        <v>0</v>
      </c>
      <c r="B6" s="18"/>
      <c r="C6" s="32" t="s">
        <v>1</v>
      </c>
      <c r="D6" s="25">
        <f t="shared" ref="D6:D40" si="0">SUM(E6:M6)</f>
        <v>3843875</v>
      </c>
      <c r="E6" s="25">
        <f t="shared" ref="E6:M6" si="1">E7+E13+E14+E28+E30+E38+E41+E43+E44+E47+E49+E51+E53</f>
        <v>-119128.89999999991</v>
      </c>
      <c r="F6" s="25">
        <f t="shared" si="1"/>
        <v>-1922394.1</v>
      </c>
      <c r="G6" s="25">
        <f t="shared" si="1"/>
        <v>385398</v>
      </c>
      <c r="H6" s="25">
        <f t="shared" si="1"/>
        <v>0</v>
      </c>
      <c r="I6" s="25">
        <f t="shared" si="1"/>
        <v>5500000</v>
      </c>
      <c r="J6" s="25">
        <f t="shared" si="1"/>
        <v>0</v>
      </c>
      <c r="K6" s="25">
        <f t="shared" si="1"/>
        <v>0</v>
      </c>
      <c r="L6" s="25">
        <f t="shared" si="1"/>
        <v>0</v>
      </c>
      <c r="M6" s="25">
        <f t="shared" si="1"/>
        <v>0</v>
      </c>
    </row>
    <row r="7" spans="1:14" s="8" customFormat="1" ht="62.4" x14ac:dyDescent="0.3">
      <c r="A7" s="33" t="s">
        <v>11</v>
      </c>
      <c r="B7" s="40" t="s">
        <v>53</v>
      </c>
      <c r="C7" s="28" t="s">
        <v>54</v>
      </c>
      <c r="D7" s="6">
        <f t="shared" si="0"/>
        <v>-202000</v>
      </c>
      <c r="E7" s="7">
        <f>E8</f>
        <v>-202000</v>
      </c>
      <c r="F7" s="7"/>
      <c r="G7" s="7"/>
      <c r="H7" s="7"/>
      <c r="I7" s="7"/>
      <c r="J7" s="7"/>
      <c r="K7" s="7"/>
      <c r="L7" s="7"/>
      <c r="M7" s="7"/>
    </row>
    <row r="8" spans="1:14" s="67" customFormat="1" x14ac:dyDescent="0.3">
      <c r="A8" s="63"/>
      <c r="B8" s="71" t="s">
        <v>107</v>
      </c>
      <c r="C8" s="68" t="s">
        <v>171</v>
      </c>
      <c r="D8" s="36">
        <f t="shared" si="0"/>
        <v>-202000</v>
      </c>
      <c r="E8" s="61">
        <f>SUM(E9:E12)</f>
        <v>-202000</v>
      </c>
      <c r="F8" s="61"/>
      <c r="G8" s="61"/>
      <c r="H8" s="61"/>
      <c r="I8" s="61"/>
      <c r="J8" s="61"/>
      <c r="K8" s="61"/>
      <c r="L8" s="61"/>
      <c r="M8" s="61"/>
    </row>
    <row r="9" spans="1:14" s="20" customFormat="1" ht="31.2" x14ac:dyDescent="0.3">
      <c r="A9" s="34"/>
      <c r="B9" s="35"/>
      <c r="C9" s="55" t="s">
        <v>167</v>
      </c>
      <c r="D9" s="36">
        <f t="shared" si="0"/>
        <v>-680000</v>
      </c>
      <c r="E9" s="36">
        <v>-680000</v>
      </c>
      <c r="F9" s="36"/>
      <c r="G9" s="36"/>
      <c r="H9" s="36"/>
      <c r="I9" s="36"/>
      <c r="J9" s="36"/>
      <c r="K9" s="36"/>
      <c r="L9" s="36"/>
      <c r="M9" s="36"/>
    </row>
    <row r="10" spans="1:14" s="20" customFormat="1" ht="31.2" x14ac:dyDescent="0.3">
      <c r="A10" s="34"/>
      <c r="B10" s="35"/>
      <c r="C10" s="55" t="s">
        <v>168</v>
      </c>
      <c r="D10" s="36">
        <f t="shared" si="0"/>
        <v>216000</v>
      </c>
      <c r="E10" s="36">
        <v>216000</v>
      </c>
      <c r="F10" s="36"/>
      <c r="G10" s="36"/>
      <c r="H10" s="36"/>
      <c r="I10" s="36"/>
      <c r="J10" s="36"/>
      <c r="K10" s="36"/>
      <c r="L10" s="36"/>
      <c r="M10" s="36"/>
    </row>
    <row r="11" spans="1:14" s="20" customFormat="1" ht="31.2" x14ac:dyDescent="0.3">
      <c r="A11" s="34"/>
      <c r="B11" s="35"/>
      <c r="C11" s="55" t="s">
        <v>169</v>
      </c>
      <c r="D11" s="36">
        <f t="shared" si="0"/>
        <v>85000</v>
      </c>
      <c r="E11" s="36">
        <v>85000</v>
      </c>
      <c r="F11" s="36"/>
      <c r="G11" s="36"/>
      <c r="H11" s="36"/>
      <c r="I11" s="36"/>
      <c r="J11" s="36"/>
      <c r="K11" s="36"/>
      <c r="L11" s="36"/>
      <c r="M11" s="36"/>
    </row>
    <row r="12" spans="1:14" s="20" customFormat="1" ht="31.2" x14ac:dyDescent="0.3">
      <c r="A12" s="34"/>
      <c r="B12" s="35"/>
      <c r="C12" s="55" t="s">
        <v>170</v>
      </c>
      <c r="D12" s="36">
        <f t="shared" si="0"/>
        <v>177000</v>
      </c>
      <c r="E12" s="36">
        <v>177000</v>
      </c>
      <c r="F12" s="36"/>
      <c r="G12" s="36"/>
      <c r="H12" s="36"/>
      <c r="I12" s="36"/>
      <c r="J12" s="36"/>
      <c r="K12" s="36"/>
      <c r="L12" s="36"/>
      <c r="M12" s="36"/>
    </row>
    <row r="13" spans="1:14" s="8" customFormat="1" x14ac:dyDescent="0.3">
      <c r="A13" s="33" t="s">
        <v>25</v>
      </c>
      <c r="B13" s="40" t="s">
        <v>195</v>
      </c>
      <c r="C13" s="28" t="s">
        <v>196</v>
      </c>
      <c r="D13" s="6">
        <f t="shared" si="0"/>
        <v>-30000</v>
      </c>
      <c r="E13" s="7">
        <f>-20000-10000</f>
        <v>-30000</v>
      </c>
      <c r="F13" s="7"/>
      <c r="G13" s="7"/>
      <c r="H13" s="7"/>
      <c r="I13" s="7"/>
      <c r="J13" s="7"/>
      <c r="K13" s="7"/>
      <c r="L13" s="7"/>
      <c r="M13" s="7"/>
    </row>
    <row r="14" spans="1:14" s="8" customFormat="1" x14ac:dyDescent="0.3">
      <c r="A14" s="33" t="s">
        <v>26</v>
      </c>
      <c r="B14" s="17">
        <v>2010</v>
      </c>
      <c r="C14" s="28" t="s">
        <v>55</v>
      </c>
      <c r="D14" s="6">
        <f t="shared" si="0"/>
        <v>6136177</v>
      </c>
      <c r="E14" s="7">
        <f>SUM(E15:E27)</f>
        <v>-975433.89999999991</v>
      </c>
      <c r="F14" s="7">
        <f t="shared" ref="F14:I14" si="2">SUM(F15:F27)</f>
        <v>1611610.9</v>
      </c>
      <c r="G14" s="7"/>
      <c r="H14" s="7"/>
      <c r="I14" s="7">
        <f t="shared" si="2"/>
        <v>5500000</v>
      </c>
      <c r="J14" s="7"/>
      <c r="K14" s="7"/>
      <c r="L14" s="7"/>
      <c r="M14" s="7"/>
    </row>
    <row r="15" spans="1:14" s="20" customFormat="1" ht="78" x14ac:dyDescent="0.3">
      <c r="A15" s="34"/>
      <c r="B15" s="35" t="s">
        <v>190</v>
      </c>
      <c r="C15" s="30" t="s">
        <v>98</v>
      </c>
      <c r="D15" s="36">
        <f t="shared" si="0"/>
        <v>-4592.9399999999996</v>
      </c>
      <c r="E15" s="36">
        <f>-4100-492.94</f>
        <v>-4592.9399999999996</v>
      </c>
      <c r="F15" s="36"/>
      <c r="G15" s="36"/>
      <c r="H15" s="36"/>
      <c r="I15" s="36"/>
      <c r="J15" s="36"/>
      <c r="K15" s="36"/>
      <c r="L15" s="36"/>
      <c r="M15" s="36"/>
    </row>
    <row r="16" spans="1:14" s="20" customFormat="1" ht="124.8" x14ac:dyDescent="0.3">
      <c r="A16" s="34"/>
      <c r="B16" s="35" t="s">
        <v>166</v>
      </c>
      <c r="C16" s="46" t="s">
        <v>189</v>
      </c>
      <c r="D16" s="36">
        <f t="shared" si="0"/>
        <v>-50095.199999999997</v>
      </c>
      <c r="E16" s="38">
        <f>-44316-5779.2</f>
        <v>-50095.199999999997</v>
      </c>
      <c r="F16" s="36"/>
      <c r="G16" s="36"/>
      <c r="H16" s="36"/>
      <c r="I16" s="36"/>
      <c r="J16" s="36"/>
      <c r="K16" s="36"/>
      <c r="L16" s="36"/>
      <c r="M16" s="36"/>
    </row>
    <row r="17" spans="1:13" s="20" customFormat="1" ht="31.2" x14ac:dyDescent="0.3">
      <c r="A17" s="34"/>
      <c r="B17" s="35" t="s">
        <v>166</v>
      </c>
      <c r="C17" s="46" t="s">
        <v>150</v>
      </c>
      <c r="D17" s="36">
        <f t="shared" si="0"/>
        <v>-780900</v>
      </c>
      <c r="E17" s="38">
        <f>-780900</f>
        <v>-780900</v>
      </c>
      <c r="F17" s="36"/>
      <c r="G17" s="36"/>
      <c r="H17" s="36"/>
      <c r="I17" s="36"/>
      <c r="J17" s="36"/>
      <c r="K17" s="36"/>
      <c r="L17" s="36"/>
      <c r="M17" s="36"/>
    </row>
    <row r="18" spans="1:13" s="20" customFormat="1" ht="31.2" x14ac:dyDescent="0.3">
      <c r="A18" s="34"/>
      <c r="B18" s="35" t="s">
        <v>166</v>
      </c>
      <c r="C18" s="46" t="s">
        <v>151</v>
      </c>
      <c r="D18" s="36">
        <f t="shared" si="0"/>
        <v>-139845.76000000001</v>
      </c>
      <c r="E18" s="38">
        <f>-139845.76</f>
        <v>-139845.76000000001</v>
      </c>
      <c r="F18" s="36"/>
      <c r="G18" s="36"/>
      <c r="H18" s="36"/>
      <c r="I18" s="36"/>
      <c r="J18" s="36"/>
      <c r="K18" s="36"/>
      <c r="L18" s="36"/>
      <c r="M18" s="36"/>
    </row>
    <row r="19" spans="1:13" s="20" customFormat="1" ht="31.2" x14ac:dyDescent="0.3">
      <c r="A19" s="34"/>
      <c r="B19" s="35" t="s">
        <v>166</v>
      </c>
      <c r="C19" s="46" t="s">
        <v>202</v>
      </c>
      <c r="D19" s="36">
        <f t="shared" si="0"/>
        <v>-121251.5</v>
      </c>
      <c r="E19" s="38"/>
      <c r="F19" s="38">
        <f>-61051.5-60200</f>
        <v>-121251.5</v>
      </c>
      <c r="G19" s="36"/>
      <c r="H19" s="36"/>
      <c r="I19" s="36"/>
      <c r="J19" s="36"/>
      <c r="K19" s="36"/>
      <c r="L19" s="36"/>
      <c r="M19" s="36"/>
    </row>
    <row r="20" spans="1:13" s="20" customFormat="1" ht="62.4" x14ac:dyDescent="0.3">
      <c r="A20" s="34"/>
      <c r="B20" s="35" t="s">
        <v>166</v>
      </c>
      <c r="C20" s="46" t="s">
        <v>203</v>
      </c>
      <c r="D20" s="36">
        <f t="shared" si="0"/>
        <v>-142254.5</v>
      </c>
      <c r="E20" s="38"/>
      <c r="F20" s="38">
        <f>-200000+122800-52930-12124.5</f>
        <v>-142254.5</v>
      </c>
      <c r="G20" s="36"/>
      <c r="H20" s="36"/>
      <c r="I20" s="36"/>
      <c r="J20" s="36"/>
      <c r="K20" s="36"/>
      <c r="L20" s="36"/>
      <c r="M20" s="36"/>
    </row>
    <row r="21" spans="1:13" s="20" customFormat="1" ht="31.2" x14ac:dyDescent="0.3">
      <c r="A21" s="34"/>
      <c r="B21" s="35" t="s">
        <v>166</v>
      </c>
      <c r="C21" s="46" t="s">
        <v>148</v>
      </c>
      <c r="D21" s="36">
        <f t="shared" si="0"/>
        <v>1234839.8999999999</v>
      </c>
      <c r="E21" s="38"/>
      <c r="F21" s="38">
        <v>1234839.8999999999</v>
      </c>
      <c r="G21" s="36"/>
      <c r="H21" s="36"/>
      <c r="I21" s="36"/>
      <c r="J21" s="36"/>
      <c r="K21" s="36"/>
      <c r="L21" s="36"/>
      <c r="M21" s="36"/>
    </row>
    <row r="22" spans="1:13" s="20" customFormat="1" ht="62.4" x14ac:dyDescent="0.3">
      <c r="A22" s="34"/>
      <c r="B22" s="35" t="s">
        <v>166</v>
      </c>
      <c r="C22" s="46" t="s">
        <v>149</v>
      </c>
      <c r="D22" s="36">
        <f t="shared" si="0"/>
        <v>640277</v>
      </c>
      <c r="E22" s="38"/>
      <c r="F22" s="36">
        <v>640277</v>
      </c>
      <c r="G22" s="36"/>
      <c r="H22" s="36"/>
      <c r="I22" s="36"/>
      <c r="J22" s="36"/>
      <c r="K22" s="36"/>
      <c r="L22" s="36"/>
      <c r="M22" s="36"/>
    </row>
    <row r="23" spans="1:13" s="20" customFormat="1" ht="31.2" x14ac:dyDescent="0.3">
      <c r="A23" s="34"/>
      <c r="B23" s="35" t="s">
        <v>201</v>
      </c>
      <c r="C23" s="46" t="s">
        <v>191</v>
      </c>
      <c r="D23" s="36">
        <f t="shared" si="0"/>
        <v>-100728</v>
      </c>
      <c r="E23" s="38">
        <f>-100728</f>
        <v>-100728</v>
      </c>
      <c r="F23" s="36"/>
      <c r="G23" s="36"/>
      <c r="H23" s="36"/>
      <c r="I23" s="36"/>
      <c r="J23" s="36"/>
      <c r="K23" s="36"/>
      <c r="L23" s="36"/>
      <c r="M23" s="36"/>
    </row>
    <row r="24" spans="1:13" s="20" customFormat="1" ht="31.2" x14ac:dyDescent="0.3">
      <c r="A24" s="34"/>
      <c r="B24" s="35" t="s">
        <v>201</v>
      </c>
      <c r="C24" s="46" t="s">
        <v>192</v>
      </c>
      <c r="D24" s="36">
        <f t="shared" si="0"/>
        <v>21480</v>
      </c>
      <c r="E24" s="38">
        <v>21480</v>
      </c>
      <c r="F24" s="36"/>
      <c r="G24" s="36"/>
      <c r="H24" s="36"/>
      <c r="I24" s="36"/>
      <c r="J24" s="36"/>
      <c r="K24" s="36"/>
      <c r="L24" s="36"/>
      <c r="M24" s="36"/>
    </row>
    <row r="25" spans="1:13" s="20" customFormat="1" ht="31.2" x14ac:dyDescent="0.3">
      <c r="A25" s="34"/>
      <c r="B25" s="35" t="s">
        <v>201</v>
      </c>
      <c r="C25" s="46" t="s">
        <v>193</v>
      </c>
      <c r="D25" s="36">
        <f t="shared" si="0"/>
        <v>6300</v>
      </c>
      <c r="E25" s="38">
        <v>6300</v>
      </c>
      <c r="F25" s="36"/>
      <c r="G25" s="36"/>
      <c r="H25" s="36"/>
      <c r="I25" s="36"/>
      <c r="J25" s="36"/>
      <c r="K25" s="36"/>
      <c r="L25" s="36"/>
      <c r="M25" s="36"/>
    </row>
    <row r="26" spans="1:13" s="20" customFormat="1" ht="31.2" x14ac:dyDescent="0.3">
      <c r="A26" s="34"/>
      <c r="B26" s="35" t="s">
        <v>201</v>
      </c>
      <c r="C26" s="46" t="s">
        <v>194</v>
      </c>
      <c r="D26" s="36">
        <f t="shared" si="0"/>
        <v>72948</v>
      </c>
      <c r="E26" s="38">
        <v>72948</v>
      </c>
      <c r="F26" s="36"/>
      <c r="G26" s="36"/>
      <c r="H26" s="36"/>
      <c r="I26" s="36"/>
      <c r="J26" s="36"/>
      <c r="K26" s="36"/>
      <c r="L26" s="36"/>
      <c r="M26" s="36"/>
    </row>
    <row r="27" spans="1:13" s="20" customFormat="1" ht="46.8" x14ac:dyDescent="0.3">
      <c r="A27" s="34"/>
      <c r="B27" s="35" t="s">
        <v>204</v>
      </c>
      <c r="C27" s="46" t="s">
        <v>208</v>
      </c>
      <c r="D27" s="36">
        <f t="shared" si="0"/>
        <v>5500000</v>
      </c>
      <c r="E27" s="38"/>
      <c r="F27" s="36"/>
      <c r="G27" s="36"/>
      <c r="H27" s="36"/>
      <c r="I27" s="36">
        <v>5500000</v>
      </c>
      <c r="J27" s="36"/>
      <c r="K27" s="36"/>
      <c r="L27" s="36"/>
      <c r="M27" s="36"/>
    </row>
    <row r="28" spans="1:13" s="8" customFormat="1" x14ac:dyDescent="0.3">
      <c r="A28" s="33" t="s">
        <v>27</v>
      </c>
      <c r="B28" s="17">
        <v>2100</v>
      </c>
      <c r="C28" s="98" t="s">
        <v>206</v>
      </c>
      <c r="D28" s="7">
        <f t="shared" si="0"/>
        <v>1157400</v>
      </c>
      <c r="E28" s="7">
        <f>E29</f>
        <v>470400</v>
      </c>
      <c r="F28" s="7">
        <f>F29</f>
        <v>687000</v>
      </c>
      <c r="G28" s="7"/>
      <c r="H28" s="7"/>
      <c r="I28" s="7"/>
      <c r="J28" s="7"/>
      <c r="K28" s="7"/>
      <c r="L28" s="7"/>
      <c r="M28" s="7"/>
    </row>
    <row r="29" spans="1:13" s="20" customFormat="1" ht="31.2" x14ac:dyDescent="0.3">
      <c r="A29" s="34"/>
      <c r="B29" s="35" t="s">
        <v>207</v>
      </c>
      <c r="C29" s="46" t="s">
        <v>209</v>
      </c>
      <c r="D29" s="36">
        <f t="shared" si="0"/>
        <v>1157400</v>
      </c>
      <c r="E29" s="38">
        <v>470400</v>
      </c>
      <c r="F29" s="36">
        <v>687000</v>
      </c>
      <c r="G29" s="36"/>
      <c r="H29" s="36"/>
      <c r="I29" s="36"/>
      <c r="J29" s="36"/>
      <c r="K29" s="36"/>
      <c r="L29" s="36"/>
      <c r="M29" s="36"/>
    </row>
    <row r="30" spans="1:13" s="8" customFormat="1" ht="31.2" x14ac:dyDescent="0.3">
      <c r="A30" s="33" t="s">
        <v>28</v>
      </c>
      <c r="B30" s="17">
        <v>2111</v>
      </c>
      <c r="C30" s="98" t="s">
        <v>210</v>
      </c>
      <c r="D30" s="7">
        <f>SUM(E30:M30)</f>
        <v>-535267</v>
      </c>
      <c r="E30" s="42">
        <f>SUM(E31:E37)</f>
        <v>-234262</v>
      </c>
      <c r="F30" s="42">
        <f>SUM(F31:F37)</f>
        <v>-301005</v>
      </c>
      <c r="G30" s="7"/>
      <c r="H30" s="7"/>
      <c r="I30" s="7"/>
      <c r="J30" s="7"/>
      <c r="K30" s="7"/>
      <c r="L30" s="7"/>
      <c r="M30" s="7"/>
    </row>
    <row r="31" spans="1:13" s="20" customFormat="1" ht="46.8" x14ac:dyDescent="0.3">
      <c r="A31" s="34"/>
      <c r="B31" s="35" t="s">
        <v>253</v>
      </c>
      <c r="C31" s="30" t="s">
        <v>249</v>
      </c>
      <c r="D31" s="36">
        <f t="shared" si="0"/>
        <v>72800</v>
      </c>
      <c r="E31" s="38">
        <v>72800</v>
      </c>
      <c r="F31" s="36"/>
      <c r="G31" s="36"/>
      <c r="H31" s="36"/>
      <c r="I31" s="36"/>
      <c r="J31" s="36"/>
      <c r="K31" s="36"/>
      <c r="L31" s="36"/>
      <c r="M31" s="36"/>
    </row>
    <row r="32" spans="1:13" s="105" customFormat="1" ht="31.2" x14ac:dyDescent="0.3">
      <c r="A32" s="101"/>
      <c r="B32" s="35" t="s">
        <v>253</v>
      </c>
      <c r="C32" s="102" t="s">
        <v>250</v>
      </c>
      <c r="D32" s="103">
        <f t="shared" si="0"/>
        <v>-75090</v>
      </c>
      <c r="E32" s="104">
        <v>-75090</v>
      </c>
      <c r="F32" s="103"/>
      <c r="G32" s="103"/>
      <c r="H32" s="103"/>
      <c r="I32" s="103"/>
      <c r="J32" s="103"/>
      <c r="K32" s="103"/>
      <c r="L32" s="103"/>
      <c r="M32" s="103"/>
    </row>
    <row r="33" spans="1:13" s="105" customFormat="1" ht="31.2" x14ac:dyDescent="0.3">
      <c r="A33" s="101"/>
      <c r="B33" s="35" t="s">
        <v>253</v>
      </c>
      <c r="C33" s="102" t="s">
        <v>244</v>
      </c>
      <c r="D33" s="103">
        <f t="shared" si="0"/>
        <v>-124112</v>
      </c>
      <c r="E33" s="104">
        <v>-124112</v>
      </c>
      <c r="F33" s="103"/>
      <c r="G33" s="103"/>
      <c r="H33" s="103"/>
      <c r="I33" s="103"/>
      <c r="J33" s="103"/>
      <c r="K33" s="103"/>
      <c r="L33" s="103"/>
      <c r="M33" s="103"/>
    </row>
    <row r="34" spans="1:13" s="105" customFormat="1" ht="31.2" x14ac:dyDescent="0.3">
      <c r="A34" s="101"/>
      <c r="B34" s="35" t="s">
        <v>253</v>
      </c>
      <c r="C34" s="102" t="s">
        <v>245</v>
      </c>
      <c r="D34" s="103">
        <f t="shared" si="0"/>
        <v>-107860</v>
      </c>
      <c r="E34" s="104">
        <v>-107860</v>
      </c>
      <c r="F34" s="103"/>
      <c r="G34" s="103"/>
      <c r="H34" s="103"/>
      <c r="I34" s="103"/>
      <c r="J34" s="103"/>
      <c r="K34" s="103"/>
      <c r="L34" s="103"/>
      <c r="M34" s="103"/>
    </row>
    <row r="35" spans="1:13" s="105" customFormat="1" ht="144" x14ac:dyDescent="0.3">
      <c r="A35" s="101"/>
      <c r="B35" s="35" t="s">
        <v>253</v>
      </c>
      <c r="C35" s="106" t="s">
        <v>246</v>
      </c>
      <c r="D35" s="103">
        <f t="shared" si="0"/>
        <v>-296299.88</v>
      </c>
      <c r="E35" s="104"/>
      <c r="F35" s="107">
        <v>-296299.88</v>
      </c>
      <c r="G35" s="103"/>
      <c r="H35" s="103"/>
      <c r="I35" s="103"/>
      <c r="J35" s="103"/>
      <c r="K35" s="103"/>
      <c r="L35" s="103"/>
      <c r="M35" s="103"/>
    </row>
    <row r="36" spans="1:13" s="105" customFormat="1" ht="31.2" x14ac:dyDescent="0.3">
      <c r="A36" s="101"/>
      <c r="B36" s="35" t="s">
        <v>253</v>
      </c>
      <c r="C36" s="106" t="s">
        <v>247</v>
      </c>
      <c r="D36" s="103">
        <f t="shared" si="0"/>
        <v>-3731</v>
      </c>
      <c r="E36" s="104"/>
      <c r="F36" s="107">
        <v>-3731</v>
      </c>
      <c r="G36" s="103"/>
      <c r="H36" s="103"/>
      <c r="I36" s="103"/>
      <c r="J36" s="103"/>
      <c r="K36" s="103"/>
      <c r="L36" s="103"/>
      <c r="M36" s="103"/>
    </row>
    <row r="37" spans="1:13" s="105" customFormat="1" ht="90" x14ac:dyDescent="0.3">
      <c r="A37" s="101"/>
      <c r="B37" s="35" t="s">
        <v>253</v>
      </c>
      <c r="C37" s="106" t="s">
        <v>248</v>
      </c>
      <c r="D37" s="103">
        <f t="shared" si="0"/>
        <v>-974.12</v>
      </c>
      <c r="E37" s="104"/>
      <c r="F37" s="107">
        <f>-974.38+0.26</f>
        <v>-974.12</v>
      </c>
      <c r="G37" s="103"/>
      <c r="H37" s="103"/>
      <c r="I37" s="103"/>
      <c r="J37" s="103"/>
      <c r="K37" s="103"/>
      <c r="L37" s="103"/>
      <c r="M37" s="103"/>
    </row>
    <row r="38" spans="1:13" s="8" customFormat="1" x14ac:dyDescent="0.3">
      <c r="A38" s="52" t="s">
        <v>41</v>
      </c>
      <c r="B38" s="17">
        <v>2152</v>
      </c>
      <c r="C38" s="44" t="s">
        <v>62</v>
      </c>
      <c r="D38" s="7">
        <f t="shared" si="0"/>
        <v>504307</v>
      </c>
      <c r="E38" s="42">
        <f>E39+E40</f>
        <v>504307</v>
      </c>
      <c r="F38" s="53"/>
      <c r="G38" s="53"/>
      <c r="H38" s="53"/>
      <c r="I38" s="53"/>
      <c r="J38" s="53"/>
      <c r="K38" s="53"/>
      <c r="L38" s="42"/>
      <c r="M38" s="53"/>
    </row>
    <row r="39" spans="1:13" s="20" customFormat="1" ht="31.2" x14ac:dyDescent="0.3">
      <c r="A39" s="54"/>
      <c r="B39" s="86" t="s">
        <v>97</v>
      </c>
      <c r="C39" s="87" t="s">
        <v>99</v>
      </c>
      <c r="D39" s="36">
        <f t="shared" si="0"/>
        <v>4100</v>
      </c>
      <c r="E39" s="38">
        <v>4100</v>
      </c>
      <c r="F39" s="39"/>
      <c r="G39" s="39"/>
      <c r="H39" s="39"/>
      <c r="I39" s="39"/>
      <c r="J39" s="39"/>
      <c r="K39" s="39"/>
      <c r="L39" s="38"/>
      <c r="M39" s="39"/>
    </row>
    <row r="40" spans="1:13" s="20" customFormat="1" ht="46.8" x14ac:dyDescent="0.3">
      <c r="A40" s="54"/>
      <c r="B40" s="35" t="s">
        <v>253</v>
      </c>
      <c r="C40" s="87" t="s">
        <v>211</v>
      </c>
      <c r="D40" s="36">
        <f t="shared" si="0"/>
        <v>500207</v>
      </c>
      <c r="E40" s="38">
        <v>500207</v>
      </c>
      <c r="F40" s="39"/>
      <c r="G40" s="39"/>
      <c r="H40" s="39"/>
      <c r="I40" s="39"/>
      <c r="J40" s="39"/>
      <c r="K40" s="39"/>
      <c r="L40" s="38"/>
      <c r="M40" s="39"/>
    </row>
    <row r="41" spans="1:13" s="8" customFormat="1" x14ac:dyDescent="0.3">
      <c r="A41" s="52" t="s">
        <v>56</v>
      </c>
      <c r="B41" s="40" t="s">
        <v>92</v>
      </c>
      <c r="C41" s="41" t="s">
        <v>93</v>
      </c>
      <c r="D41" s="7">
        <f t="shared" ref="D41:D73" si="3">SUM(E41:M41)</f>
        <v>220000</v>
      </c>
      <c r="E41" s="53">
        <f>E42</f>
        <v>220000</v>
      </c>
      <c r="F41" s="53"/>
      <c r="G41" s="53"/>
      <c r="H41" s="53"/>
      <c r="I41" s="53"/>
      <c r="J41" s="53"/>
      <c r="K41" s="53"/>
      <c r="L41" s="53"/>
      <c r="M41" s="53"/>
    </row>
    <row r="42" spans="1:13" s="20" customFormat="1" ht="46.8" x14ac:dyDescent="0.3">
      <c r="A42" s="54"/>
      <c r="B42" s="43" t="s">
        <v>90</v>
      </c>
      <c r="C42" s="55" t="s">
        <v>94</v>
      </c>
      <c r="D42" s="36">
        <f t="shared" si="3"/>
        <v>220000</v>
      </c>
      <c r="E42" s="39">
        <f>170000+50000</f>
        <v>220000</v>
      </c>
      <c r="F42" s="39"/>
      <c r="G42" s="39"/>
      <c r="H42" s="39"/>
      <c r="I42" s="39"/>
      <c r="J42" s="39"/>
      <c r="K42" s="39"/>
      <c r="L42" s="39"/>
      <c r="M42" s="39"/>
    </row>
    <row r="43" spans="1:13" s="8" customFormat="1" ht="31.2" x14ac:dyDescent="0.3">
      <c r="A43" s="52" t="s">
        <v>76</v>
      </c>
      <c r="B43" s="40" t="s">
        <v>212</v>
      </c>
      <c r="C43" s="41" t="s">
        <v>213</v>
      </c>
      <c r="D43" s="7">
        <f t="shared" si="3"/>
        <v>-3920000</v>
      </c>
      <c r="E43" s="53"/>
      <c r="F43" s="53">
        <v>-3920000</v>
      </c>
      <c r="G43" s="53"/>
      <c r="H43" s="53"/>
      <c r="I43" s="53"/>
      <c r="J43" s="53"/>
      <c r="K43" s="53"/>
      <c r="L43" s="53"/>
      <c r="M43" s="53"/>
    </row>
    <row r="44" spans="1:13" s="8" customFormat="1" ht="31.2" x14ac:dyDescent="0.3">
      <c r="A44" s="52" t="s">
        <v>187</v>
      </c>
      <c r="B44" s="17">
        <v>8110</v>
      </c>
      <c r="C44" s="28" t="s">
        <v>48</v>
      </c>
      <c r="D44" s="7">
        <f t="shared" si="3"/>
        <v>127860</v>
      </c>
      <c r="E44" s="53">
        <f>E45+E46</f>
        <v>127860</v>
      </c>
      <c r="F44" s="53"/>
      <c r="G44" s="53"/>
      <c r="H44" s="53"/>
      <c r="I44" s="53"/>
      <c r="J44" s="53"/>
      <c r="K44" s="53"/>
      <c r="L44" s="53"/>
      <c r="M44" s="53"/>
    </row>
    <row r="45" spans="1:13" s="20" customFormat="1" ht="46.8" x14ac:dyDescent="0.3">
      <c r="A45" s="54"/>
      <c r="B45" s="35" t="s">
        <v>90</v>
      </c>
      <c r="C45" s="30" t="s">
        <v>91</v>
      </c>
      <c r="D45" s="36">
        <f t="shared" si="3"/>
        <v>20000</v>
      </c>
      <c r="E45" s="39">
        <v>20000</v>
      </c>
      <c r="F45" s="39"/>
      <c r="G45" s="39"/>
      <c r="H45" s="39"/>
      <c r="I45" s="39"/>
      <c r="J45" s="39"/>
      <c r="K45" s="39"/>
      <c r="L45" s="39"/>
      <c r="M45" s="39"/>
    </row>
    <row r="46" spans="1:13" s="20" customFormat="1" ht="46.8" x14ac:dyDescent="0.3">
      <c r="A46" s="54"/>
      <c r="B46" s="35" t="s">
        <v>253</v>
      </c>
      <c r="C46" s="30" t="s">
        <v>251</v>
      </c>
      <c r="D46" s="36">
        <f t="shared" ref="D46" si="4">SUM(E46:M46)</f>
        <v>107860</v>
      </c>
      <c r="E46" s="39">
        <v>107860</v>
      </c>
      <c r="F46" s="39"/>
      <c r="G46" s="39"/>
      <c r="H46" s="39"/>
      <c r="I46" s="39"/>
      <c r="J46" s="39"/>
      <c r="K46" s="39"/>
      <c r="L46" s="39"/>
      <c r="M46" s="39"/>
    </row>
    <row r="47" spans="1:13" s="8" customFormat="1" ht="31.2" x14ac:dyDescent="0.3">
      <c r="A47" s="52" t="s">
        <v>197</v>
      </c>
      <c r="B47" s="17">
        <v>8210</v>
      </c>
      <c r="C47" s="28" t="s">
        <v>45</v>
      </c>
      <c r="D47" s="7">
        <f t="shared" si="3"/>
        <v>-374477</v>
      </c>
      <c r="E47" s="53">
        <f>E48</f>
        <v>-374477</v>
      </c>
      <c r="F47" s="53"/>
      <c r="G47" s="53"/>
      <c r="H47" s="53"/>
      <c r="I47" s="53"/>
      <c r="J47" s="53"/>
      <c r="K47" s="53"/>
      <c r="L47" s="53"/>
      <c r="M47" s="53"/>
    </row>
    <row r="48" spans="1:13" s="20" customFormat="1" ht="31.2" x14ac:dyDescent="0.3">
      <c r="A48" s="54"/>
      <c r="B48" s="35" t="s">
        <v>95</v>
      </c>
      <c r="C48" s="30" t="s">
        <v>72</v>
      </c>
      <c r="D48" s="36">
        <f t="shared" si="3"/>
        <v>-374477</v>
      </c>
      <c r="E48" s="39">
        <v>-374477</v>
      </c>
      <c r="F48" s="39"/>
      <c r="G48" s="39"/>
      <c r="H48" s="39"/>
      <c r="I48" s="39"/>
      <c r="J48" s="39"/>
      <c r="K48" s="39"/>
      <c r="L48" s="39"/>
      <c r="M48" s="39"/>
    </row>
    <row r="49" spans="1:13" s="8" customFormat="1" ht="31.2" x14ac:dyDescent="0.3">
      <c r="A49" s="52" t="s">
        <v>214</v>
      </c>
      <c r="B49" s="17">
        <v>8220</v>
      </c>
      <c r="C49" s="28" t="s">
        <v>185</v>
      </c>
      <c r="D49" s="7">
        <f t="shared" si="3"/>
        <v>-450000</v>
      </c>
      <c r="E49" s="53">
        <f>E50</f>
        <v>-450000</v>
      </c>
      <c r="F49" s="53"/>
      <c r="G49" s="53"/>
      <c r="H49" s="53"/>
      <c r="I49" s="53"/>
      <c r="J49" s="53"/>
      <c r="K49" s="53"/>
      <c r="L49" s="53"/>
      <c r="M49" s="53"/>
    </row>
    <row r="50" spans="1:13" s="20" customFormat="1" ht="31.2" x14ac:dyDescent="0.3">
      <c r="A50" s="54"/>
      <c r="B50" s="35"/>
      <c r="C50" s="30" t="s">
        <v>186</v>
      </c>
      <c r="D50" s="36">
        <f t="shared" si="3"/>
        <v>-450000</v>
      </c>
      <c r="E50" s="39">
        <v>-450000</v>
      </c>
      <c r="F50" s="39"/>
      <c r="G50" s="39"/>
      <c r="H50" s="39"/>
      <c r="I50" s="39"/>
      <c r="J50" s="39"/>
      <c r="K50" s="39"/>
      <c r="L50" s="39"/>
      <c r="M50" s="39"/>
    </row>
    <row r="51" spans="1:13" s="8" customFormat="1" ht="31.2" x14ac:dyDescent="0.3">
      <c r="A51" s="52" t="s">
        <v>215</v>
      </c>
      <c r="B51" s="17">
        <v>8230</v>
      </c>
      <c r="C51" s="28" t="s">
        <v>73</v>
      </c>
      <c r="D51" s="7">
        <f t="shared" si="3"/>
        <v>374477</v>
      </c>
      <c r="E51" s="53">
        <f>E52</f>
        <v>374477</v>
      </c>
      <c r="F51" s="53"/>
      <c r="G51" s="53"/>
      <c r="H51" s="53"/>
      <c r="I51" s="53"/>
      <c r="J51" s="53"/>
      <c r="K51" s="53"/>
      <c r="L51" s="53"/>
      <c r="M51" s="53"/>
    </row>
    <row r="52" spans="1:13" s="20" customFormat="1" ht="78" x14ac:dyDescent="0.3">
      <c r="A52" s="54"/>
      <c r="B52" s="35" t="s">
        <v>95</v>
      </c>
      <c r="C52" s="30" t="s">
        <v>96</v>
      </c>
      <c r="D52" s="36">
        <f t="shared" si="3"/>
        <v>374477</v>
      </c>
      <c r="E52" s="39">
        <v>374477</v>
      </c>
      <c r="F52" s="39"/>
      <c r="G52" s="39"/>
      <c r="H52" s="39"/>
      <c r="I52" s="39"/>
      <c r="J52" s="39"/>
      <c r="K52" s="39"/>
      <c r="L52" s="39"/>
      <c r="M52" s="39"/>
    </row>
    <row r="53" spans="1:13" s="8" customFormat="1" ht="31.2" x14ac:dyDescent="0.3">
      <c r="A53" s="52" t="s">
        <v>216</v>
      </c>
      <c r="B53" s="17">
        <v>8240</v>
      </c>
      <c r="C53" s="28" t="s">
        <v>100</v>
      </c>
      <c r="D53" s="7">
        <f t="shared" si="3"/>
        <v>835398</v>
      </c>
      <c r="E53" s="53">
        <f>E54+E55</f>
        <v>450000</v>
      </c>
      <c r="F53" s="53"/>
      <c r="G53" s="53">
        <f t="shared" ref="G53" si="5">G54+G55</f>
        <v>385398</v>
      </c>
      <c r="H53" s="53"/>
      <c r="I53" s="53"/>
      <c r="J53" s="53"/>
      <c r="K53" s="53"/>
      <c r="L53" s="53"/>
      <c r="M53" s="53"/>
    </row>
    <row r="54" spans="1:13" s="20" customFormat="1" ht="78" x14ac:dyDescent="0.3">
      <c r="A54" s="54"/>
      <c r="B54" s="88" t="s">
        <v>101</v>
      </c>
      <c r="C54" s="30" t="s">
        <v>102</v>
      </c>
      <c r="D54" s="36">
        <f t="shared" si="3"/>
        <v>385398</v>
      </c>
      <c r="E54" s="39"/>
      <c r="F54" s="39"/>
      <c r="G54" s="39">
        <v>385398</v>
      </c>
      <c r="H54" s="39"/>
      <c r="I54" s="39"/>
      <c r="J54" s="39"/>
      <c r="K54" s="39"/>
      <c r="L54" s="39"/>
      <c r="M54" s="39"/>
    </row>
    <row r="55" spans="1:13" s="20" customFormat="1" ht="93.6" x14ac:dyDescent="0.3">
      <c r="A55" s="54"/>
      <c r="B55" s="35" t="s">
        <v>107</v>
      </c>
      <c r="C55" s="30" t="s">
        <v>188</v>
      </c>
      <c r="D55" s="36">
        <f t="shared" si="3"/>
        <v>450000</v>
      </c>
      <c r="E55" s="39">
        <v>450000</v>
      </c>
      <c r="F55" s="39"/>
      <c r="G55" s="39"/>
      <c r="H55" s="39"/>
      <c r="I55" s="39"/>
      <c r="J55" s="39"/>
      <c r="K55" s="39"/>
      <c r="L55" s="39"/>
      <c r="M55" s="39"/>
    </row>
    <row r="56" spans="1:13" s="19" customFormat="1" ht="17.399999999999999" x14ac:dyDescent="0.3">
      <c r="A56" s="31" t="s">
        <v>2</v>
      </c>
      <c r="B56" s="18"/>
      <c r="C56" s="32" t="s">
        <v>3</v>
      </c>
      <c r="D56" s="25">
        <f t="shared" si="3"/>
        <v>460237.1799999997</v>
      </c>
      <c r="E56" s="25">
        <f>E57+E60+E65+E73+E77+E79+E83+E86+E89</f>
        <v>2309599.37</v>
      </c>
      <c r="F56" s="25">
        <f>F57+F60+F65+F73+F77+F79+F83+F86+F89</f>
        <v>-5139362.1900000004</v>
      </c>
      <c r="G56" s="25">
        <f>G57+G60+G65+G73+G77+G79+G83+G86+G89</f>
        <v>0</v>
      </c>
      <c r="H56" s="25">
        <f t="shared" ref="H56:I56" si="6">H57+H60+H65+H73+H77+H79+H83+H86+H89</f>
        <v>0</v>
      </c>
      <c r="I56" s="25">
        <f t="shared" si="6"/>
        <v>3290000</v>
      </c>
      <c r="J56" s="25">
        <f>J57+J60+J65+J73+J77+J79+J83+J86+J89</f>
        <v>0</v>
      </c>
      <c r="K56" s="25">
        <f>K57+K60+K65+K73+K77+K79+K83+K86+K89</f>
        <v>0</v>
      </c>
      <c r="L56" s="25">
        <f>L57+L60+L65+L73+L77+L79+L83+L86+L89</f>
        <v>0</v>
      </c>
      <c r="M56" s="25">
        <f>M57+M60+M65+M73+M77+M79+M83+M86+M89</f>
        <v>0</v>
      </c>
    </row>
    <row r="57" spans="1:13" s="8" customFormat="1" ht="31.2" x14ac:dyDescent="0.3">
      <c r="A57" s="33" t="s">
        <v>12</v>
      </c>
      <c r="B57" s="90" t="s">
        <v>59</v>
      </c>
      <c r="C57" s="28" t="s">
        <v>60</v>
      </c>
      <c r="D57" s="7">
        <f t="shared" si="3"/>
        <v>201135</v>
      </c>
      <c r="E57" s="7">
        <f>E58+E59</f>
        <v>201135</v>
      </c>
      <c r="F57" s="7"/>
      <c r="G57" s="7"/>
      <c r="H57" s="7"/>
      <c r="I57" s="7"/>
      <c r="J57" s="7"/>
      <c r="K57" s="7"/>
      <c r="L57" s="7"/>
      <c r="M57" s="7"/>
    </row>
    <row r="58" spans="1:13" s="20" customFormat="1" x14ac:dyDescent="0.3">
      <c r="A58" s="34"/>
      <c r="B58" s="95" t="s">
        <v>107</v>
      </c>
      <c r="C58" s="30" t="s">
        <v>66</v>
      </c>
      <c r="D58" s="36">
        <f t="shared" si="3"/>
        <v>202000</v>
      </c>
      <c r="E58" s="36">
        <v>202000</v>
      </c>
      <c r="F58" s="36"/>
      <c r="G58" s="36"/>
      <c r="H58" s="36"/>
      <c r="I58" s="36"/>
      <c r="J58" s="36"/>
      <c r="K58" s="36"/>
      <c r="L58" s="36"/>
      <c r="M58" s="36"/>
    </row>
    <row r="59" spans="1:13" s="59" customFormat="1" ht="31.2" x14ac:dyDescent="0.3">
      <c r="A59" s="57"/>
      <c r="B59" s="86" t="s">
        <v>138</v>
      </c>
      <c r="C59" s="30" t="s">
        <v>135</v>
      </c>
      <c r="D59" s="36">
        <f t="shared" si="3"/>
        <v>-865</v>
      </c>
      <c r="E59" s="38">
        <f>-865</f>
        <v>-865</v>
      </c>
      <c r="F59" s="36"/>
      <c r="G59" s="58"/>
      <c r="H59" s="58"/>
      <c r="I59" s="58"/>
      <c r="J59" s="58"/>
      <c r="K59" s="58"/>
      <c r="L59" s="38"/>
      <c r="M59" s="58"/>
    </row>
    <row r="60" spans="1:13" s="8" customFormat="1" ht="18" customHeight="1" x14ac:dyDescent="0.3">
      <c r="A60" s="33" t="s">
        <v>30</v>
      </c>
      <c r="B60" s="40">
        <v>1010</v>
      </c>
      <c r="C60" s="28" t="s">
        <v>29</v>
      </c>
      <c r="D60" s="7">
        <f t="shared" si="3"/>
        <v>113350</v>
      </c>
      <c r="E60" s="7">
        <f>SUM(E61:E64)</f>
        <v>113350</v>
      </c>
      <c r="F60" s="7"/>
      <c r="G60" s="7"/>
      <c r="H60" s="7"/>
      <c r="I60" s="7"/>
      <c r="J60" s="7"/>
      <c r="K60" s="7"/>
      <c r="L60" s="7"/>
      <c r="M60" s="7"/>
    </row>
    <row r="61" spans="1:13" s="8" customFormat="1" ht="31.2" x14ac:dyDescent="0.3">
      <c r="A61" s="33"/>
      <c r="B61" s="86" t="s">
        <v>138</v>
      </c>
      <c r="C61" s="30" t="s">
        <v>136</v>
      </c>
      <c r="D61" s="36">
        <f t="shared" si="3"/>
        <v>-63680</v>
      </c>
      <c r="E61" s="38">
        <f>-63680</f>
        <v>-63680</v>
      </c>
      <c r="F61" s="7"/>
      <c r="G61" s="7"/>
      <c r="H61" s="7"/>
      <c r="I61" s="7"/>
      <c r="J61" s="7"/>
      <c r="K61" s="7"/>
      <c r="L61" s="7"/>
      <c r="M61" s="7"/>
    </row>
    <row r="62" spans="1:13" s="8" customFormat="1" ht="31.2" x14ac:dyDescent="0.3">
      <c r="A62" s="33"/>
      <c r="B62" s="86" t="s">
        <v>138</v>
      </c>
      <c r="C62" s="30" t="s">
        <v>135</v>
      </c>
      <c r="D62" s="36">
        <f t="shared" si="3"/>
        <v>-8970</v>
      </c>
      <c r="E62" s="38">
        <f>-8970</f>
        <v>-8970</v>
      </c>
      <c r="F62" s="7"/>
      <c r="G62" s="7"/>
      <c r="H62" s="7"/>
      <c r="I62" s="7"/>
      <c r="J62" s="7"/>
      <c r="K62" s="7"/>
      <c r="L62" s="7"/>
      <c r="M62" s="7"/>
    </row>
    <row r="63" spans="1:13" s="8" customFormat="1" ht="31.2" x14ac:dyDescent="0.3">
      <c r="A63" s="33"/>
      <c r="B63" s="86" t="s">
        <v>138</v>
      </c>
      <c r="C63" s="30" t="s">
        <v>137</v>
      </c>
      <c r="D63" s="36">
        <f t="shared" si="3"/>
        <v>-84000</v>
      </c>
      <c r="E63" s="38">
        <f>-84000</f>
        <v>-84000</v>
      </c>
      <c r="F63" s="7"/>
      <c r="G63" s="7"/>
      <c r="H63" s="7"/>
      <c r="I63" s="7"/>
      <c r="J63" s="7"/>
      <c r="K63" s="7"/>
      <c r="L63" s="7"/>
      <c r="M63" s="7"/>
    </row>
    <row r="64" spans="1:13" s="8" customFormat="1" ht="31.2" x14ac:dyDescent="0.3">
      <c r="A64" s="33"/>
      <c r="B64" s="86" t="s">
        <v>138</v>
      </c>
      <c r="C64" s="30" t="s">
        <v>143</v>
      </c>
      <c r="D64" s="36">
        <f t="shared" si="3"/>
        <v>270000</v>
      </c>
      <c r="E64" s="38">
        <v>270000</v>
      </c>
      <c r="F64" s="7"/>
      <c r="G64" s="7"/>
      <c r="H64" s="7"/>
      <c r="I64" s="7"/>
      <c r="J64" s="7"/>
      <c r="K64" s="7"/>
      <c r="L64" s="7"/>
      <c r="M64" s="7"/>
    </row>
    <row r="65" spans="1:13" s="8" customFormat="1" ht="31.2" x14ac:dyDescent="0.3">
      <c r="A65" s="33" t="s">
        <v>31</v>
      </c>
      <c r="B65" s="40">
        <v>1021</v>
      </c>
      <c r="C65" s="28" t="s">
        <v>47</v>
      </c>
      <c r="D65" s="7">
        <f t="shared" si="3"/>
        <v>2094746.37</v>
      </c>
      <c r="E65" s="42">
        <f>SUM(E66:E72)</f>
        <v>2094746.37</v>
      </c>
      <c r="F65" s="42"/>
      <c r="G65" s="7"/>
      <c r="H65" s="7"/>
      <c r="I65" s="7"/>
      <c r="J65" s="7"/>
      <c r="K65" s="7"/>
      <c r="L65" s="42"/>
      <c r="M65" s="7"/>
    </row>
    <row r="66" spans="1:13" s="8" customFormat="1" ht="31.2" x14ac:dyDescent="0.3">
      <c r="A66" s="33"/>
      <c r="B66" s="86" t="s">
        <v>138</v>
      </c>
      <c r="C66" s="30" t="s">
        <v>66</v>
      </c>
      <c r="D66" s="36">
        <f t="shared" si="3"/>
        <v>2107599.37</v>
      </c>
      <c r="E66" s="38">
        <f>2500000-775398+345000+62712.18+744.28+9723-41382.09+6200</f>
        <v>2107599.37</v>
      </c>
      <c r="F66" s="38"/>
      <c r="G66" s="36"/>
      <c r="H66" s="36"/>
      <c r="I66" s="36"/>
      <c r="J66" s="36"/>
      <c r="K66" s="36"/>
      <c r="L66" s="38"/>
      <c r="M66" s="36"/>
    </row>
    <row r="67" spans="1:13" s="8" customFormat="1" ht="31.2" x14ac:dyDescent="0.3">
      <c r="A67" s="33"/>
      <c r="B67" s="86" t="s">
        <v>138</v>
      </c>
      <c r="C67" s="30" t="s">
        <v>140</v>
      </c>
      <c r="D67" s="36">
        <f t="shared" si="3"/>
        <v>-240000</v>
      </c>
      <c r="E67" s="38">
        <v>-240000</v>
      </c>
      <c r="F67" s="38"/>
      <c r="G67" s="36"/>
      <c r="H67" s="36"/>
      <c r="I67" s="36"/>
      <c r="J67" s="36"/>
      <c r="K67" s="36"/>
      <c r="L67" s="38"/>
      <c r="M67" s="36"/>
    </row>
    <row r="68" spans="1:13" s="8" customFormat="1" ht="31.2" x14ac:dyDescent="0.3">
      <c r="A68" s="33"/>
      <c r="B68" s="86" t="s">
        <v>138</v>
      </c>
      <c r="C68" s="30" t="s">
        <v>135</v>
      </c>
      <c r="D68" s="36">
        <f t="shared" si="3"/>
        <v>-156440</v>
      </c>
      <c r="E68" s="38">
        <f>-156440</f>
        <v>-156440</v>
      </c>
      <c r="F68" s="38"/>
      <c r="G68" s="36"/>
      <c r="H68" s="36"/>
      <c r="I68" s="36"/>
      <c r="J68" s="36"/>
      <c r="K68" s="36"/>
      <c r="L68" s="38"/>
      <c r="M68" s="36"/>
    </row>
    <row r="69" spans="1:13" s="8" customFormat="1" ht="31.2" x14ac:dyDescent="0.3">
      <c r="A69" s="33"/>
      <c r="B69" s="86" t="s">
        <v>138</v>
      </c>
      <c r="C69" s="30" t="s">
        <v>141</v>
      </c>
      <c r="D69" s="36">
        <f t="shared" si="3"/>
        <v>-141000</v>
      </c>
      <c r="E69" s="38">
        <f>-141000</f>
        <v>-141000</v>
      </c>
      <c r="F69" s="38"/>
      <c r="G69" s="36"/>
      <c r="H69" s="36"/>
      <c r="I69" s="36"/>
      <c r="J69" s="36"/>
      <c r="K69" s="36"/>
      <c r="L69" s="38"/>
      <c r="M69" s="36"/>
    </row>
    <row r="70" spans="1:13" s="8" customFormat="1" ht="31.2" x14ac:dyDescent="0.3">
      <c r="A70" s="33"/>
      <c r="B70" s="86" t="s">
        <v>138</v>
      </c>
      <c r="C70" s="30" t="s">
        <v>143</v>
      </c>
      <c r="D70" s="36">
        <f t="shared" si="3"/>
        <v>225000</v>
      </c>
      <c r="E70" s="38">
        <v>225000</v>
      </c>
      <c r="F70" s="38"/>
      <c r="G70" s="36"/>
      <c r="H70" s="36"/>
      <c r="I70" s="36"/>
      <c r="J70" s="36"/>
      <c r="K70" s="36"/>
      <c r="L70" s="38"/>
      <c r="M70" s="36"/>
    </row>
    <row r="71" spans="1:13" s="8" customFormat="1" ht="31.2" x14ac:dyDescent="0.3">
      <c r="A71" s="33"/>
      <c r="B71" s="86" t="s">
        <v>138</v>
      </c>
      <c r="C71" s="30" t="s">
        <v>137</v>
      </c>
      <c r="D71" s="36">
        <f t="shared" si="3"/>
        <v>99587</v>
      </c>
      <c r="E71" s="38">
        <v>99587</v>
      </c>
      <c r="F71" s="38"/>
      <c r="G71" s="36"/>
      <c r="H71" s="36"/>
      <c r="I71" s="36"/>
      <c r="J71" s="36"/>
      <c r="K71" s="36"/>
      <c r="L71" s="38"/>
      <c r="M71" s="36"/>
    </row>
    <row r="72" spans="1:13" s="8" customFormat="1" ht="46.8" x14ac:dyDescent="0.3">
      <c r="A72" s="33"/>
      <c r="B72" s="86" t="s">
        <v>138</v>
      </c>
      <c r="C72" s="30" t="s">
        <v>142</v>
      </c>
      <c r="D72" s="36">
        <f t="shared" si="3"/>
        <v>200000</v>
      </c>
      <c r="E72" s="38">
        <v>200000</v>
      </c>
      <c r="F72" s="38"/>
      <c r="G72" s="36"/>
      <c r="H72" s="36"/>
      <c r="I72" s="36"/>
      <c r="J72" s="36"/>
      <c r="K72" s="36"/>
      <c r="L72" s="38"/>
      <c r="M72" s="36"/>
    </row>
    <row r="73" spans="1:13" s="8" customFormat="1" ht="62.4" x14ac:dyDescent="0.3">
      <c r="A73" s="33" t="s">
        <v>32</v>
      </c>
      <c r="B73" s="94">
        <v>1022</v>
      </c>
      <c r="C73" s="91" t="s">
        <v>65</v>
      </c>
      <c r="D73" s="7">
        <f t="shared" si="3"/>
        <v>261870</v>
      </c>
      <c r="E73" s="93">
        <f>SUM(E74:E76)</f>
        <v>261870</v>
      </c>
      <c r="F73" s="38"/>
      <c r="G73" s="36"/>
      <c r="H73" s="36"/>
      <c r="I73" s="36"/>
      <c r="J73" s="36"/>
      <c r="K73" s="36"/>
      <c r="L73" s="38"/>
      <c r="M73" s="36"/>
    </row>
    <row r="74" spans="1:13" s="8" customFormat="1" ht="31.2" x14ac:dyDescent="0.3">
      <c r="A74" s="33"/>
      <c r="B74" s="86" t="s">
        <v>138</v>
      </c>
      <c r="C74" s="30" t="s">
        <v>135</v>
      </c>
      <c r="D74" s="36">
        <f t="shared" ref="D74:D105" si="7">SUM(E74:M74)</f>
        <v>-1130</v>
      </c>
      <c r="E74" s="38">
        <f>-1130</f>
        <v>-1130</v>
      </c>
      <c r="F74" s="38"/>
      <c r="G74" s="36"/>
      <c r="H74" s="36"/>
      <c r="I74" s="36"/>
      <c r="J74" s="36"/>
      <c r="K74" s="36"/>
      <c r="L74" s="38"/>
      <c r="M74" s="36"/>
    </row>
    <row r="75" spans="1:13" s="8" customFormat="1" ht="31.2" x14ac:dyDescent="0.3">
      <c r="A75" s="33"/>
      <c r="B75" s="86" t="s">
        <v>138</v>
      </c>
      <c r="C75" s="30" t="s">
        <v>143</v>
      </c>
      <c r="D75" s="36">
        <f t="shared" si="7"/>
        <v>63000</v>
      </c>
      <c r="E75" s="38">
        <f>63000</f>
        <v>63000</v>
      </c>
      <c r="F75" s="38"/>
      <c r="G75" s="36"/>
      <c r="H75" s="36"/>
      <c r="I75" s="36"/>
      <c r="J75" s="36"/>
      <c r="K75" s="36"/>
      <c r="L75" s="38"/>
      <c r="M75" s="36"/>
    </row>
    <row r="76" spans="1:13" s="8" customFormat="1" ht="46.8" x14ac:dyDescent="0.3">
      <c r="A76" s="33"/>
      <c r="B76" s="86" t="s">
        <v>138</v>
      </c>
      <c r="C76" s="92" t="s">
        <v>144</v>
      </c>
      <c r="D76" s="36">
        <f t="shared" si="7"/>
        <v>200000</v>
      </c>
      <c r="E76" s="38">
        <v>200000</v>
      </c>
      <c r="F76" s="38"/>
      <c r="G76" s="36"/>
      <c r="H76" s="36"/>
      <c r="I76" s="36"/>
      <c r="J76" s="36"/>
      <c r="K76" s="36"/>
      <c r="L76" s="38"/>
      <c r="M76" s="36"/>
    </row>
    <row r="77" spans="1:13" s="8" customFormat="1" ht="31.2" x14ac:dyDescent="0.3">
      <c r="A77" s="33" t="s">
        <v>39</v>
      </c>
      <c r="B77" s="94">
        <v>1070</v>
      </c>
      <c r="C77" s="91" t="s">
        <v>63</v>
      </c>
      <c r="D77" s="7">
        <f t="shared" si="7"/>
        <v>-978</v>
      </c>
      <c r="E77" s="93">
        <f>E78</f>
        <v>-978</v>
      </c>
      <c r="F77" s="38"/>
      <c r="G77" s="36"/>
      <c r="H77" s="36"/>
      <c r="I77" s="36"/>
      <c r="J77" s="36"/>
      <c r="K77" s="36"/>
      <c r="L77" s="38"/>
      <c r="M77" s="36"/>
    </row>
    <row r="78" spans="1:13" s="8" customFormat="1" ht="31.2" x14ac:dyDescent="0.3">
      <c r="A78" s="33"/>
      <c r="B78" s="86" t="s">
        <v>138</v>
      </c>
      <c r="C78" s="30" t="s">
        <v>135</v>
      </c>
      <c r="D78" s="36">
        <f t="shared" si="7"/>
        <v>-978</v>
      </c>
      <c r="E78" s="38">
        <v>-978</v>
      </c>
      <c r="F78" s="38"/>
      <c r="G78" s="36"/>
      <c r="H78" s="36"/>
      <c r="I78" s="36"/>
      <c r="J78" s="36"/>
      <c r="K78" s="36"/>
      <c r="L78" s="38"/>
      <c r="M78" s="36"/>
    </row>
    <row r="79" spans="1:13" s="8" customFormat="1" x14ac:dyDescent="0.3">
      <c r="A79" s="33" t="s">
        <v>40</v>
      </c>
      <c r="B79" s="94">
        <v>1141</v>
      </c>
      <c r="C79" s="91" t="s">
        <v>38</v>
      </c>
      <c r="D79" s="7">
        <f t="shared" si="7"/>
        <v>3720120</v>
      </c>
      <c r="E79" s="93">
        <f>E80+E81+E82</f>
        <v>-29880</v>
      </c>
      <c r="F79" s="93">
        <f t="shared" ref="F79:I79" si="8">F80+F81+F82</f>
        <v>460000</v>
      </c>
      <c r="G79" s="93"/>
      <c r="H79" s="93"/>
      <c r="I79" s="93">
        <f t="shared" si="8"/>
        <v>3290000</v>
      </c>
      <c r="J79" s="36"/>
      <c r="K79" s="36"/>
      <c r="L79" s="38"/>
      <c r="M79" s="36"/>
    </row>
    <row r="80" spans="1:13" s="8" customFormat="1" ht="31.2" x14ac:dyDescent="0.3">
      <c r="A80" s="33"/>
      <c r="B80" s="86" t="s">
        <v>138</v>
      </c>
      <c r="C80" s="30" t="s">
        <v>135</v>
      </c>
      <c r="D80" s="36">
        <f t="shared" si="7"/>
        <v>-5880</v>
      </c>
      <c r="E80" s="38">
        <f>-5880</f>
        <v>-5880</v>
      </c>
      <c r="F80" s="38"/>
      <c r="G80" s="36"/>
      <c r="H80" s="36"/>
      <c r="I80" s="36"/>
      <c r="J80" s="36"/>
      <c r="K80" s="36"/>
      <c r="L80" s="38"/>
      <c r="M80" s="36"/>
    </row>
    <row r="81" spans="1:14" s="8" customFormat="1" ht="31.2" x14ac:dyDescent="0.3">
      <c r="A81" s="33"/>
      <c r="B81" s="86" t="s">
        <v>138</v>
      </c>
      <c r="C81" s="30" t="s">
        <v>140</v>
      </c>
      <c r="D81" s="36">
        <f t="shared" si="7"/>
        <v>-24000</v>
      </c>
      <c r="E81" s="38">
        <f>-24000</f>
        <v>-24000</v>
      </c>
      <c r="F81" s="38"/>
      <c r="G81" s="36"/>
      <c r="H81" s="36"/>
      <c r="I81" s="36"/>
      <c r="J81" s="36"/>
      <c r="K81" s="36"/>
      <c r="L81" s="38"/>
      <c r="M81" s="36"/>
    </row>
    <row r="82" spans="1:14" s="8" customFormat="1" ht="31.2" x14ac:dyDescent="0.3">
      <c r="A82" s="33"/>
      <c r="B82" s="86" t="s">
        <v>217</v>
      </c>
      <c r="C82" s="64" t="s">
        <v>218</v>
      </c>
      <c r="D82" s="36">
        <f t="shared" si="7"/>
        <v>3750000</v>
      </c>
      <c r="E82" s="38"/>
      <c r="F82" s="38">
        <v>460000</v>
      </c>
      <c r="G82" s="36"/>
      <c r="H82" s="36"/>
      <c r="I82" s="36">
        <v>3290000</v>
      </c>
      <c r="J82" s="36"/>
      <c r="K82" s="36"/>
      <c r="L82" s="38"/>
      <c r="M82" s="36"/>
    </row>
    <row r="83" spans="1:14" s="8" customFormat="1" ht="31.2" x14ac:dyDescent="0.3">
      <c r="A83" s="33" t="s">
        <v>50</v>
      </c>
      <c r="B83" s="94">
        <v>1160</v>
      </c>
      <c r="C83" s="91" t="s">
        <v>77</v>
      </c>
      <c r="D83" s="7">
        <f t="shared" si="7"/>
        <v>-700169</v>
      </c>
      <c r="E83" s="93">
        <f>E84+E85</f>
        <v>-700169</v>
      </c>
      <c r="F83" s="38"/>
      <c r="G83" s="36"/>
      <c r="H83" s="36"/>
      <c r="I83" s="36"/>
      <c r="J83" s="36"/>
      <c r="K83" s="36"/>
      <c r="L83" s="38"/>
      <c r="M83" s="36"/>
    </row>
    <row r="84" spans="1:14" s="8" customFormat="1" ht="31.2" x14ac:dyDescent="0.3">
      <c r="A84" s="33"/>
      <c r="B84" s="86" t="s">
        <v>138</v>
      </c>
      <c r="C84" s="30" t="s">
        <v>135</v>
      </c>
      <c r="D84" s="36">
        <f t="shared" si="7"/>
        <v>-169</v>
      </c>
      <c r="E84" s="38">
        <f>-169</f>
        <v>-169</v>
      </c>
      <c r="F84" s="38"/>
      <c r="G84" s="36"/>
      <c r="H84" s="36"/>
      <c r="I84" s="36"/>
      <c r="J84" s="36"/>
      <c r="K84" s="36"/>
      <c r="L84" s="38"/>
      <c r="M84" s="36"/>
    </row>
    <row r="85" spans="1:14" s="8" customFormat="1" ht="31.2" x14ac:dyDescent="0.3">
      <c r="A85" s="33"/>
      <c r="B85" s="86" t="s">
        <v>138</v>
      </c>
      <c r="C85" s="30" t="s">
        <v>145</v>
      </c>
      <c r="D85" s="36">
        <f t="shared" si="7"/>
        <v>-700000</v>
      </c>
      <c r="E85" s="38">
        <f>-700000</f>
        <v>-700000</v>
      </c>
      <c r="F85" s="38"/>
      <c r="G85" s="36"/>
      <c r="H85" s="36"/>
      <c r="I85" s="36"/>
      <c r="J85" s="36"/>
      <c r="K85" s="36"/>
      <c r="L85" s="38"/>
      <c r="M85" s="36"/>
    </row>
    <row r="86" spans="1:14" s="8" customFormat="1" ht="46.8" x14ac:dyDescent="0.3">
      <c r="A86" s="33" t="s">
        <v>51</v>
      </c>
      <c r="B86" s="94">
        <v>5031</v>
      </c>
      <c r="C86" s="91" t="s">
        <v>64</v>
      </c>
      <c r="D86" s="7">
        <f t="shared" si="7"/>
        <v>498525</v>
      </c>
      <c r="E86" s="93">
        <f>E87+E88</f>
        <v>-1475</v>
      </c>
      <c r="F86" s="93">
        <f>F87+F88</f>
        <v>500000</v>
      </c>
      <c r="G86" s="36"/>
      <c r="H86" s="36"/>
      <c r="I86" s="36"/>
      <c r="J86" s="36"/>
      <c r="K86" s="36"/>
      <c r="L86" s="38"/>
      <c r="M86" s="36"/>
    </row>
    <row r="87" spans="1:14" s="8" customFormat="1" ht="31.2" x14ac:dyDescent="0.3">
      <c r="A87" s="33"/>
      <c r="B87" s="86" t="s">
        <v>138</v>
      </c>
      <c r="C87" s="30" t="s">
        <v>135</v>
      </c>
      <c r="D87" s="36">
        <f t="shared" si="7"/>
        <v>-1475</v>
      </c>
      <c r="E87" s="38">
        <f>-1475</f>
        <v>-1475</v>
      </c>
      <c r="F87" s="38"/>
      <c r="G87" s="36"/>
      <c r="H87" s="36"/>
      <c r="I87" s="36"/>
      <c r="J87" s="36"/>
      <c r="K87" s="36"/>
      <c r="L87" s="38"/>
      <c r="M87" s="36"/>
    </row>
    <row r="88" spans="1:14" s="8" customFormat="1" ht="46.8" x14ac:dyDescent="0.3">
      <c r="A88" s="33"/>
      <c r="B88" s="86" t="s">
        <v>217</v>
      </c>
      <c r="C88" s="30" t="s">
        <v>219</v>
      </c>
      <c r="D88" s="36">
        <f t="shared" si="7"/>
        <v>500000</v>
      </c>
      <c r="E88" s="38"/>
      <c r="F88" s="38">
        <v>500000</v>
      </c>
      <c r="G88" s="36"/>
      <c r="H88" s="36"/>
      <c r="I88" s="36"/>
      <c r="J88" s="36"/>
      <c r="K88" s="36"/>
      <c r="L88" s="38"/>
      <c r="M88" s="36"/>
    </row>
    <row r="89" spans="1:14" s="8" customFormat="1" ht="31.2" x14ac:dyDescent="0.3">
      <c r="A89" s="84" t="s">
        <v>52</v>
      </c>
      <c r="B89" s="40">
        <v>8110</v>
      </c>
      <c r="C89" s="28" t="s">
        <v>48</v>
      </c>
      <c r="D89" s="7">
        <f t="shared" si="7"/>
        <v>-5728362.1900000004</v>
      </c>
      <c r="E89" s="42">
        <f>SUM(E90:E93)</f>
        <v>371000</v>
      </c>
      <c r="F89" s="42">
        <f t="shared" ref="F89" si="9">SUM(F90:F93)</f>
        <v>-6099362.1900000004</v>
      </c>
      <c r="G89" s="7"/>
      <c r="H89" s="7"/>
      <c r="I89" s="7"/>
      <c r="J89" s="7"/>
      <c r="K89" s="7"/>
      <c r="L89" s="42"/>
      <c r="M89" s="7"/>
    </row>
    <row r="90" spans="1:14" s="8" customFormat="1" ht="31.2" x14ac:dyDescent="0.3">
      <c r="A90" s="84"/>
      <c r="B90" s="86" t="s">
        <v>138</v>
      </c>
      <c r="C90" s="30" t="s">
        <v>146</v>
      </c>
      <c r="D90" s="36">
        <f t="shared" si="7"/>
        <v>230000</v>
      </c>
      <c r="E90" s="38">
        <f>230000</f>
        <v>230000</v>
      </c>
      <c r="F90" s="42"/>
      <c r="G90" s="7"/>
      <c r="H90" s="7"/>
      <c r="I90" s="7"/>
      <c r="J90" s="7"/>
      <c r="K90" s="7"/>
      <c r="L90" s="42"/>
      <c r="M90" s="7"/>
    </row>
    <row r="91" spans="1:14" s="8" customFormat="1" ht="31.2" x14ac:dyDescent="0.3">
      <c r="A91" s="84"/>
      <c r="B91" s="86" t="s">
        <v>138</v>
      </c>
      <c r="C91" s="64" t="s">
        <v>147</v>
      </c>
      <c r="D91" s="36">
        <f t="shared" si="7"/>
        <v>141000</v>
      </c>
      <c r="E91" s="38">
        <f>141000</f>
        <v>141000</v>
      </c>
      <c r="F91" s="42"/>
      <c r="G91" s="7"/>
      <c r="H91" s="7"/>
      <c r="I91" s="7"/>
      <c r="J91" s="7"/>
      <c r="K91" s="7"/>
      <c r="L91" s="42"/>
      <c r="M91" s="7"/>
    </row>
    <row r="92" spans="1:14" s="59" customFormat="1" ht="78" x14ac:dyDescent="0.3">
      <c r="A92" s="57"/>
      <c r="B92" s="43" t="s">
        <v>139</v>
      </c>
      <c r="C92" s="30" t="s">
        <v>103</v>
      </c>
      <c r="D92" s="36">
        <f t="shared" si="7"/>
        <v>-4650744.28</v>
      </c>
      <c r="E92" s="38"/>
      <c r="F92" s="36">
        <v>-4650744.28</v>
      </c>
      <c r="G92" s="58"/>
      <c r="H92" s="58"/>
      <c r="I92" s="58"/>
      <c r="J92" s="58"/>
      <c r="K92" s="58"/>
      <c r="L92" s="38"/>
      <c r="M92" s="58"/>
    </row>
    <row r="93" spans="1:14" s="59" customFormat="1" ht="78" x14ac:dyDescent="0.3">
      <c r="A93" s="57"/>
      <c r="B93" s="43" t="s">
        <v>139</v>
      </c>
      <c r="C93" s="30" t="s">
        <v>104</v>
      </c>
      <c r="D93" s="36">
        <f t="shared" si="7"/>
        <v>-1448617.91</v>
      </c>
      <c r="E93" s="38"/>
      <c r="F93" s="36">
        <v>-1448617.91</v>
      </c>
      <c r="G93" s="58"/>
      <c r="H93" s="58"/>
      <c r="I93" s="58"/>
      <c r="J93" s="58"/>
      <c r="K93" s="58"/>
      <c r="L93" s="38"/>
      <c r="M93" s="58"/>
    </row>
    <row r="94" spans="1:14" s="19" customFormat="1" ht="17.399999999999999" x14ac:dyDescent="0.3">
      <c r="A94" s="31" t="s">
        <v>4</v>
      </c>
      <c r="B94" s="18"/>
      <c r="C94" s="32" t="s">
        <v>33</v>
      </c>
      <c r="D94" s="25">
        <f t="shared" si="7"/>
        <v>-4866500</v>
      </c>
      <c r="E94" s="25">
        <f>E95+E96+E97+E98+E99</f>
        <v>-4900000</v>
      </c>
      <c r="F94" s="25">
        <f t="shared" ref="F94:M94" si="10">F95+F96+F97+F98+F99</f>
        <v>0</v>
      </c>
      <c r="G94" s="25">
        <f t="shared" si="10"/>
        <v>33500</v>
      </c>
      <c r="H94" s="25">
        <f t="shared" ref="H94" si="11">H95+H96+H97+H98+H99</f>
        <v>0</v>
      </c>
      <c r="I94" s="25">
        <f t="shared" ref="I94" si="12">I95+I96+I97+I98+I99</f>
        <v>0</v>
      </c>
      <c r="J94" s="25">
        <f t="shared" si="10"/>
        <v>0</v>
      </c>
      <c r="K94" s="25">
        <f t="shared" si="10"/>
        <v>0</v>
      </c>
      <c r="L94" s="25">
        <f t="shared" si="10"/>
        <v>0</v>
      </c>
      <c r="M94" s="25">
        <f t="shared" si="10"/>
        <v>0</v>
      </c>
      <c r="N94" s="45"/>
    </row>
    <row r="95" spans="1:14" s="59" customFormat="1" ht="31.2" x14ac:dyDescent="0.3">
      <c r="A95" s="33" t="s">
        <v>13</v>
      </c>
      <c r="B95" s="17">
        <v>3031</v>
      </c>
      <c r="C95" s="28" t="s">
        <v>78</v>
      </c>
      <c r="D95" s="7">
        <f t="shared" si="7"/>
        <v>-1000000</v>
      </c>
      <c r="E95" s="7">
        <v>-1000000</v>
      </c>
      <c r="F95" s="7"/>
      <c r="G95" s="58"/>
      <c r="H95" s="58"/>
      <c r="I95" s="58"/>
      <c r="J95" s="58"/>
      <c r="K95" s="58"/>
      <c r="L95" s="7"/>
      <c r="M95" s="58"/>
    </row>
    <row r="96" spans="1:14" s="8" customFormat="1" ht="62.4" x14ac:dyDescent="0.3">
      <c r="A96" s="33" t="s">
        <v>81</v>
      </c>
      <c r="B96" s="17">
        <v>3160</v>
      </c>
      <c r="C96" s="28" t="s">
        <v>79</v>
      </c>
      <c r="D96" s="7">
        <f t="shared" si="7"/>
        <v>-700000</v>
      </c>
      <c r="E96" s="42">
        <v>-700000</v>
      </c>
      <c r="F96" s="7"/>
      <c r="G96" s="7"/>
      <c r="H96" s="7"/>
      <c r="I96" s="7"/>
      <c r="J96" s="7"/>
      <c r="K96" s="7"/>
      <c r="L96" s="42"/>
      <c r="M96" s="7"/>
    </row>
    <row r="97" spans="1:14" s="8" customFormat="1" x14ac:dyDescent="0.3">
      <c r="A97" s="33" t="s">
        <v>82</v>
      </c>
      <c r="B97" s="17">
        <v>3123</v>
      </c>
      <c r="C97" s="28" t="s">
        <v>105</v>
      </c>
      <c r="D97" s="7">
        <f t="shared" si="7"/>
        <v>-200000</v>
      </c>
      <c r="E97" s="42">
        <v>-200000</v>
      </c>
      <c r="F97" s="7"/>
      <c r="G97" s="7"/>
      <c r="H97" s="7"/>
      <c r="I97" s="7"/>
      <c r="J97" s="7"/>
      <c r="K97" s="7"/>
      <c r="L97" s="42"/>
      <c r="M97" s="7"/>
    </row>
    <row r="98" spans="1:14" s="8" customFormat="1" ht="62.4" x14ac:dyDescent="0.3">
      <c r="A98" s="33" t="s">
        <v>83</v>
      </c>
      <c r="B98" s="17">
        <v>3193</v>
      </c>
      <c r="C98" s="28" t="s">
        <v>221</v>
      </c>
      <c r="D98" s="7">
        <f t="shared" si="7"/>
        <v>33500</v>
      </c>
      <c r="E98" s="42"/>
      <c r="F98" s="7"/>
      <c r="G98" s="7">
        <v>33500</v>
      </c>
      <c r="H98" s="7"/>
      <c r="I98" s="7"/>
      <c r="J98" s="7"/>
      <c r="K98" s="7"/>
      <c r="L98" s="42"/>
      <c r="M98" s="7"/>
    </row>
    <row r="99" spans="1:14" s="8" customFormat="1" ht="31.2" x14ac:dyDescent="0.3">
      <c r="A99" s="33" t="s">
        <v>220</v>
      </c>
      <c r="B99" s="17">
        <v>3242</v>
      </c>
      <c r="C99" s="28" t="s">
        <v>80</v>
      </c>
      <c r="D99" s="7">
        <f t="shared" si="7"/>
        <v>-3000000</v>
      </c>
      <c r="E99" s="42">
        <v>-3000000</v>
      </c>
      <c r="F99" s="7"/>
      <c r="G99" s="7"/>
      <c r="H99" s="7"/>
      <c r="I99" s="7"/>
      <c r="J99" s="7"/>
      <c r="K99" s="7"/>
      <c r="L99" s="42"/>
      <c r="M99" s="7"/>
    </row>
    <row r="100" spans="1:14" s="19" customFormat="1" ht="17.399999999999999" x14ac:dyDescent="0.3">
      <c r="A100" s="31" t="s">
        <v>7</v>
      </c>
      <c r="B100" s="18"/>
      <c r="C100" s="32" t="s">
        <v>172</v>
      </c>
      <c r="D100" s="25">
        <f t="shared" si="7"/>
        <v>153000</v>
      </c>
      <c r="E100" s="25">
        <f>E101</f>
        <v>153000</v>
      </c>
      <c r="F100" s="25">
        <f t="shared" ref="F100:M100" si="13">F101</f>
        <v>0</v>
      </c>
      <c r="G100" s="25">
        <f t="shared" si="13"/>
        <v>0</v>
      </c>
      <c r="H100" s="25">
        <f t="shared" si="13"/>
        <v>0</v>
      </c>
      <c r="I100" s="25">
        <f t="shared" si="13"/>
        <v>0</v>
      </c>
      <c r="J100" s="25">
        <f t="shared" si="13"/>
        <v>0</v>
      </c>
      <c r="K100" s="25">
        <f t="shared" si="13"/>
        <v>0</v>
      </c>
      <c r="L100" s="25">
        <f t="shared" si="13"/>
        <v>0</v>
      </c>
      <c r="M100" s="25">
        <f t="shared" si="13"/>
        <v>0</v>
      </c>
      <c r="N100" s="45"/>
    </row>
    <row r="101" spans="1:14" s="8" customFormat="1" ht="31.2" x14ac:dyDescent="0.3">
      <c r="A101" s="33" t="s">
        <v>15</v>
      </c>
      <c r="B101" s="90" t="s">
        <v>59</v>
      </c>
      <c r="C101" s="28" t="s">
        <v>60</v>
      </c>
      <c r="D101" s="7">
        <f t="shared" si="7"/>
        <v>153000</v>
      </c>
      <c r="E101" s="7">
        <f>E102</f>
        <v>153000</v>
      </c>
      <c r="F101" s="7"/>
      <c r="G101" s="7"/>
      <c r="H101" s="7"/>
      <c r="I101" s="7"/>
      <c r="J101" s="7"/>
      <c r="K101" s="7"/>
      <c r="L101" s="7"/>
      <c r="M101" s="7"/>
    </row>
    <row r="102" spans="1:14" s="20" customFormat="1" x14ac:dyDescent="0.3">
      <c r="A102" s="34"/>
      <c r="B102" s="95" t="s">
        <v>107</v>
      </c>
      <c r="C102" s="30" t="s">
        <v>66</v>
      </c>
      <c r="D102" s="36">
        <f t="shared" si="7"/>
        <v>153000</v>
      </c>
      <c r="E102" s="36">
        <v>153000</v>
      </c>
      <c r="F102" s="36"/>
      <c r="G102" s="36"/>
      <c r="H102" s="36"/>
      <c r="I102" s="36"/>
      <c r="J102" s="36"/>
      <c r="K102" s="36"/>
      <c r="L102" s="36"/>
      <c r="M102" s="36"/>
    </row>
    <row r="103" spans="1:14" s="19" customFormat="1" ht="17.399999999999999" x14ac:dyDescent="0.3">
      <c r="A103" s="31" t="s">
        <v>34</v>
      </c>
      <c r="B103" s="18"/>
      <c r="C103" s="32" t="s">
        <v>57</v>
      </c>
      <c r="D103" s="25">
        <f t="shared" si="7"/>
        <v>89000</v>
      </c>
      <c r="E103" s="25">
        <f>E104+E106</f>
        <v>89000</v>
      </c>
      <c r="F103" s="25">
        <f t="shared" ref="F103:M103" si="14">F104+F106</f>
        <v>0</v>
      </c>
      <c r="G103" s="25">
        <f t="shared" si="14"/>
        <v>0</v>
      </c>
      <c r="H103" s="25">
        <f t="shared" si="14"/>
        <v>0</v>
      </c>
      <c r="I103" s="25">
        <f t="shared" si="14"/>
        <v>0</v>
      </c>
      <c r="J103" s="25">
        <f t="shared" si="14"/>
        <v>0</v>
      </c>
      <c r="K103" s="25">
        <f t="shared" si="14"/>
        <v>0</v>
      </c>
      <c r="L103" s="25">
        <f t="shared" si="14"/>
        <v>0</v>
      </c>
      <c r="M103" s="25">
        <f t="shared" si="14"/>
        <v>0</v>
      </c>
      <c r="N103" s="45"/>
    </row>
    <row r="104" spans="1:14" s="8" customFormat="1" ht="31.2" x14ac:dyDescent="0.3">
      <c r="A104" s="33" t="s">
        <v>35</v>
      </c>
      <c r="B104" s="90" t="s">
        <v>59</v>
      </c>
      <c r="C104" s="28" t="s">
        <v>60</v>
      </c>
      <c r="D104" s="7">
        <f t="shared" si="7"/>
        <v>69000</v>
      </c>
      <c r="E104" s="7">
        <f>E105</f>
        <v>69000</v>
      </c>
      <c r="F104" s="7"/>
      <c r="G104" s="7"/>
      <c r="H104" s="7"/>
      <c r="I104" s="7"/>
      <c r="J104" s="7"/>
      <c r="K104" s="7"/>
      <c r="L104" s="7"/>
      <c r="M104" s="7"/>
    </row>
    <row r="105" spans="1:14" s="20" customFormat="1" x14ac:dyDescent="0.3">
      <c r="A105" s="34"/>
      <c r="B105" s="95" t="s">
        <v>107</v>
      </c>
      <c r="C105" s="30" t="s">
        <v>66</v>
      </c>
      <c r="D105" s="36">
        <f t="shared" si="7"/>
        <v>69000</v>
      </c>
      <c r="E105" s="36">
        <v>69000</v>
      </c>
      <c r="F105" s="36"/>
      <c r="G105" s="36"/>
      <c r="H105" s="36"/>
      <c r="I105" s="36"/>
      <c r="J105" s="36"/>
      <c r="K105" s="36"/>
      <c r="L105" s="36"/>
      <c r="M105" s="36"/>
    </row>
    <row r="106" spans="1:14" s="8" customFormat="1" x14ac:dyDescent="0.3">
      <c r="A106" s="33" t="s">
        <v>198</v>
      </c>
      <c r="B106" s="90" t="s">
        <v>200</v>
      </c>
      <c r="C106" s="28" t="s">
        <v>199</v>
      </c>
      <c r="D106" s="7">
        <f t="shared" ref="D106:D137" si="15">SUM(E106:M106)</f>
        <v>20000</v>
      </c>
      <c r="E106" s="7">
        <v>20000</v>
      </c>
      <c r="F106" s="7"/>
      <c r="G106" s="7"/>
      <c r="H106" s="7"/>
      <c r="I106" s="7"/>
      <c r="J106" s="7"/>
      <c r="K106" s="7"/>
      <c r="L106" s="7"/>
      <c r="M106" s="7"/>
    </row>
    <row r="107" spans="1:14" s="19" customFormat="1" ht="17.399999999999999" x14ac:dyDescent="0.3">
      <c r="A107" s="31" t="s">
        <v>36</v>
      </c>
      <c r="B107" s="18"/>
      <c r="C107" s="32" t="s">
        <v>49</v>
      </c>
      <c r="D107" s="25">
        <f t="shared" si="15"/>
        <v>185000</v>
      </c>
      <c r="E107" s="25">
        <f>E108</f>
        <v>185000</v>
      </c>
      <c r="F107" s="25">
        <f t="shared" ref="F107" si="16">F108</f>
        <v>0</v>
      </c>
      <c r="G107" s="25">
        <f t="shared" ref="G107:J107" si="17">G108</f>
        <v>0</v>
      </c>
      <c r="H107" s="25">
        <f t="shared" si="17"/>
        <v>0</v>
      </c>
      <c r="I107" s="25">
        <f t="shared" si="17"/>
        <v>0</v>
      </c>
      <c r="J107" s="25">
        <f t="shared" si="17"/>
        <v>0</v>
      </c>
      <c r="K107" s="25">
        <f t="shared" ref="K107:L107" si="18">K108</f>
        <v>0</v>
      </c>
      <c r="L107" s="25">
        <f t="shared" si="18"/>
        <v>0</v>
      </c>
      <c r="M107" s="25">
        <f t="shared" ref="M107" si="19">M108</f>
        <v>0</v>
      </c>
      <c r="N107" s="45"/>
    </row>
    <row r="108" spans="1:14" s="8" customFormat="1" ht="31.2" x14ac:dyDescent="0.3">
      <c r="A108" s="33" t="s">
        <v>37</v>
      </c>
      <c r="B108" s="90" t="s">
        <v>59</v>
      </c>
      <c r="C108" s="28" t="s">
        <v>60</v>
      </c>
      <c r="D108" s="7">
        <f t="shared" si="15"/>
        <v>185000</v>
      </c>
      <c r="E108" s="7">
        <f>E109</f>
        <v>185000</v>
      </c>
      <c r="F108" s="7"/>
      <c r="G108" s="7"/>
      <c r="H108" s="7"/>
      <c r="I108" s="7"/>
      <c r="J108" s="7"/>
      <c r="K108" s="7"/>
      <c r="L108" s="7"/>
      <c r="M108" s="7"/>
    </row>
    <row r="109" spans="1:14" s="20" customFormat="1" x14ac:dyDescent="0.3">
      <c r="A109" s="34"/>
      <c r="B109" s="95" t="s">
        <v>107</v>
      </c>
      <c r="C109" s="30" t="s">
        <v>66</v>
      </c>
      <c r="D109" s="36">
        <f t="shared" si="15"/>
        <v>185000</v>
      </c>
      <c r="E109" s="36">
        <v>185000</v>
      </c>
      <c r="F109" s="36"/>
      <c r="G109" s="36"/>
      <c r="H109" s="36"/>
      <c r="I109" s="36"/>
      <c r="J109" s="36"/>
      <c r="K109" s="36"/>
      <c r="L109" s="36"/>
      <c r="M109" s="36"/>
    </row>
    <row r="110" spans="1:14" s="19" customFormat="1" ht="17.399999999999999" x14ac:dyDescent="0.3">
      <c r="A110" s="31" t="s">
        <v>68</v>
      </c>
      <c r="B110" s="18"/>
      <c r="C110" s="32" t="s">
        <v>14</v>
      </c>
      <c r="D110" s="25">
        <f t="shared" si="15"/>
        <v>15187711.49</v>
      </c>
      <c r="E110" s="25">
        <f t="shared" ref="E110:M110" si="20">E111+E114+E117+E119+E123+E125+E128</f>
        <v>8126004</v>
      </c>
      <c r="F110" s="25">
        <f t="shared" si="20"/>
        <v>7061887.8200000003</v>
      </c>
      <c r="G110" s="25">
        <f t="shared" si="20"/>
        <v>0</v>
      </c>
      <c r="H110" s="25">
        <f t="shared" si="20"/>
        <v>-180.33</v>
      </c>
      <c r="I110" s="25">
        <f t="shared" si="20"/>
        <v>0</v>
      </c>
      <c r="J110" s="25">
        <f t="shared" si="20"/>
        <v>0</v>
      </c>
      <c r="K110" s="25">
        <f t="shared" si="20"/>
        <v>0</v>
      </c>
      <c r="L110" s="25">
        <f t="shared" si="20"/>
        <v>0</v>
      </c>
      <c r="M110" s="25">
        <f t="shared" si="20"/>
        <v>0</v>
      </c>
      <c r="N110" s="45"/>
    </row>
    <row r="111" spans="1:14" s="8" customFormat="1" ht="31.2" x14ac:dyDescent="0.3">
      <c r="A111" s="33" t="s">
        <v>69</v>
      </c>
      <c r="B111" s="40">
        <v>6013</v>
      </c>
      <c r="C111" s="89" t="s">
        <v>113</v>
      </c>
      <c r="D111" s="7">
        <f t="shared" si="15"/>
        <v>-1873996</v>
      </c>
      <c r="E111" s="42">
        <f>SUM(E112:E113)</f>
        <v>-1873996</v>
      </c>
      <c r="F111" s="42">
        <f>SUM(F112:F113)</f>
        <v>0</v>
      </c>
      <c r="G111" s="42"/>
      <c r="H111" s="42"/>
      <c r="I111" s="42"/>
      <c r="J111" s="7"/>
      <c r="K111" s="7"/>
      <c r="L111" s="42">
        <f>SUM(L112:L113)</f>
        <v>0</v>
      </c>
      <c r="M111" s="7"/>
    </row>
    <row r="112" spans="1:14" s="59" customFormat="1" ht="31.2" x14ac:dyDescent="0.3">
      <c r="A112" s="57"/>
      <c r="B112" s="54" t="s">
        <v>115</v>
      </c>
      <c r="C112" s="64" t="s">
        <v>114</v>
      </c>
      <c r="D112" s="36">
        <f t="shared" si="15"/>
        <v>-86894</v>
      </c>
      <c r="E112" s="38">
        <v>-86894</v>
      </c>
      <c r="F112" s="38"/>
      <c r="G112" s="38"/>
      <c r="H112" s="38"/>
      <c r="I112" s="38"/>
      <c r="J112" s="58"/>
      <c r="K112" s="58"/>
      <c r="L112" s="38"/>
      <c r="M112" s="58"/>
    </row>
    <row r="113" spans="1:13" s="59" customFormat="1" ht="31.2" x14ac:dyDescent="0.3">
      <c r="A113" s="57"/>
      <c r="B113" s="54" t="s">
        <v>115</v>
      </c>
      <c r="C113" s="64" t="s">
        <v>116</v>
      </c>
      <c r="D113" s="36">
        <f t="shared" si="15"/>
        <v>-1787102</v>
      </c>
      <c r="E113" s="38">
        <v>-1787102</v>
      </c>
      <c r="F113" s="38"/>
      <c r="G113" s="38"/>
      <c r="H113" s="38"/>
      <c r="I113" s="38"/>
      <c r="J113" s="58"/>
      <c r="K113" s="58"/>
      <c r="L113" s="38"/>
      <c r="M113" s="58"/>
    </row>
    <row r="114" spans="1:13" s="8" customFormat="1" x14ac:dyDescent="0.3">
      <c r="A114" s="33" t="s">
        <v>71</v>
      </c>
      <c r="B114" s="40" t="s">
        <v>92</v>
      </c>
      <c r="C114" s="41" t="s">
        <v>93</v>
      </c>
      <c r="D114" s="7">
        <f t="shared" si="15"/>
        <v>4088600</v>
      </c>
      <c r="E114" s="42">
        <f>E115+E116</f>
        <v>-2000000</v>
      </c>
      <c r="F114" s="42">
        <f>F115+F116</f>
        <v>6088600</v>
      </c>
      <c r="G114" s="42"/>
      <c r="H114" s="42"/>
      <c r="I114" s="42"/>
      <c r="J114" s="7"/>
      <c r="K114" s="7"/>
      <c r="L114" s="42"/>
      <c r="M114" s="7"/>
    </row>
    <row r="115" spans="1:13" s="59" customFormat="1" ht="16.2" x14ac:dyDescent="0.3">
      <c r="A115" s="57"/>
      <c r="B115" s="54" t="s">
        <v>107</v>
      </c>
      <c r="C115" s="64" t="s">
        <v>106</v>
      </c>
      <c r="D115" s="36">
        <f t="shared" si="15"/>
        <v>-2000000</v>
      </c>
      <c r="E115" s="38">
        <v>-2000000</v>
      </c>
      <c r="F115" s="38"/>
      <c r="G115" s="38"/>
      <c r="H115" s="38"/>
      <c r="I115" s="38"/>
      <c r="J115" s="58"/>
      <c r="K115" s="58"/>
      <c r="L115" s="38"/>
      <c r="M115" s="58"/>
    </row>
    <row r="116" spans="1:13" s="59" customFormat="1" ht="31.2" x14ac:dyDescent="0.3">
      <c r="A116" s="57"/>
      <c r="B116" s="54" t="s">
        <v>230</v>
      </c>
      <c r="C116" s="64" t="s">
        <v>229</v>
      </c>
      <c r="D116" s="36">
        <f t="shared" si="15"/>
        <v>6088600</v>
      </c>
      <c r="E116" s="38"/>
      <c r="F116" s="38">
        <v>6088600</v>
      </c>
      <c r="G116" s="38"/>
      <c r="H116" s="38"/>
      <c r="I116" s="38"/>
      <c r="J116" s="58"/>
      <c r="K116" s="58"/>
      <c r="L116" s="38"/>
      <c r="M116" s="58"/>
    </row>
    <row r="117" spans="1:13" s="8" customFormat="1" x14ac:dyDescent="0.3">
      <c r="A117" s="33" t="s">
        <v>88</v>
      </c>
      <c r="B117" s="40">
        <v>7640</v>
      </c>
      <c r="C117" s="89" t="s">
        <v>231</v>
      </c>
      <c r="D117" s="7">
        <f t="shared" si="15"/>
        <v>220000</v>
      </c>
      <c r="E117" s="42"/>
      <c r="F117" s="42">
        <f>F118</f>
        <v>220000</v>
      </c>
      <c r="G117" s="42"/>
      <c r="H117" s="42"/>
      <c r="I117" s="42"/>
      <c r="J117" s="7"/>
      <c r="K117" s="7"/>
      <c r="L117" s="42"/>
      <c r="M117" s="7"/>
    </row>
    <row r="118" spans="1:13" s="59" customFormat="1" ht="31.2" x14ac:dyDescent="0.3">
      <c r="A118" s="57"/>
      <c r="B118" s="54" t="s">
        <v>252</v>
      </c>
      <c r="C118" s="64" t="s">
        <v>232</v>
      </c>
      <c r="D118" s="36">
        <f t="shared" si="15"/>
        <v>220000</v>
      </c>
      <c r="E118" s="38"/>
      <c r="F118" s="38">
        <v>220000</v>
      </c>
      <c r="G118" s="38"/>
      <c r="H118" s="38"/>
      <c r="I118" s="38"/>
      <c r="J118" s="58"/>
      <c r="K118" s="58"/>
      <c r="L118" s="38"/>
      <c r="M118" s="58"/>
    </row>
    <row r="119" spans="1:13" s="8" customFormat="1" ht="93.6" x14ac:dyDescent="0.3">
      <c r="A119" s="33" t="s">
        <v>173</v>
      </c>
      <c r="B119" s="40">
        <v>7691</v>
      </c>
      <c r="C119" s="41" t="s">
        <v>46</v>
      </c>
      <c r="D119" s="7">
        <f t="shared" si="15"/>
        <v>-180.33</v>
      </c>
      <c r="E119" s="7"/>
      <c r="F119" s="7"/>
      <c r="G119" s="7"/>
      <c r="H119" s="7">
        <f>SUM(H120:H122)</f>
        <v>-180.33</v>
      </c>
      <c r="I119" s="42"/>
      <c r="J119" s="7"/>
      <c r="K119" s="7"/>
      <c r="L119" s="42"/>
      <c r="M119" s="7">
        <f>M120+M121</f>
        <v>0</v>
      </c>
    </row>
    <row r="120" spans="1:13" s="67" customFormat="1" ht="171.6" x14ac:dyDescent="0.3">
      <c r="A120" s="63"/>
      <c r="B120" s="65" t="s">
        <v>226</v>
      </c>
      <c r="C120" s="66" t="s">
        <v>84</v>
      </c>
      <c r="D120" s="61">
        <f t="shared" si="15"/>
        <v>-180000</v>
      </c>
      <c r="E120" s="60"/>
      <c r="F120" s="60"/>
      <c r="G120" s="60"/>
      <c r="H120" s="60"/>
      <c r="I120" s="60"/>
      <c r="J120" s="61"/>
      <c r="K120" s="61"/>
      <c r="L120" s="60"/>
      <c r="M120" s="61">
        <v>-180000</v>
      </c>
    </row>
    <row r="121" spans="1:13" s="67" customFormat="1" ht="46.8" x14ac:dyDescent="0.3">
      <c r="A121" s="63"/>
      <c r="B121" s="65" t="s">
        <v>226</v>
      </c>
      <c r="C121" s="66" t="s">
        <v>121</v>
      </c>
      <c r="D121" s="61">
        <f t="shared" si="15"/>
        <v>180000</v>
      </c>
      <c r="E121" s="60"/>
      <c r="F121" s="60"/>
      <c r="G121" s="60"/>
      <c r="H121" s="60"/>
      <c r="I121" s="60"/>
      <c r="J121" s="61"/>
      <c r="K121" s="61"/>
      <c r="L121" s="60"/>
      <c r="M121" s="61">
        <v>180000</v>
      </c>
    </row>
    <row r="122" spans="1:13" s="67" customFormat="1" ht="93.6" x14ac:dyDescent="0.3">
      <c r="A122" s="63"/>
      <c r="B122" s="65" t="s">
        <v>107</v>
      </c>
      <c r="C122" s="66" t="s">
        <v>227</v>
      </c>
      <c r="D122" s="61">
        <f t="shared" si="15"/>
        <v>-180.33</v>
      </c>
      <c r="E122" s="60"/>
      <c r="F122" s="60"/>
      <c r="G122" s="60"/>
      <c r="H122" s="60">
        <v>-180.33</v>
      </c>
      <c r="I122" s="60"/>
      <c r="J122" s="61"/>
      <c r="K122" s="61"/>
      <c r="L122" s="60"/>
      <c r="M122" s="61"/>
    </row>
    <row r="123" spans="1:13" s="8" customFormat="1" x14ac:dyDescent="0.3">
      <c r="A123" s="33" t="s">
        <v>174</v>
      </c>
      <c r="B123" s="40" t="s">
        <v>257</v>
      </c>
      <c r="C123" s="41" t="s">
        <v>254</v>
      </c>
      <c r="D123" s="7">
        <f>SUM(E123:M123)</f>
        <v>753287.82</v>
      </c>
      <c r="E123" s="42"/>
      <c r="F123" s="42">
        <f>F124</f>
        <v>753287.82</v>
      </c>
      <c r="G123" s="42"/>
      <c r="H123" s="42"/>
      <c r="I123" s="42"/>
      <c r="J123" s="7"/>
      <c r="K123" s="7"/>
      <c r="L123" s="42"/>
      <c r="M123" s="7"/>
    </row>
    <row r="124" spans="1:13" s="67" customFormat="1" ht="31.2" x14ac:dyDescent="0.3">
      <c r="A124" s="63"/>
      <c r="B124" s="54" t="s">
        <v>115</v>
      </c>
      <c r="C124" s="66" t="s">
        <v>255</v>
      </c>
      <c r="D124" s="61">
        <f>SUM(E124:M124)</f>
        <v>753287.82</v>
      </c>
      <c r="E124" s="60"/>
      <c r="F124" s="60">
        <v>753287.82</v>
      </c>
      <c r="G124" s="60"/>
      <c r="H124" s="60"/>
      <c r="I124" s="60"/>
      <c r="J124" s="61"/>
      <c r="K124" s="61"/>
      <c r="L124" s="60"/>
      <c r="M124" s="61"/>
    </row>
    <row r="125" spans="1:13" s="8" customFormat="1" x14ac:dyDescent="0.3">
      <c r="A125" s="33" t="s">
        <v>233</v>
      </c>
      <c r="B125" s="40">
        <v>7693</v>
      </c>
      <c r="C125" s="28" t="s">
        <v>108</v>
      </c>
      <c r="D125" s="7">
        <f t="shared" si="15"/>
        <v>12000000</v>
      </c>
      <c r="E125" s="42">
        <f>E126+E127</f>
        <v>12000000</v>
      </c>
      <c r="F125" s="42"/>
      <c r="G125" s="42"/>
      <c r="H125" s="42"/>
      <c r="I125" s="42"/>
      <c r="J125" s="7"/>
      <c r="K125" s="7"/>
      <c r="L125" s="42"/>
      <c r="M125" s="7"/>
    </row>
    <row r="126" spans="1:13" s="59" customFormat="1" ht="31.2" x14ac:dyDescent="0.3">
      <c r="A126" s="57"/>
      <c r="B126" s="54" t="s">
        <v>111</v>
      </c>
      <c r="C126" s="30" t="s">
        <v>109</v>
      </c>
      <c r="D126" s="36">
        <f t="shared" si="15"/>
        <v>8000000</v>
      </c>
      <c r="E126" s="38">
        <v>8000000</v>
      </c>
      <c r="F126" s="38"/>
      <c r="G126" s="38"/>
      <c r="H126" s="38"/>
      <c r="I126" s="38"/>
      <c r="J126" s="58"/>
      <c r="K126" s="58"/>
      <c r="L126" s="38"/>
      <c r="M126" s="58"/>
    </row>
    <row r="127" spans="1:13" s="59" customFormat="1" ht="62.4" x14ac:dyDescent="0.3">
      <c r="A127" s="57"/>
      <c r="B127" s="54" t="s">
        <v>112</v>
      </c>
      <c r="C127" s="30" t="s">
        <v>110</v>
      </c>
      <c r="D127" s="36">
        <f t="shared" si="15"/>
        <v>4000000</v>
      </c>
      <c r="E127" s="38">
        <v>4000000</v>
      </c>
      <c r="F127" s="38"/>
      <c r="G127" s="38"/>
      <c r="H127" s="38"/>
      <c r="I127" s="38"/>
      <c r="J127" s="58"/>
      <c r="K127" s="58"/>
      <c r="L127" s="38"/>
      <c r="M127" s="58"/>
    </row>
    <row r="128" spans="1:13" s="8" customFormat="1" x14ac:dyDescent="0.3">
      <c r="A128" s="33" t="s">
        <v>256</v>
      </c>
      <c r="B128" s="40">
        <v>8340</v>
      </c>
      <c r="C128" s="28" t="s">
        <v>75</v>
      </c>
      <c r="D128" s="7">
        <f t="shared" si="15"/>
        <v>0</v>
      </c>
      <c r="E128" s="42"/>
      <c r="F128" s="42"/>
      <c r="G128" s="42"/>
      <c r="H128" s="42"/>
      <c r="I128" s="42"/>
      <c r="J128" s="7"/>
      <c r="K128" s="7"/>
      <c r="L128" s="42">
        <f>L129+L130</f>
        <v>0</v>
      </c>
      <c r="M128" s="7"/>
    </row>
    <row r="129" spans="1:13" s="59" customFormat="1" ht="62.4" x14ac:dyDescent="0.3">
      <c r="A129" s="57"/>
      <c r="B129" s="54" t="s">
        <v>120</v>
      </c>
      <c r="C129" s="30" t="s">
        <v>118</v>
      </c>
      <c r="D129" s="36">
        <f t="shared" si="15"/>
        <v>336126</v>
      </c>
      <c r="E129" s="38"/>
      <c r="F129" s="38"/>
      <c r="G129" s="38"/>
      <c r="H129" s="38"/>
      <c r="I129" s="38"/>
      <c r="J129" s="58"/>
      <c r="K129" s="58"/>
      <c r="L129" s="38">
        <v>336126</v>
      </c>
      <c r="M129" s="58"/>
    </row>
    <row r="130" spans="1:13" s="59" customFormat="1" ht="78" x14ac:dyDescent="0.3">
      <c r="A130" s="57"/>
      <c r="B130" s="54" t="s">
        <v>120</v>
      </c>
      <c r="C130" s="30" t="s">
        <v>119</v>
      </c>
      <c r="D130" s="36">
        <f t="shared" si="15"/>
        <v>-336126</v>
      </c>
      <c r="E130" s="38"/>
      <c r="F130" s="38"/>
      <c r="G130" s="38"/>
      <c r="H130" s="38"/>
      <c r="I130" s="38"/>
      <c r="J130" s="58"/>
      <c r="K130" s="58"/>
      <c r="L130" s="38">
        <v>-336126</v>
      </c>
      <c r="M130" s="58"/>
    </row>
    <row r="131" spans="1:13" s="19" customFormat="1" ht="17.399999999999999" x14ac:dyDescent="0.3">
      <c r="A131" s="31" t="s">
        <v>175</v>
      </c>
      <c r="B131" s="18"/>
      <c r="C131" s="32" t="s">
        <v>122</v>
      </c>
      <c r="D131" s="25">
        <f t="shared" si="15"/>
        <v>-4152315.29</v>
      </c>
      <c r="E131" s="25">
        <f>E132+E134+E136+E141+E143</f>
        <v>-100000</v>
      </c>
      <c r="F131" s="25">
        <f t="shared" ref="F131:M131" si="21">F132+F134+F136+F141+F143</f>
        <v>-5686606</v>
      </c>
      <c r="G131" s="25">
        <f t="shared" si="21"/>
        <v>0</v>
      </c>
      <c r="H131" s="25">
        <f t="shared" si="21"/>
        <v>1634290.71</v>
      </c>
      <c r="I131" s="25">
        <f t="shared" si="21"/>
        <v>0</v>
      </c>
      <c r="J131" s="25">
        <f t="shared" si="21"/>
        <v>0</v>
      </c>
      <c r="K131" s="25">
        <f t="shared" si="21"/>
        <v>0</v>
      </c>
      <c r="L131" s="25">
        <f t="shared" si="21"/>
        <v>0</v>
      </c>
      <c r="M131" s="25">
        <f t="shared" si="21"/>
        <v>0</v>
      </c>
    </row>
    <row r="132" spans="1:13" s="8" customFormat="1" ht="31.2" x14ac:dyDescent="0.3">
      <c r="A132" s="33" t="s">
        <v>152</v>
      </c>
      <c r="B132" s="90" t="s">
        <v>59</v>
      </c>
      <c r="C132" s="28" t="s">
        <v>60</v>
      </c>
      <c r="D132" s="7">
        <f t="shared" si="15"/>
        <v>-100000</v>
      </c>
      <c r="E132" s="7">
        <f>E133</f>
        <v>-100000</v>
      </c>
      <c r="F132" s="7"/>
      <c r="G132" s="7"/>
      <c r="H132" s="7"/>
      <c r="I132" s="7"/>
      <c r="J132" s="7"/>
      <c r="K132" s="7"/>
      <c r="L132" s="7"/>
      <c r="M132" s="7"/>
    </row>
    <row r="133" spans="1:13" s="20" customFormat="1" x14ac:dyDescent="0.3">
      <c r="A133" s="34"/>
      <c r="B133" s="95" t="s">
        <v>107</v>
      </c>
      <c r="C133" s="30" t="s">
        <v>66</v>
      </c>
      <c r="D133" s="36">
        <f t="shared" si="15"/>
        <v>-100000</v>
      </c>
      <c r="E133" s="36">
        <v>-100000</v>
      </c>
      <c r="F133" s="36"/>
      <c r="G133" s="36"/>
      <c r="H133" s="36"/>
      <c r="I133" s="36"/>
      <c r="J133" s="36"/>
      <c r="K133" s="36"/>
      <c r="L133" s="36"/>
      <c r="M133" s="36"/>
    </row>
    <row r="134" spans="1:13" s="8" customFormat="1" x14ac:dyDescent="0.3">
      <c r="A134" s="33" t="s">
        <v>176</v>
      </c>
      <c r="B134" s="40">
        <v>1300</v>
      </c>
      <c r="C134" s="28" t="s">
        <v>123</v>
      </c>
      <c r="D134" s="7">
        <f t="shared" si="15"/>
        <v>-2546569.4900000002</v>
      </c>
      <c r="E134" s="42"/>
      <c r="F134" s="42">
        <f>F135</f>
        <v>-2546569.4900000002</v>
      </c>
      <c r="G134" s="42"/>
      <c r="H134" s="42"/>
      <c r="I134" s="42"/>
      <c r="J134" s="7"/>
      <c r="K134" s="7"/>
      <c r="L134" s="42"/>
      <c r="M134" s="7"/>
    </row>
    <row r="135" spans="1:13" s="59" customFormat="1" ht="78" x14ac:dyDescent="0.3">
      <c r="A135" s="57"/>
      <c r="B135" s="43" t="s">
        <v>125</v>
      </c>
      <c r="C135" s="30" t="s">
        <v>124</v>
      </c>
      <c r="D135" s="36">
        <f t="shared" si="15"/>
        <v>-2546569.4900000002</v>
      </c>
      <c r="E135" s="38"/>
      <c r="F135" s="38">
        <v>-2546569.4900000002</v>
      </c>
      <c r="G135" s="38"/>
      <c r="H135" s="38"/>
      <c r="I135" s="38"/>
      <c r="J135" s="58"/>
      <c r="K135" s="58"/>
      <c r="L135" s="38"/>
      <c r="M135" s="58"/>
    </row>
    <row r="136" spans="1:13" s="8" customFormat="1" x14ac:dyDescent="0.3">
      <c r="A136" s="33" t="s">
        <v>177</v>
      </c>
      <c r="B136" s="40" t="s">
        <v>126</v>
      </c>
      <c r="C136" s="44" t="s">
        <v>117</v>
      </c>
      <c r="D136" s="7">
        <f t="shared" si="15"/>
        <v>1859963.49</v>
      </c>
      <c r="E136" s="42"/>
      <c r="F136" s="42">
        <f>SUM(F137:F140)</f>
        <v>1859963.49</v>
      </c>
      <c r="G136" s="42"/>
      <c r="H136" s="42"/>
      <c r="I136" s="42"/>
      <c r="J136" s="7"/>
      <c r="K136" s="7"/>
      <c r="L136" s="42"/>
      <c r="M136" s="7"/>
    </row>
    <row r="137" spans="1:13" s="59" customFormat="1" ht="109.2" x14ac:dyDescent="0.3">
      <c r="A137" s="57"/>
      <c r="B137" s="43" t="s">
        <v>125</v>
      </c>
      <c r="C137" s="30" t="s">
        <v>127</v>
      </c>
      <c r="D137" s="36">
        <f t="shared" si="15"/>
        <v>888532.49</v>
      </c>
      <c r="E137" s="38"/>
      <c r="F137" s="38">
        <v>888532.49</v>
      </c>
      <c r="G137" s="38"/>
      <c r="H137" s="38"/>
      <c r="I137" s="38"/>
      <c r="J137" s="58"/>
      <c r="K137" s="58"/>
      <c r="L137" s="38"/>
      <c r="M137" s="58"/>
    </row>
    <row r="138" spans="1:13" s="59" customFormat="1" ht="46.8" x14ac:dyDescent="0.3">
      <c r="A138" s="57"/>
      <c r="B138" s="43" t="s">
        <v>115</v>
      </c>
      <c r="C138" s="30" t="s">
        <v>128</v>
      </c>
      <c r="D138" s="36">
        <f t="shared" ref="D138:D169" si="22">SUM(E138:M138)</f>
        <v>-28569</v>
      </c>
      <c r="E138" s="38"/>
      <c r="F138" s="38">
        <v>-28569</v>
      </c>
      <c r="G138" s="38"/>
      <c r="H138" s="38"/>
      <c r="I138" s="38"/>
      <c r="J138" s="58"/>
      <c r="K138" s="58"/>
      <c r="L138" s="38"/>
      <c r="M138" s="58"/>
    </row>
    <row r="139" spans="1:13" s="59" customFormat="1" ht="62.4" x14ac:dyDescent="0.3">
      <c r="A139" s="57"/>
      <c r="B139" s="43" t="s">
        <v>223</v>
      </c>
      <c r="C139" s="30" t="s">
        <v>222</v>
      </c>
      <c r="D139" s="36">
        <f t="shared" si="22"/>
        <v>500000</v>
      </c>
      <c r="E139" s="38"/>
      <c r="F139" s="38">
        <v>500000</v>
      </c>
      <c r="G139" s="38"/>
      <c r="H139" s="38"/>
      <c r="I139" s="38"/>
      <c r="J139" s="58"/>
      <c r="K139" s="58"/>
      <c r="L139" s="38"/>
      <c r="M139" s="58"/>
    </row>
    <row r="140" spans="1:13" s="59" customFormat="1" ht="46.8" x14ac:dyDescent="0.3">
      <c r="A140" s="57"/>
      <c r="B140" s="43" t="s">
        <v>225</v>
      </c>
      <c r="C140" s="30" t="s">
        <v>224</v>
      </c>
      <c r="D140" s="36">
        <f t="shared" si="22"/>
        <v>500000</v>
      </c>
      <c r="E140" s="38"/>
      <c r="F140" s="38">
        <v>500000</v>
      </c>
      <c r="G140" s="38"/>
      <c r="H140" s="38"/>
      <c r="I140" s="38"/>
      <c r="J140" s="58"/>
      <c r="K140" s="58"/>
      <c r="L140" s="38"/>
      <c r="M140" s="58"/>
    </row>
    <row r="141" spans="1:13" s="8" customFormat="1" ht="31.2" x14ac:dyDescent="0.3">
      <c r="A141" s="33" t="s">
        <v>258</v>
      </c>
      <c r="B141" s="40" t="s">
        <v>236</v>
      </c>
      <c r="C141" s="28" t="s">
        <v>237</v>
      </c>
      <c r="D141" s="7">
        <f t="shared" si="22"/>
        <v>-5000000</v>
      </c>
      <c r="E141" s="42"/>
      <c r="F141" s="42">
        <f>F142</f>
        <v>-5000000</v>
      </c>
      <c r="G141" s="42"/>
      <c r="H141" s="42"/>
      <c r="I141" s="42"/>
      <c r="J141" s="7"/>
      <c r="K141" s="7"/>
      <c r="L141" s="42"/>
      <c r="M141" s="7"/>
    </row>
    <row r="142" spans="1:13" s="59" customFormat="1" ht="31.2" x14ac:dyDescent="0.3">
      <c r="A142" s="57"/>
      <c r="B142" s="43"/>
      <c r="C142" s="30" t="s">
        <v>238</v>
      </c>
      <c r="D142" s="36">
        <f t="shared" si="22"/>
        <v>-5000000</v>
      </c>
      <c r="E142" s="38"/>
      <c r="F142" s="38">
        <v>-5000000</v>
      </c>
      <c r="G142" s="38"/>
      <c r="H142" s="38"/>
      <c r="I142" s="38"/>
      <c r="J142" s="58"/>
      <c r="K142" s="58"/>
      <c r="L142" s="38"/>
      <c r="M142" s="58"/>
    </row>
    <row r="143" spans="1:13" s="8" customFormat="1" ht="93.6" x14ac:dyDescent="0.3">
      <c r="A143" s="33" t="s">
        <v>259</v>
      </c>
      <c r="B143" s="40">
        <v>7691</v>
      </c>
      <c r="C143" s="41" t="s">
        <v>46</v>
      </c>
      <c r="D143" s="7">
        <f t="shared" ref="D143:D144" si="23">SUM(E143:M143)</f>
        <v>1634290.71</v>
      </c>
      <c r="E143" s="7"/>
      <c r="F143" s="7"/>
      <c r="G143" s="7"/>
      <c r="H143" s="7">
        <f>SUM(H144:H147)</f>
        <v>1634290.71</v>
      </c>
      <c r="I143" s="42"/>
      <c r="J143" s="7"/>
      <c r="K143" s="7"/>
      <c r="L143" s="42"/>
      <c r="M143" s="7">
        <f>M144+M145</f>
        <v>0</v>
      </c>
    </row>
    <row r="144" spans="1:13" s="67" customFormat="1" ht="62.4" x14ac:dyDescent="0.3">
      <c r="A144" s="63"/>
      <c r="B144" s="65" t="s">
        <v>235</v>
      </c>
      <c r="C144" s="66" t="s">
        <v>234</v>
      </c>
      <c r="D144" s="61">
        <f t="shared" si="23"/>
        <v>1634290.71</v>
      </c>
      <c r="E144" s="60"/>
      <c r="F144" s="60"/>
      <c r="G144" s="60"/>
      <c r="H144" s="60">
        <v>1634290.71</v>
      </c>
      <c r="I144" s="60"/>
      <c r="J144" s="61"/>
      <c r="K144" s="61"/>
      <c r="L144" s="60"/>
      <c r="M144" s="61"/>
    </row>
    <row r="145" spans="1:13" s="19" customFormat="1" ht="34.799999999999997" x14ac:dyDescent="0.3">
      <c r="A145" s="31" t="s">
        <v>178</v>
      </c>
      <c r="B145" s="18"/>
      <c r="C145" s="32" t="s">
        <v>129</v>
      </c>
      <c r="D145" s="25">
        <f t="shared" si="22"/>
        <v>-150000</v>
      </c>
      <c r="E145" s="25">
        <f>E146+E148+E150</f>
        <v>-1000000</v>
      </c>
      <c r="F145" s="25">
        <f t="shared" ref="F145:M145" si="24">F146+F148+F150</f>
        <v>850000</v>
      </c>
      <c r="G145" s="25">
        <f t="shared" si="24"/>
        <v>0</v>
      </c>
      <c r="H145" s="25"/>
      <c r="I145" s="25"/>
      <c r="J145" s="25">
        <f t="shared" si="24"/>
        <v>0</v>
      </c>
      <c r="K145" s="25">
        <f t="shared" si="24"/>
        <v>0</v>
      </c>
      <c r="L145" s="25">
        <f t="shared" ref="L145" si="25">L146+L148+L150</f>
        <v>0</v>
      </c>
      <c r="M145" s="25">
        <f t="shared" si="24"/>
        <v>0</v>
      </c>
    </row>
    <row r="146" spans="1:13" s="8" customFormat="1" ht="31.2" x14ac:dyDescent="0.3">
      <c r="A146" s="33" t="s">
        <v>179</v>
      </c>
      <c r="B146" s="90" t="s">
        <v>59</v>
      </c>
      <c r="C146" s="28" t="s">
        <v>60</v>
      </c>
      <c r="D146" s="7">
        <f t="shared" si="22"/>
        <v>-400000</v>
      </c>
      <c r="E146" s="7">
        <f>E147</f>
        <v>-400000</v>
      </c>
      <c r="F146" s="7"/>
      <c r="G146" s="7"/>
      <c r="H146" s="7"/>
      <c r="I146" s="7"/>
      <c r="J146" s="7"/>
      <c r="K146" s="7"/>
      <c r="L146" s="7"/>
      <c r="M146" s="7"/>
    </row>
    <row r="147" spans="1:13" s="20" customFormat="1" x14ac:dyDescent="0.3">
      <c r="A147" s="34"/>
      <c r="B147" s="95" t="s">
        <v>107</v>
      </c>
      <c r="C147" s="30" t="s">
        <v>66</v>
      </c>
      <c r="D147" s="36">
        <f t="shared" si="22"/>
        <v>-400000</v>
      </c>
      <c r="E147" s="36">
        <v>-400000</v>
      </c>
      <c r="F147" s="36"/>
      <c r="G147" s="36"/>
      <c r="H147" s="36"/>
      <c r="I147" s="36"/>
      <c r="J147" s="36"/>
      <c r="K147" s="36"/>
      <c r="L147" s="36"/>
      <c r="M147" s="36"/>
    </row>
    <row r="148" spans="1:13" s="8" customFormat="1" x14ac:dyDescent="0.3">
      <c r="A148" s="33" t="s">
        <v>180</v>
      </c>
      <c r="B148" s="40" t="s">
        <v>130</v>
      </c>
      <c r="C148" s="44" t="s">
        <v>131</v>
      </c>
      <c r="D148" s="7">
        <f t="shared" si="22"/>
        <v>-600000</v>
      </c>
      <c r="E148" s="42">
        <f>E149</f>
        <v>-600000</v>
      </c>
      <c r="F148" s="42"/>
      <c r="G148" s="42"/>
      <c r="H148" s="42"/>
      <c r="I148" s="42"/>
      <c r="J148" s="7"/>
      <c r="K148" s="7"/>
      <c r="L148" s="42"/>
      <c r="M148" s="7"/>
    </row>
    <row r="149" spans="1:13" s="59" customFormat="1" ht="46.8" x14ac:dyDescent="0.3">
      <c r="A149" s="57"/>
      <c r="B149" s="43" t="s">
        <v>133</v>
      </c>
      <c r="C149" s="30" t="s">
        <v>132</v>
      </c>
      <c r="D149" s="36">
        <f t="shared" si="22"/>
        <v>-600000</v>
      </c>
      <c r="E149" s="38">
        <v>-600000</v>
      </c>
      <c r="F149" s="38"/>
      <c r="G149" s="38"/>
      <c r="H149" s="38"/>
      <c r="I149" s="38"/>
      <c r="J149" s="58"/>
      <c r="K149" s="58"/>
      <c r="L149" s="38"/>
      <c r="M149" s="58"/>
    </row>
    <row r="150" spans="1:13" s="8" customFormat="1" x14ac:dyDescent="0.3">
      <c r="A150" s="33" t="s">
        <v>181</v>
      </c>
      <c r="B150" s="40" t="s">
        <v>67</v>
      </c>
      <c r="C150" s="28" t="s">
        <v>108</v>
      </c>
      <c r="D150" s="7">
        <f t="shared" si="22"/>
        <v>850000</v>
      </c>
      <c r="E150" s="42"/>
      <c r="F150" s="42">
        <f>F151</f>
        <v>850000</v>
      </c>
      <c r="G150" s="42"/>
      <c r="H150" s="42"/>
      <c r="I150" s="42"/>
      <c r="J150" s="7"/>
      <c r="K150" s="7"/>
      <c r="L150" s="42"/>
      <c r="M150" s="7"/>
    </row>
    <row r="151" spans="1:13" s="59" customFormat="1" ht="31.2" x14ac:dyDescent="0.3">
      <c r="A151" s="57"/>
      <c r="B151" s="43" t="s">
        <v>239</v>
      </c>
      <c r="C151" s="30" t="s">
        <v>134</v>
      </c>
      <c r="D151" s="36">
        <f t="shared" si="22"/>
        <v>850000</v>
      </c>
      <c r="E151" s="38"/>
      <c r="F151" s="38">
        <v>850000</v>
      </c>
      <c r="G151" s="38"/>
      <c r="H151" s="38"/>
      <c r="I151" s="38"/>
      <c r="J151" s="58"/>
      <c r="K151" s="58"/>
      <c r="L151" s="38"/>
      <c r="M151" s="58"/>
    </row>
    <row r="152" spans="1:13" s="19" customFormat="1" ht="17.399999999999999" x14ac:dyDescent="0.3">
      <c r="A152" s="31" t="s">
        <v>182</v>
      </c>
      <c r="B152" s="18"/>
      <c r="C152" s="32" t="s">
        <v>5</v>
      </c>
      <c r="D152" s="25">
        <f t="shared" si="22"/>
        <v>93000</v>
      </c>
      <c r="E152" s="25">
        <f>E153+E155</f>
        <v>93000</v>
      </c>
      <c r="F152" s="25">
        <f t="shared" ref="F152:M152" si="26">F153+F155</f>
        <v>0</v>
      </c>
      <c r="G152" s="25">
        <f t="shared" si="26"/>
        <v>0</v>
      </c>
      <c r="H152" s="25">
        <f t="shared" si="26"/>
        <v>0</v>
      </c>
      <c r="I152" s="25">
        <f t="shared" si="26"/>
        <v>0</v>
      </c>
      <c r="J152" s="25">
        <f t="shared" si="26"/>
        <v>-5400000</v>
      </c>
      <c r="K152" s="25">
        <f t="shared" si="26"/>
        <v>5400000</v>
      </c>
      <c r="L152" s="25">
        <f t="shared" ref="L152" si="27">L153+L155</f>
        <v>0</v>
      </c>
      <c r="M152" s="25">
        <f t="shared" si="26"/>
        <v>0</v>
      </c>
    </row>
    <row r="153" spans="1:13" s="8" customFormat="1" ht="31.2" x14ac:dyDescent="0.3">
      <c r="A153" s="33" t="s">
        <v>183</v>
      </c>
      <c r="B153" s="90" t="s">
        <v>59</v>
      </c>
      <c r="C153" s="28" t="s">
        <v>60</v>
      </c>
      <c r="D153" s="7">
        <f t="shared" si="22"/>
        <v>93000</v>
      </c>
      <c r="E153" s="7">
        <f>E154</f>
        <v>93000</v>
      </c>
      <c r="F153" s="7"/>
      <c r="G153" s="7"/>
      <c r="H153" s="7"/>
      <c r="I153" s="7"/>
      <c r="J153" s="7"/>
      <c r="K153" s="7"/>
      <c r="L153" s="7"/>
      <c r="M153" s="7"/>
    </row>
    <row r="154" spans="1:13" s="20" customFormat="1" x14ac:dyDescent="0.3">
      <c r="A154" s="34"/>
      <c r="B154" s="95" t="s">
        <v>107</v>
      </c>
      <c r="C154" s="30" t="s">
        <v>66</v>
      </c>
      <c r="D154" s="36">
        <f t="shared" si="22"/>
        <v>93000</v>
      </c>
      <c r="E154" s="36">
        <v>93000</v>
      </c>
      <c r="F154" s="36"/>
      <c r="G154" s="36"/>
      <c r="H154" s="36"/>
      <c r="I154" s="36"/>
      <c r="J154" s="36"/>
      <c r="K154" s="36"/>
      <c r="L154" s="36"/>
      <c r="M154" s="36"/>
    </row>
    <row r="155" spans="1:13" s="8" customFormat="1" ht="52.2" x14ac:dyDescent="0.3">
      <c r="A155" s="33" t="s">
        <v>184</v>
      </c>
      <c r="B155" s="69">
        <v>9800</v>
      </c>
      <c r="C155" s="70" t="s">
        <v>21</v>
      </c>
      <c r="D155" s="7">
        <f t="shared" si="22"/>
        <v>0</v>
      </c>
      <c r="E155" s="7"/>
      <c r="F155" s="7"/>
      <c r="G155" s="7"/>
      <c r="H155" s="7"/>
      <c r="I155" s="7"/>
      <c r="J155" s="7">
        <f>J156</f>
        <v>-5400000</v>
      </c>
      <c r="K155" s="7">
        <f>K156</f>
        <v>5400000</v>
      </c>
      <c r="L155" s="7"/>
      <c r="M155" s="7"/>
    </row>
    <row r="156" spans="1:13" s="67" customFormat="1" ht="62.4" x14ac:dyDescent="0.3">
      <c r="A156" s="63"/>
      <c r="B156" s="71"/>
      <c r="C156" s="68" t="s">
        <v>6</v>
      </c>
      <c r="D156" s="61">
        <f t="shared" si="22"/>
        <v>0</v>
      </c>
      <c r="E156" s="61"/>
      <c r="F156" s="61"/>
      <c r="G156" s="61"/>
      <c r="H156" s="61"/>
      <c r="I156" s="61"/>
      <c r="J156" s="61">
        <f>SUM(J157:J166)</f>
        <v>-5400000</v>
      </c>
      <c r="K156" s="61">
        <f>SUM(K157:K166)</f>
        <v>5400000</v>
      </c>
      <c r="L156" s="61"/>
      <c r="M156" s="61"/>
    </row>
    <row r="157" spans="1:13" s="20" customFormat="1" x14ac:dyDescent="0.3">
      <c r="A157" s="34"/>
      <c r="B157" s="62" t="s">
        <v>155</v>
      </c>
      <c r="C157" s="30" t="s">
        <v>154</v>
      </c>
      <c r="D157" s="36">
        <f t="shared" si="22"/>
        <v>-1500000</v>
      </c>
      <c r="E157" s="36"/>
      <c r="F157" s="36"/>
      <c r="G157" s="36"/>
      <c r="H157" s="36"/>
      <c r="I157" s="36"/>
      <c r="J157" s="36"/>
      <c r="K157" s="36">
        <v>-1500000</v>
      </c>
      <c r="L157" s="36"/>
      <c r="M157" s="36"/>
    </row>
    <row r="158" spans="1:13" s="20" customFormat="1" x14ac:dyDescent="0.3">
      <c r="A158" s="34"/>
      <c r="B158" s="62" t="s">
        <v>153</v>
      </c>
      <c r="C158" s="30" t="s">
        <v>85</v>
      </c>
      <c r="D158" s="36">
        <f t="shared" si="22"/>
        <v>0</v>
      </c>
      <c r="E158" s="36"/>
      <c r="F158" s="36"/>
      <c r="G158" s="36"/>
      <c r="H158" s="36"/>
      <c r="I158" s="36"/>
      <c r="J158" s="36">
        <v>2000000</v>
      </c>
      <c r="K158" s="36">
        <v>-2000000</v>
      </c>
      <c r="L158" s="36"/>
      <c r="M158" s="36"/>
    </row>
    <row r="159" spans="1:13" s="20" customFormat="1" x14ac:dyDescent="0.3">
      <c r="A159" s="34"/>
      <c r="B159" s="62" t="s">
        <v>153</v>
      </c>
      <c r="C159" s="30" t="s">
        <v>86</v>
      </c>
      <c r="D159" s="36">
        <f t="shared" si="22"/>
        <v>0</v>
      </c>
      <c r="E159" s="36"/>
      <c r="F159" s="36"/>
      <c r="G159" s="36"/>
      <c r="H159" s="36"/>
      <c r="I159" s="36"/>
      <c r="J159" s="36">
        <v>-1050000</v>
      </c>
      <c r="K159" s="36">
        <v>1050000</v>
      </c>
      <c r="L159" s="36"/>
      <c r="M159" s="36"/>
    </row>
    <row r="160" spans="1:13" s="20" customFormat="1" ht="31.2" x14ac:dyDescent="0.3">
      <c r="A160" s="34"/>
      <c r="B160" s="62" t="s">
        <v>153</v>
      </c>
      <c r="C160" s="30" t="s">
        <v>87</v>
      </c>
      <c r="D160" s="36">
        <f t="shared" si="22"/>
        <v>0</v>
      </c>
      <c r="E160" s="36"/>
      <c r="F160" s="36"/>
      <c r="G160" s="36"/>
      <c r="H160" s="36"/>
      <c r="I160" s="36"/>
      <c r="J160" s="36">
        <v>-750000</v>
      </c>
      <c r="K160" s="36">
        <v>750000</v>
      </c>
      <c r="L160" s="36"/>
      <c r="M160" s="36"/>
    </row>
    <row r="161" spans="1:14" s="20" customFormat="1" ht="26.4" x14ac:dyDescent="0.3">
      <c r="A161" s="34"/>
      <c r="B161" s="62" t="s">
        <v>156</v>
      </c>
      <c r="C161" s="30" t="s">
        <v>157</v>
      </c>
      <c r="D161" s="36">
        <f t="shared" si="22"/>
        <v>1000000</v>
      </c>
      <c r="E161" s="36"/>
      <c r="F161" s="36" t="s">
        <v>16</v>
      </c>
      <c r="G161" s="36"/>
      <c r="H161" s="36"/>
      <c r="I161" s="36"/>
      <c r="J161" s="36">
        <v>200000</v>
      </c>
      <c r="K161" s="36">
        <v>800000</v>
      </c>
      <c r="L161" s="36"/>
      <c r="M161" s="36"/>
    </row>
    <row r="162" spans="1:14" s="20" customFormat="1" ht="26.4" x14ac:dyDescent="0.3">
      <c r="A162" s="34"/>
      <c r="B162" s="62" t="s">
        <v>158</v>
      </c>
      <c r="C162" s="30" t="s">
        <v>159</v>
      </c>
      <c r="D162" s="36">
        <f t="shared" si="22"/>
        <v>500000</v>
      </c>
      <c r="E162" s="36"/>
      <c r="F162" s="36"/>
      <c r="G162" s="36"/>
      <c r="H162" s="36"/>
      <c r="I162" s="36"/>
      <c r="J162" s="36">
        <v>500000</v>
      </c>
      <c r="K162" s="36"/>
      <c r="L162" s="36"/>
      <c r="M162" s="36"/>
    </row>
    <row r="163" spans="1:14" s="20" customFormat="1" ht="26.4" x14ac:dyDescent="0.3">
      <c r="A163" s="34"/>
      <c r="B163" s="62" t="s">
        <v>160</v>
      </c>
      <c r="C163" s="30" t="s">
        <v>161</v>
      </c>
      <c r="D163" s="36">
        <f t="shared" si="22"/>
        <v>500000</v>
      </c>
      <c r="E163" s="36"/>
      <c r="F163" s="36"/>
      <c r="G163" s="36"/>
      <c r="H163" s="36"/>
      <c r="I163" s="36"/>
      <c r="J163" s="36">
        <v>500000</v>
      </c>
      <c r="K163" s="36"/>
      <c r="L163" s="36"/>
      <c r="M163" s="36"/>
    </row>
    <row r="164" spans="1:14" s="20" customFormat="1" ht="31.2" x14ac:dyDescent="0.3">
      <c r="A164" s="34"/>
      <c r="B164" s="62" t="s">
        <v>162</v>
      </c>
      <c r="C164" s="30" t="s">
        <v>163</v>
      </c>
      <c r="D164" s="36">
        <f t="shared" si="22"/>
        <v>1000000</v>
      </c>
      <c r="E164" s="36"/>
      <c r="F164" s="36"/>
      <c r="G164" s="36"/>
      <c r="H164" s="36"/>
      <c r="I164" s="36"/>
      <c r="J164" s="36"/>
      <c r="K164" s="36">
        <v>1000000</v>
      </c>
      <c r="L164" s="36"/>
      <c r="M164" s="36"/>
    </row>
    <row r="165" spans="1:14" s="20" customFormat="1" ht="31.2" x14ac:dyDescent="0.3">
      <c r="A165" s="34"/>
      <c r="B165" s="62" t="s">
        <v>164</v>
      </c>
      <c r="C165" s="30" t="s">
        <v>165</v>
      </c>
      <c r="D165" s="36">
        <f t="shared" si="22"/>
        <v>2300000</v>
      </c>
      <c r="E165" s="36"/>
      <c r="F165" s="36"/>
      <c r="G165" s="36"/>
      <c r="H165" s="36"/>
      <c r="I165" s="36"/>
      <c r="J165" s="36"/>
      <c r="K165" s="36">
        <v>2300000</v>
      </c>
      <c r="L165" s="36"/>
      <c r="M165" s="36"/>
    </row>
    <row r="166" spans="1:14" s="20" customFormat="1" ht="46.8" x14ac:dyDescent="0.3">
      <c r="A166" s="72"/>
      <c r="B166" s="35"/>
      <c r="C166" s="30" t="s">
        <v>61</v>
      </c>
      <c r="D166" s="36">
        <f t="shared" si="22"/>
        <v>-3800000</v>
      </c>
      <c r="E166" s="36"/>
      <c r="F166" s="36"/>
      <c r="G166" s="36"/>
      <c r="H166" s="36"/>
      <c r="I166" s="36"/>
      <c r="J166" s="36">
        <f>-3800000-3000000</f>
        <v>-6800000</v>
      </c>
      <c r="K166" s="38">
        <v>3000000</v>
      </c>
      <c r="L166" s="36"/>
      <c r="M166" s="36"/>
    </row>
    <row r="167" spans="1:14" s="19" customFormat="1" ht="17.399999999999999" x14ac:dyDescent="0.3">
      <c r="A167" s="31"/>
      <c r="B167" s="18"/>
      <c r="C167" s="32" t="s">
        <v>8</v>
      </c>
      <c r="D167" s="25">
        <f t="shared" si="22"/>
        <v>10843008.379999999</v>
      </c>
      <c r="E167" s="25">
        <f t="shared" ref="E167:M167" si="28">E6+E56+E94+E100+E103+E107+E110+E131+E145+E152</f>
        <v>4836474.4700000007</v>
      </c>
      <c r="F167" s="25">
        <f t="shared" si="28"/>
        <v>-4836474.4700000007</v>
      </c>
      <c r="G167" s="25">
        <f t="shared" si="28"/>
        <v>418898</v>
      </c>
      <c r="H167" s="25">
        <f t="shared" si="28"/>
        <v>1634110.38</v>
      </c>
      <c r="I167" s="25">
        <f t="shared" si="28"/>
        <v>8790000</v>
      </c>
      <c r="J167" s="25">
        <f t="shared" si="28"/>
        <v>-5400000</v>
      </c>
      <c r="K167" s="25">
        <f t="shared" si="28"/>
        <v>5400000</v>
      </c>
      <c r="L167" s="25">
        <f t="shared" si="28"/>
        <v>0</v>
      </c>
      <c r="M167" s="25">
        <f t="shared" si="28"/>
        <v>0</v>
      </c>
      <c r="N167" s="45"/>
    </row>
    <row r="168" spans="1:14" s="20" customFormat="1" x14ac:dyDescent="0.3">
      <c r="A168" s="34"/>
      <c r="B168" s="35"/>
      <c r="C168" s="30" t="s">
        <v>24</v>
      </c>
      <c r="D168" s="36">
        <f t="shared" si="22"/>
        <v>-144627.52999999933</v>
      </c>
      <c r="E168" s="36">
        <f>E167</f>
        <v>4836474.4700000007</v>
      </c>
      <c r="F168" s="36"/>
      <c r="G168" s="36">
        <f>G167</f>
        <v>418898</v>
      </c>
      <c r="H168" s="36"/>
      <c r="I168" s="36"/>
      <c r="J168" s="36">
        <f>J167</f>
        <v>-5400000</v>
      </c>
      <c r="K168" s="36"/>
      <c r="L168" s="36"/>
      <c r="M168" s="36"/>
      <c r="N168" s="73"/>
    </row>
    <row r="169" spans="1:14" s="20" customFormat="1" x14ac:dyDescent="0.3">
      <c r="A169" s="34"/>
      <c r="B169" s="35"/>
      <c r="C169" s="30" t="s">
        <v>240</v>
      </c>
      <c r="D169" s="36">
        <f t="shared" si="22"/>
        <v>10987635.91</v>
      </c>
      <c r="E169" s="36"/>
      <c r="F169" s="36">
        <f>F170+F171</f>
        <v>-4836474.4700000007</v>
      </c>
      <c r="G169" s="36"/>
      <c r="H169" s="36">
        <f t="shared" ref="H169:K169" si="29">H170+H171</f>
        <v>1634110.38</v>
      </c>
      <c r="I169" s="36">
        <f t="shared" si="29"/>
        <v>8790000</v>
      </c>
      <c r="J169" s="36"/>
      <c r="K169" s="36">
        <f t="shared" si="29"/>
        <v>5400000</v>
      </c>
      <c r="L169" s="36"/>
      <c r="M169" s="36"/>
      <c r="N169" s="73"/>
    </row>
    <row r="170" spans="1:14" s="20" customFormat="1" x14ac:dyDescent="0.3">
      <c r="A170" s="34"/>
      <c r="B170" s="35"/>
      <c r="C170" s="30" t="s">
        <v>241</v>
      </c>
      <c r="D170" s="36">
        <f t="shared" ref="D170:D171" si="30">SUM(E170:M170)</f>
        <v>9353525.5299999993</v>
      </c>
      <c r="E170" s="36"/>
      <c r="F170" s="36">
        <f>F167</f>
        <v>-4836474.4700000007</v>
      </c>
      <c r="G170" s="36"/>
      <c r="H170" s="36"/>
      <c r="I170" s="36">
        <f>I167</f>
        <v>8790000</v>
      </c>
      <c r="J170" s="36"/>
      <c r="K170" s="36">
        <f>K167</f>
        <v>5400000</v>
      </c>
      <c r="L170" s="36"/>
      <c r="M170" s="36"/>
      <c r="N170" s="73"/>
    </row>
    <row r="171" spans="1:14" s="20" customFormat="1" x14ac:dyDescent="0.3">
      <c r="A171" s="34"/>
      <c r="B171" s="35"/>
      <c r="C171" s="30" t="s">
        <v>242</v>
      </c>
      <c r="D171" s="36">
        <f t="shared" si="30"/>
        <v>1634110.38</v>
      </c>
      <c r="E171" s="36"/>
      <c r="F171" s="36"/>
      <c r="G171" s="36"/>
      <c r="H171" s="36">
        <f>H167</f>
        <v>1634110.38</v>
      </c>
      <c r="I171" s="36"/>
      <c r="J171" s="36"/>
      <c r="K171" s="36"/>
      <c r="L171" s="36"/>
      <c r="M171" s="36"/>
      <c r="N171" s="73"/>
    </row>
    <row r="172" spans="1:14" s="51" customFormat="1" ht="16.2" x14ac:dyDescent="0.35">
      <c r="A172" s="48"/>
      <c r="B172" s="49"/>
      <c r="C172" s="47" t="s">
        <v>42</v>
      </c>
      <c r="D172" s="50">
        <f>SUM(E172:M172)</f>
        <v>10843008.379999999</v>
      </c>
      <c r="E172" s="50">
        <f>E173+E174+E175</f>
        <v>4836474.4700000007</v>
      </c>
      <c r="F172" s="50">
        <f t="shared" ref="F172:M172" si="31">F173+F174+F175</f>
        <v>-4836474.4700000007</v>
      </c>
      <c r="G172" s="50">
        <f t="shared" si="31"/>
        <v>418898</v>
      </c>
      <c r="H172" s="50">
        <f t="shared" si="31"/>
        <v>1634110.38</v>
      </c>
      <c r="I172" s="50">
        <f t="shared" si="31"/>
        <v>8790000</v>
      </c>
      <c r="J172" s="50">
        <f t="shared" si="31"/>
        <v>-5400000</v>
      </c>
      <c r="K172" s="50">
        <f t="shared" si="31"/>
        <v>5400000</v>
      </c>
      <c r="L172" s="50">
        <f t="shared" si="31"/>
        <v>0</v>
      </c>
      <c r="M172" s="50">
        <f t="shared" si="31"/>
        <v>0</v>
      </c>
    </row>
    <row r="173" spans="1:14" s="78" customFormat="1" ht="31.2" x14ac:dyDescent="0.3">
      <c r="A173" s="74"/>
      <c r="B173" s="75"/>
      <c r="C173" s="76" t="s">
        <v>43</v>
      </c>
      <c r="D173" s="77">
        <f>SUM(E173:M173)</f>
        <v>8790000</v>
      </c>
      <c r="E173" s="77">
        <f>E167</f>
        <v>4836474.4700000007</v>
      </c>
      <c r="F173" s="77">
        <f>F167</f>
        <v>-4836474.4700000007</v>
      </c>
      <c r="G173" s="77"/>
      <c r="H173" s="77"/>
      <c r="I173" s="77">
        <f>I167</f>
        <v>8790000</v>
      </c>
      <c r="J173" s="77">
        <f>J167</f>
        <v>-5400000</v>
      </c>
      <c r="K173" s="77">
        <f>K167</f>
        <v>5400000</v>
      </c>
      <c r="L173" s="77"/>
      <c r="M173" s="77"/>
    </row>
    <row r="174" spans="1:14" s="78" customFormat="1" x14ac:dyDescent="0.3">
      <c r="A174" s="74"/>
      <c r="B174" s="75"/>
      <c r="C174" s="76" t="s">
        <v>243</v>
      </c>
      <c r="D174" s="77">
        <f t="shared" ref="D174:D175" si="32">SUM(E174:M174)</f>
        <v>1634110.38</v>
      </c>
      <c r="E174" s="77"/>
      <c r="F174" s="77"/>
      <c r="G174" s="77"/>
      <c r="H174" s="77">
        <f>H167</f>
        <v>1634110.38</v>
      </c>
      <c r="I174" s="77"/>
      <c r="J174" s="77"/>
      <c r="K174" s="77"/>
      <c r="L174" s="77"/>
      <c r="M174" s="77"/>
    </row>
    <row r="175" spans="1:14" s="78" customFormat="1" x14ac:dyDescent="0.3">
      <c r="A175" s="74"/>
      <c r="B175" s="75"/>
      <c r="C175" s="76" t="s">
        <v>70</v>
      </c>
      <c r="D175" s="77">
        <f t="shared" si="32"/>
        <v>418898</v>
      </c>
      <c r="E175" s="77"/>
      <c r="F175" s="77"/>
      <c r="G175" s="77">
        <f>G167</f>
        <v>418898</v>
      </c>
      <c r="H175" s="77"/>
      <c r="I175" s="77"/>
      <c r="J175" s="77"/>
      <c r="K175" s="77"/>
      <c r="L175" s="77"/>
      <c r="M175" s="77"/>
    </row>
    <row r="176" spans="1:14" s="83" customFormat="1" ht="7.95" customHeight="1" x14ac:dyDescent="0.3">
      <c r="A176" s="79"/>
      <c r="B176" s="80"/>
      <c r="C176" s="81"/>
      <c r="D176" s="82"/>
      <c r="E176" s="82"/>
      <c r="F176" s="82"/>
      <c r="G176" s="82"/>
      <c r="H176" s="82"/>
      <c r="I176" s="82"/>
      <c r="J176" s="82"/>
      <c r="K176" s="82"/>
      <c r="L176" s="82"/>
      <c r="M176" s="82"/>
    </row>
    <row r="177" spans="1:13" s="15" customFormat="1" x14ac:dyDescent="0.3">
      <c r="A177" s="12"/>
      <c r="B177" s="96"/>
      <c r="C177" s="13" t="s">
        <v>22</v>
      </c>
      <c r="D177" s="22"/>
      <c r="E177" s="22"/>
      <c r="F177" s="100" t="s">
        <v>89</v>
      </c>
      <c r="G177" s="13"/>
      <c r="H177" s="13"/>
      <c r="I177" s="13"/>
      <c r="K177" s="13"/>
      <c r="L177" s="22"/>
      <c r="M177" s="13"/>
    </row>
    <row r="178" spans="1:13" s="15" customFormat="1" x14ac:dyDescent="0.3">
      <c r="A178" s="12"/>
      <c r="B178" s="3"/>
      <c r="C178" s="13"/>
      <c r="D178" s="16"/>
      <c r="E178" s="16"/>
      <c r="F178" s="16"/>
      <c r="G178" s="16"/>
      <c r="H178" s="16"/>
      <c r="I178" s="16"/>
      <c r="J178" s="22"/>
      <c r="K178" s="13"/>
      <c r="L178" s="16"/>
      <c r="M178" s="13"/>
    </row>
    <row r="179" spans="1:13" x14ac:dyDescent="0.3">
      <c r="C179" s="56"/>
      <c r="D179" s="4"/>
      <c r="E179" s="24"/>
      <c r="F179" s="24"/>
      <c r="G179" s="24"/>
      <c r="H179" s="24"/>
      <c r="I179" s="24"/>
      <c r="J179" s="21"/>
      <c r="L179" s="24"/>
    </row>
    <row r="180" spans="1:13" x14ac:dyDescent="0.3">
      <c r="D180" s="4"/>
      <c r="E180" s="24"/>
      <c r="F180" s="24"/>
      <c r="G180" s="24"/>
      <c r="H180" s="24"/>
      <c r="I180" s="24"/>
      <c r="J180" s="21"/>
      <c r="L180" s="24"/>
    </row>
    <row r="181" spans="1:13" ht="17.399999999999999" x14ac:dyDescent="0.3">
      <c r="D181" s="4"/>
      <c r="E181" s="24"/>
      <c r="F181" s="27"/>
      <c r="G181" s="27"/>
      <c r="H181" s="27"/>
      <c r="I181" s="27"/>
      <c r="J181" s="26"/>
      <c r="L181" s="24"/>
    </row>
    <row r="182" spans="1:13" x14ac:dyDescent="0.3">
      <c r="D182" s="4"/>
      <c r="E182" s="24"/>
      <c r="F182" s="24"/>
      <c r="G182" s="24"/>
      <c r="H182" s="24"/>
      <c r="I182" s="24"/>
      <c r="L182" s="24"/>
    </row>
    <row r="183" spans="1:13" x14ac:dyDescent="0.3">
      <c r="D183" s="4"/>
      <c r="E183" s="9"/>
      <c r="F183" s="24"/>
      <c r="G183" s="24"/>
      <c r="H183" s="24"/>
      <c r="I183" s="24"/>
      <c r="L183" s="9"/>
    </row>
    <row r="184" spans="1:13" x14ac:dyDescent="0.3">
      <c r="D184" s="4"/>
      <c r="E184" s="9"/>
      <c r="F184" s="24"/>
      <c r="G184" s="24"/>
      <c r="H184" s="24"/>
      <c r="I184" s="24"/>
      <c r="L184" s="9"/>
    </row>
    <row r="185" spans="1:13" x14ac:dyDescent="0.3">
      <c r="D185" s="4"/>
      <c r="E185" s="24"/>
      <c r="F185" s="24"/>
      <c r="G185" s="24"/>
      <c r="H185" s="24"/>
      <c r="I185" s="24"/>
      <c r="L185" s="24"/>
    </row>
    <row r="186" spans="1:13" x14ac:dyDescent="0.3">
      <c r="D186" s="4"/>
      <c r="E186" s="24"/>
      <c r="F186" s="24"/>
      <c r="G186" s="24"/>
      <c r="H186" s="24"/>
      <c r="I186" s="24"/>
      <c r="L186" s="24"/>
    </row>
    <row r="187" spans="1:13" x14ac:dyDescent="0.3">
      <c r="D187" s="4"/>
      <c r="E187" s="24"/>
      <c r="F187" s="24"/>
      <c r="G187" s="24"/>
      <c r="H187" s="24"/>
      <c r="I187" s="24"/>
      <c r="L187" s="24"/>
    </row>
    <row r="188" spans="1:13" s="15" customFormat="1" x14ac:dyDescent="0.3">
      <c r="A188" s="12"/>
      <c r="B188" s="3"/>
      <c r="C188" s="13"/>
      <c r="D188" s="14"/>
      <c r="E188" s="14"/>
      <c r="F188" s="14"/>
      <c r="G188" s="14"/>
      <c r="H188" s="14"/>
      <c r="I188" s="14"/>
      <c r="J188" s="13"/>
      <c r="K188" s="13"/>
      <c r="L188" s="14"/>
      <c r="M188" s="13"/>
    </row>
    <row r="189" spans="1:13" x14ac:dyDescent="0.3">
      <c r="D189" s="4"/>
      <c r="E189" s="24"/>
      <c r="F189" s="24"/>
      <c r="G189" s="24"/>
      <c r="H189" s="24"/>
      <c r="I189" s="24"/>
      <c r="K189" s="13"/>
      <c r="L189" s="24"/>
      <c r="M189" s="13"/>
    </row>
    <row r="190" spans="1:13" x14ac:dyDescent="0.3">
      <c r="D190" s="4"/>
      <c r="E190" s="24"/>
      <c r="F190" s="24"/>
      <c r="G190" s="24"/>
      <c r="H190" s="24"/>
      <c r="I190" s="24"/>
      <c r="L190" s="24"/>
    </row>
    <row r="191" spans="1:13" s="15" customFormat="1" x14ac:dyDescent="0.3">
      <c r="A191" s="12"/>
      <c r="B191" s="3"/>
      <c r="C191" s="13"/>
      <c r="D191" s="14"/>
      <c r="E191" s="14"/>
      <c r="F191" s="14"/>
      <c r="G191" s="14"/>
      <c r="H191" s="14"/>
      <c r="I191" s="14"/>
      <c r="J191" s="13"/>
      <c r="K191" s="13"/>
      <c r="L191" s="14"/>
      <c r="M191" s="13"/>
    </row>
    <row r="192" spans="1:13" x14ac:dyDescent="0.3">
      <c r="D192" s="4"/>
      <c r="E192" s="24"/>
      <c r="F192" s="24"/>
      <c r="G192" s="24"/>
      <c r="H192" s="24"/>
      <c r="I192" s="24"/>
      <c r="L192" s="24"/>
    </row>
    <row r="193" spans="1:13" x14ac:dyDescent="0.3">
      <c r="D193" s="23"/>
      <c r="E193" s="24"/>
      <c r="F193" s="24"/>
      <c r="G193" s="24"/>
      <c r="H193" s="24"/>
      <c r="I193" s="24"/>
      <c r="L193" s="24"/>
    </row>
    <row r="194" spans="1:13" x14ac:dyDescent="0.3">
      <c r="D194" s="4"/>
      <c r="E194" s="24"/>
      <c r="F194" s="24"/>
      <c r="G194" s="24"/>
      <c r="H194" s="24"/>
      <c r="I194" s="24"/>
      <c r="L194" s="24"/>
    </row>
    <row r="195" spans="1:13" x14ac:dyDescent="0.3">
      <c r="D195" s="4"/>
      <c r="E195" s="9"/>
      <c r="F195" s="9"/>
      <c r="G195" s="9"/>
      <c r="H195" s="9"/>
      <c r="I195" s="9"/>
      <c r="L195" s="9"/>
    </row>
    <row r="196" spans="1:13" s="15" customFormat="1" x14ac:dyDescent="0.3">
      <c r="A196" s="12"/>
      <c r="B196" s="3"/>
      <c r="C196" s="13"/>
      <c r="D196" s="14"/>
      <c r="E196" s="14"/>
      <c r="F196" s="14"/>
      <c r="G196" s="14"/>
      <c r="H196" s="14"/>
      <c r="I196" s="14"/>
      <c r="J196" s="13"/>
      <c r="K196" s="13"/>
      <c r="L196" s="14"/>
      <c r="M196" s="13"/>
    </row>
    <row r="198" spans="1:13" x14ac:dyDescent="0.3">
      <c r="E198" s="21"/>
      <c r="L198" s="21"/>
    </row>
  </sheetData>
  <mergeCells count="8">
    <mergeCell ref="A2:M2"/>
    <mergeCell ref="E4:F4"/>
    <mergeCell ref="A4:A5"/>
    <mergeCell ref="B4:B5"/>
    <mergeCell ref="C4:C5"/>
    <mergeCell ref="D4:D5"/>
    <mergeCell ref="J4:M4"/>
    <mergeCell ref="G4:H4"/>
  </mergeCells>
  <pageMargins left="0.31496062992125984" right="0.31496062992125984" top="0.15748031496062992" bottom="0.15748031496062992" header="0.15748031496062992" footer="0.15748031496062992"/>
  <pageSetup paperSize="9" scale="55" fitToHeight="16" orientation="landscape" r:id="rId1"/>
  <headerFooter differentFirst="1">
    <oddHeader>&amp;C&amp;P</oddHeader>
  </headerFooter>
  <rowBreaks count="4" manualBreakCount="4">
    <brk id="55" max="12" man="1"/>
    <brk id="82" max="12" man="1"/>
    <brk id="127" max="12" man="1"/>
    <brk id="15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220FU8</cp:lastModifiedBy>
  <cp:lastPrinted>2025-11-10T13:08:23Z</cp:lastPrinted>
  <dcterms:created xsi:type="dcterms:W3CDTF">2025-01-06T19:58:35Z</dcterms:created>
  <dcterms:modified xsi:type="dcterms:W3CDTF">2025-11-10T13:10:07Z</dcterms:modified>
</cp:coreProperties>
</file>