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8" yWindow="-240" windowWidth="20736" windowHeight="11760"/>
  </bookViews>
  <sheets>
    <sheet name="2025" sheetId="11" r:id="rId1"/>
  </sheets>
  <definedNames>
    <definedName name="_xlnm._FilterDatabase" localSheetId="0" hidden="1">'2025'!$A$6:$K$194</definedName>
    <definedName name="_xlnm.Print_Titles" localSheetId="0">'2025'!$12:$14</definedName>
    <definedName name="_xlnm.Print_Area" localSheetId="0">'2025'!$A$1:$Q$196</definedName>
  </definedNames>
  <calcPr calcId="152511"/>
</workbook>
</file>

<file path=xl/calcChain.xml><?xml version="1.0" encoding="utf-8"?>
<calcChain xmlns="http://schemas.openxmlformats.org/spreadsheetml/2006/main">
  <c r="I193" i="11" l="1"/>
  <c r="J193" i="11"/>
  <c r="M193" i="11"/>
  <c r="N193" i="11"/>
  <c r="I192" i="11"/>
  <c r="J192" i="11"/>
  <c r="K192" i="11"/>
  <c r="M192" i="11"/>
  <c r="N192" i="11"/>
  <c r="O192" i="11"/>
  <c r="I178" i="11"/>
  <c r="J178" i="11"/>
  <c r="K178" i="11"/>
  <c r="M178" i="11"/>
  <c r="N178" i="11"/>
  <c r="O178" i="11"/>
  <c r="K177" i="11"/>
  <c r="M177" i="11"/>
  <c r="N177" i="11"/>
  <c r="O177" i="11"/>
  <c r="I177" i="11"/>
  <c r="J177" i="11"/>
  <c r="K171" i="11"/>
  <c r="M171" i="11"/>
  <c r="N171" i="11"/>
  <c r="O171" i="11"/>
  <c r="J171" i="11"/>
  <c r="M168" i="11"/>
  <c r="I168" i="11"/>
  <c r="M163" i="11"/>
  <c r="N163" i="11"/>
  <c r="I163" i="11"/>
  <c r="J163" i="11"/>
  <c r="O60" i="11" l="1"/>
  <c r="K58" i="11"/>
  <c r="H54" i="11"/>
  <c r="L54" i="11"/>
  <c r="H53" i="11"/>
  <c r="L53" i="11"/>
  <c r="O52" i="11"/>
  <c r="K52" i="11"/>
  <c r="H50" i="11"/>
  <c r="K50" i="11"/>
  <c r="L50" i="11"/>
  <c r="O50" i="11"/>
  <c r="O49" i="11"/>
  <c r="K49" i="11"/>
  <c r="O46" i="11"/>
  <c r="K46" i="11"/>
  <c r="O45" i="11"/>
  <c r="K45" i="11"/>
  <c r="O42" i="11"/>
  <c r="O41" i="11"/>
  <c r="M143" i="11"/>
  <c r="N143" i="11"/>
  <c r="O155" i="11"/>
  <c r="O153" i="11"/>
  <c r="O152" i="11"/>
  <c r="O156" i="11"/>
  <c r="O193" i="11" s="1"/>
  <c r="K156" i="11"/>
  <c r="K193" i="11" s="1"/>
  <c r="H156" i="11"/>
  <c r="H193" i="11" s="1"/>
  <c r="L156" i="11"/>
  <c r="K152" i="11"/>
  <c r="O150" i="11"/>
  <c r="O143" i="11" s="1"/>
  <c r="K150" i="11"/>
  <c r="H150" i="11"/>
  <c r="L150" i="11"/>
  <c r="H149" i="11"/>
  <c r="H192" i="11" s="1"/>
  <c r="L149" i="11"/>
  <c r="L192" i="11" s="1"/>
  <c r="P192" i="11" l="1"/>
  <c r="Q192" i="11"/>
  <c r="O163" i="11"/>
  <c r="Q156" i="11"/>
  <c r="L193" i="11"/>
  <c r="K163" i="11"/>
  <c r="Q54" i="11"/>
  <c r="P54" i="11"/>
  <c r="Q53" i="11"/>
  <c r="P53" i="11"/>
  <c r="P50" i="11"/>
  <c r="Q50" i="11"/>
  <c r="P156" i="11"/>
  <c r="P150" i="11"/>
  <c r="Q150" i="11"/>
  <c r="Q149" i="11"/>
  <c r="P149" i="11"/>
  <c r="Q193" i="11" l="1"/>
  <c r="P193" i="11"/>
  <c r="M140" i="11"/>
  <c r="I140" i="11"/>
  <c r="I139" i="11"/>
  <c r="K130" i="11"/>
  <c r="O134" i="11"/>
  <c r="K134" i="11"/>
  <c r="O131" i="11"/>
  <c r="N130" i="11"/>
  <c r="O129" i="11"/>
  <c r="K129" i="11"/>
  <c r="K128" i="11"/>
  <c r="O127" i="11"/>
  <c r="K127" i="11"/>
  <c r="H124" i="11"/>
  <c r="Q124" i="11" s="1"/>
  <c r="L124" i="11"/>
  <c r="O122" i="11"/>
  <c r="K122" i="11"/>
  <c r="M122" i="11"/>
  <c r="I122" i="11"/>
  <c r="M121" i="11"/>
  <c r="N119" i="11"/>
  <c r="O119" i="11" s="1"/>
  <c r="J119" i="11"/>
  <c r="K118" i="11"/>
  <c r="O112" i="11"/>
  <c r="K113" i="11"/>
  <c r="K112" i="11"/>
  <c r="O130" i="11" l="1"/>
  <c r="N183" i="11"/>
  <c r="N102" i="11"/>
  <c r="P124" i="11"/>
  <c r="O111" i="11" l="1"/>
  <c r="M111" i="11"/>
  <c r="M102" i="11" s="1"/>
  <c r="J111" i="11"/>
  <c r="J183" i="11" s="1"/>
  <c r="I111" i="11"/>
  <c r="O108" i="11"/>
  <c r="K108" i="11"/>
  <c r="H106" i="11"/>
  <c r="K106" i="11"/>
  <c r="L106" i="11"/>
  <c r="O106" i="11"/>
  <c r="O104" i="11"/>
  <c r="O105" i="11"/>
  <c r="O183" i="11" s="1"/>
  <c r="K105" i="11"/>
  <c r="K104" i="11"/>
  <c r="N92" i="11"/>
  <c r="O92" i="11"/>
  <c r="M92" i="11"/>
  <c r="J92" i="11"/>
  <c r="J91" i="11" s="1"/>
  <c r="K92" i="11"/>
  <c r="K91" i="11" s="1"/>
  <c r="J83" i="11"/>
  <c r="K83" i="11"/>
  <c r="H100" i="11"/>
  <c r="L100" i="11"/>
  <c r="H98" i="11"/>
  <c r="L98" i="11"/>
  <c r="K183" i="11" l="1"/>
  <c r="O102" i="11"/>
  <c r="Q106" i="11"/>
  <c r="P106" i="11"/>
  <c r="Q98" i="11"/>
  <c r="P100" i="11"/>
  <c r="Q100" i="11"/>
  <c r="P98" i="11"/>
  <c r="O90" i="11"/>
  <c r="O88" i="11"/>
  <c r="I79" i="11"/>
  <c r="I74" i="11" l="1"/>
  <c r="O66" i="11"/>
  <c r="O19" i="11"/>
  <c r="O18" i="11"/>
  <c r="O34" i="11"/>
  <c r="K34" i="11"/>
  <c r="M32" i="11"/>
  <c r="H31" i="11"/>
  <c r="L31" i="11"/>
  <c r="O31" i="11"/>
  <c r="O30" i="11"/>
  <c r="P31" i="11" l="1"/>
  <c r="Q31" i="11"/>
  <c r="N29" i="11"/>
  <c r="O29" i="11" s="1"/>
  <c r="M29" i="11"/>
  <c r="I29" i="11"/>
  <c r="J29" i="11"/>
  <c r="K29" i="11" s="1"/>
  <c r="J30" i="11"/>
  <c r="J162" i="11" s="1"/>
  <c r="K28" i="11"/>
  <c r="O27" i="11"/>
  <c r="O26" i="11"/>
  <c r="M25" i="11"/>
  <c r="M183" i="11" s="1"/>
  <c r="I25" i="11"/>
  <c r="I183" i="11" s="1"/>
  <c r="L24" i="11"/>
  <c r="M20" i="11"/>
  <c r="I20" i="11"/>
  <c r="O17" i="11"/>
  <c r="H29" i="11" l="1"/>
  <c r="K17" i="11"/>
  <c r="O191" i="11" l="1"/>
  <c r="N191" i="11"/>
  <c r="M191" i="11"/>
  <c r="O190" i="11"/>
  <c r="N190" i="11"/>
  <c r="M190" i="11"/>
  <c r="O189" i="11"/>
  <c r="N189" i="11"/>
  <c r="M189" i="11"/>
  <c r="O188" i="11"/>
  <c r="N188" i="11"/>
  <c r="M188" i="11"/>
  <c r="O187" i="11"/>
  <c r="N187" i="11"/>
  <c r="M187" i="11"/>
  <c r="O186" i="11"/>
  <c r="N186" i="11"/>
  <c r="M186" i="11"/>
  <c r="O185" i="11"/>
  <c r="N185" i="11"/>
  <c r="M185" i="11"/>
  <c r="O184" i="11"/>
  <c r="N184" i="11"/>
  <c r="M184" i="11"/>
  <c r="O182" i="11"/>
  <c r="O181" i="11"/>
  <c r="N181" i="11"/>
  <c r="M181" i="11"/>
  <c r="M180" i="11"/>
  <c r="O179" i="11"/>
  <c r="N179" i="11"/>
  <c r="M176" i="11"/>
  <c r="N175" i="11"/>
  <c r="M175" i="11"/>
  <c r="O174" i="11"/>
  <c r="N174" i="11"/>
  <c r="M174" i="11"/>
  <c r="O173" i="11"/>
  <c r="N173" i="11"/>
  <c r="M173" i="11"/>
  <c r="O172" i="11"/>
  <c r="N172" i="11"/>
  <c r="M172" i="11"/>
  <c r="O170" i="11"/>
  <c r="N170" i="11"/>
  <c r="M170" i="11"/>
  <c r="O169" i="11"/>
  <c r="N169" i="11"/>
  <c r="M169" i="11"/>
  <c r="O168" i="11"/>
  <c r="N168" i="11"/>
  <c r="M167" i="11"/>
  <c r="O166" i="11"/>
  <c r="N166" i="11"/>
  <c r="M166" i="11"/>
  <c r="O165" i="11"/>
  <c r="N165" i="11"/>
  <c r="M165" i="11"/>
  <c r="O164" i="11"/>
  <c r="N164" i="11"/>
  <c r="O162" i="11"/>
  <c r="N162" i="11"/>
  <c r="M162" i="11"/>
  <c r="O161" i="11"/>
  <c r="N161" i="11"/>
  <c r="M161" i="11"/>
  <c r="O160" i="11"/>
  <c r="N160" i="11"/>
  <c r="M160" i="11"/>
  <c r="O159" i="11"/>
  <c r="N159" i="11"/>
  <c r="M159" i="11"/>
  <c r="M158" i="11"/>
  <c r="O136" i="11"/>
  <c r="O135" i="11" s="1"/>
  <c r="N136" i="11"/>
  <c r="N135" i="11" s="1"/>
  <c r="M136" i="11"/>
  <c r="M135" i="11" s="1"/>
  <c r="O126" i="11"/>
  <c r="O125" i="11" s="1"/>
  <c r="N126" i="11"/>
  <c r="N125" i="11" s="1"/>
  <c r="M126" i="11"/>
  <c r="M125" i="11" s="1"/>
  <c r="O39" i="11"/>
  <c r="O38" i="11" s="1"/>
  <c r="N39" i="11"/>
  <c r="N38" i="11" s="1"/>
  <c r="M39" i="11"/>
  <c r="M38" i="11" s="1"/>
  <c r="O194" i="11" l="1"/>
  <c r="O142" i="11"/>
  <c r="N142" i="11"/>
  <c r="M142" i="11"/>
  <c r="O101" i="11" l="1"/>
  <c r="M182" i="11"/>
  <c r="N182" i="11"/>
  <c r="N194" i="11" s="1"/>
  <c r="M101" i="11"/>
  <c r="N101" i="11" l="1"/>
  <c r="M91" i="11" l="1"/>
  <c r="O83" i="11"/>
  <c r="N83" i="11"/>
  <c r="N82" i="11" s="1"/>
  <c r="M83" i="11"/>
  <c r="M82" i="11" s="1"/>
  <c r="O82" i="11"/>
  <c r="O78" i="11"/>
  <c r="O77" i="11" s="1"/>
  <c r="N78" i="11"/>
  <c r="N77" i="11" s="1"/>
  <c r="M78" i="11"/>
  <c r="M77" i="11" s="1"/>
  <c r="O62" i="11" l="1"/>
  <c r="O61" i="11" s="1"/>
  <c r="N62" i="11"/>
  <c r="N61" i="11" s="1"/>
  <c r="O16" i="11"/>
  <c r="O15" i="11" s="1"/>
  <c r="O157" i="11" s="1"/>
  <c r="N16" i="11"/>
  <c r="N15" i="11" s="1"/>
  <c r="N157" i="11" l="1"/>
  <c r="M16" i="11"/>
  <c r="M15" i="11" s="1"/>
  <c r="M164" i="11"/>
  <c r="M62" i="11"/>
  <c r="M61" i="11" s="1"/>
  <c r="M179" i="11"/>
  <c r="L179" i="11" s="1"/>
  <c r="H26" i="11"/>
  <c r="L26" i="11"/>
  <c r="P26" i="11" s="1"/>
  <c r="H22" i="11"/>
  <c r="L22" i="11"/>
  <c r="M194" i="11" l="1"/>
  <c r="L194" i="11" s="1"/>
  <c r="P22" i="11"/>
  <c r="M157" i="11"/>
  <c r="Q26" i="11"/>
  <c r="Q22" i="11"/>
  <c r="L33" i="11" l="1"/>
  <c r="L34" i="11"/>
  <c r="L35" i="11"/>
  <c r="L36" i="11"/>
  <c r="L37" i="11"/>
  <c r="L177" i="11" s="1"/>
  <c r="L40" i="11"/>
  <c r="L41" i="11"/>
  <c r="L42" i="11"/>
  <c r="L43" i="11"/>
  <c r="L44" i="11"/>
  <c r="L45" i="11"/>
  <c r="L46" i="11"/>
  <c r="L47" i="11"/>
  <c r="L48" i="11"/>
  <c r="L49" i="11"/>
  <c r="L51" i="11"/>
  <c r="L52" i="11"/>
  <c r="L55" i="11"/>
  <c r="L56" i="11"/>
  <c r="L57" i="11"/>
  <c r="L58" i="11"/>
  <c r="L59" i="11"/>
  <c r="L60" i="11"/>
  <c r="L63" i="11"/>
  <c r="L64" i="11"/>
  <c r="L65" i="11"/>
  <c r="L66" i="11"/>
  <c r="L67" i="11"/>
  <c r="L68" i="11"/>
  <c r="L69" i="11"/>
  <c r="L70" i="11"/>
  <c r="L71" i="11"/>
  <c r="L72" i="11"/>
  <c r="L73" i="11"/>
  <c r="L74" i="11"/>
  <c r="L75" i="11"/>
  <c r="L76" i="11"/>
  <c r="L79" i="11"/>
  <c r="L80" i="11"/>
  <c r="L81" i="11"/>
  <c r="L84" i="11"/>
  <c r="L85" i="11"/>
  <c r="L86" i="11"/>
  <c r="L87" i="11"/>
  <c r="L88" i="11"/>
  <c r="L89" i="11"/>
  <c r="L90" i="11"/>
  <c r="L93" i="11"/>
  <c r="L94" i="11"/>
  <c r="L95" i="11"/>
  <c r="L96" i="11"/>
  <c r="L97" i="11"/>
  <c r="L99" i="11"/>
  <c r="L103" i="11"/>
  <c r="L104" i="11"/>
  <c r="L105" i="11"/>
  <c r="L107" i="11"/>
  <c r="L108" i="11"/>
  <c r="L109" i="11"/>
  <c r="L178" i="11" s="1"/>
  <c r="L110" i="11"/>
  <c r="L111" i="11"/>
  <c r="L112" i="11"/>
  <c r="L113" i="11"/>
  <c r="L114" i="11"/>
  <c r="L115" i="11"/>
  <c r="L116" i="11"/>
  <c r="L117" i="11"/>
  <c r="L118" i="11"/>
  <c r="L119" i="11"/>
  <c r="L121" i="11"/>
  <c r="L122" i="11"/>
  <c r="L123" i="11"/>
  <c r="L127" i="11"/>
  <c r="L128" i="11"/>
  <c r="L129" i="11"/>
  <c r="L130" i="11"/>
  <c r="L131" i="11"/>
  <c r="L132" i="11"/>
  <c r="L133" i="11"/>
  <c r="L134" i="11"/>
  <c r="L137" i="11"/>
  <c r="L138" i="11"/>
  <c r="L139" i="11"/>
  <c r="L140" i="11"/>
  <c r="L141" i="11"/>
  <c r="L144" i="11"/>
  <c r="L145" i="11"/>
  <c r="L146" i="11"/>
  <c r="L147" i="11"/>
  <c r="L148" i="11"/>
  <c r="L151" i="11"/>
  <c r="L152" i="11"/>
  <c r="L153" i="11"/>
  <c r="L154" i="11"/>
  <c r="L155" i="11"/>
  <c r="L17" i="11"/>
  <c r="L162" i="11" s="1"/>
  <c r="L18" i="11"/>
  <c r="L19" i="11"/>
  <c r="L20" i="11"/>
  <c r="L21" i="11"/>
  <c r="L23" i="11"/>
  <c r="L25" i="11"/>
  <c r="L27" i="11"/>
  <c r="L28" i="11"/>
  <c r="L29" i="11"/>
  <c r="L30" i="11"/>
  <c r="L32" i="11"/>
  <c r="L183" i="11" l="1"/>
  <c r="L168" i="11"/>
  <c r="L171" i="11"/>
  <c r="L163" i="11"/>
  <c r="L143" i="11"/>
  <c r="L102" i="11"/>
  <c r="L187" i="11"/>
  <c r="L159" i="11"/>
  <c r="L172" i="11"/>
  <c r="L167" i="11"/>
  <c r="L182" i="11"/>
  <c r="L174" i="11"/>
  <c r="L186" i="11"/>
  <c r="L176" i="11"/>
  <c r="L158" i="11"/>
  <c r="L160" i="11"/>
  <c r="L161" i="11"/>
  <c r="L191" i="11"/>
  <c r="L169" i="11"/>
  <c r="L189" i="11"/>
  <c r="L136" i="11"/>
  <c r="L175" i="11"/>
  <c r="L166" i="11"/>
  <c r="L170" i="11"/>
  <c r="L164" i="11"/>
  <c r="L188" i="11"/>
  <c r="L184" i="11"/>
  <c r="L180" i="11"/>
  <c r="L185" i="11"/>
  <c r="L126" i="11"/>
  <c r="L181" i="11"/>
  <c r="L173" i="11"/>
  <c r="L190" i="11"/>
  <c r="L165" i="11"/>
  <c r="L39" i="11"/>
  <c r="L83" i="11"/>
  <c r="L78" i="11"/>
  <c r="L92" i="11"/>
  <c r="L62" i="11"/>
  <c r="L16" i="11"/>
  <c r="L15" i="11" s="1"/>
  <c r="L142" i="11" l="1"/>
  <c r="L135" i="11"/>
  <c r="L77" i="11"/>
  <c r="L101" i="11"/>
  <c r="L125" i="11"/>
  <c r="L82" i="11"/>
  <c r="L61" i="11"/>
  <c r="L38" i="11"/>
  <c r="L91" i="11"/>
  <c r="I103" i="11"/>
  <c r="I102" i="11" s="1"/>
  <c r="L157" i="11" l="1"/>
  <c r="J160" i="11" l="1"/>
  <c r="K160" i="11"/>
  <c r="H24" i="11"/>
  <c r="Q24" i="11" l="1"/>
  <c r="P24" i="11"/>
  <c r="K153" i="11" l="1"/>
  <c r="K143" i="11" s="1"/>
  <c r="J153" i="11"/>
  <c r="J143" i="11" s="1"/>
  <c r="I153" i="11"/>
  <c r="K119" i="11"/>
  <c r="I174" i="11"/>
  <c r="J174" i="11"/>
  <c r="K174" i="11"/>
  <c r="H118" i="11"/>
  <c r="P118" i="11" s="1"/>
  <c r="H113" i="11"/>
  <c r="P113" i="11" s="1"/>
  <c r="I96" i="11"/>
  <c r="I171" i="11" s="1"/>
  <c r="I90" i="11"/>
  <c r="I76" i="11"/>
  <c r="I69" i="11"/>
  <c r="H52" i="11"/>
  <c r="I32" i="11"/>
  <c r="K27" i="11"/>
  <c r="J27" i="11"/>
  <c r="I162" i="11"/>
  <c r="I160" i="11"/>
  <c r="P52" i="11" l="1"/>
  <c r="Q52" i="11"/>
  <c r="Q118" i="11"/>
  <c r="Q113" i="11"/>
  <c r="I67" i="11"/>
  <c r="J164" i="11" l="1"/>
  <c r="H148" i="11" l="1"/>
  <c r="P148" i="11" s="1"/>
  <c r="I133" i="11"/>
  <c r="K164" i="11"/>
  <c r="I164" i="11"/>
  <c r="H96" i="11"/>
  <c r="P96" i="11" s="1"/>
  <c r="Q96" i="11" l="1"/>
  <c r="Q148" i="11"/>
  <c r="H51" i="11"/>
  <c r="H25" i="11"/>
  <c r="P25" i="11" s="1"/>
  <c r="I191" i="11"/>
  <c r="J191" i="11"/>
  <c r="K191" i="11"/>
  <c r="H115" i="11"/>
  <c r="P115" i="11" s="1"/>
  <c r="H138" i="11"/>
  <c r="P138" i="11" s="1"/>
  <c r="I188" i="11"/>
  <c r="J188" i="11"/>
  <c r="K188" i="11"/>
  <c r="H27" i="11"/>
  <c r="P27" i="11" s="1"/>
  <c r="H28" i="11"/>
  <c r="P28" i="11" s="1"/>
  <c r="Q51" i="11" l="1"/>
  <c r="P51" i="11"/>
  <c r="Q138" i="11"/>
  <c r="Q115" i="11"/>
  <c r="Q27" i="11"/>
  <c r="Q28" i="11"/>
  <c r="Q25" i="11"/>
  <c r="H191" i="11"/>
  <c r="P191" i="11" s="1"/>
  <c r="H188" i="11"/>
  <c r="P188" i="11" l="1"/>
  <c r="Q188" i="11"/>
  <c r="Q191" i="11"/>
  <c r="H66" i="11"/>
  <c r="Q66" i="11" l="1"/>
  <c r="P66" i="11"/>
  <c r="J62" i="11" l="1"/>
  <c r="K62" i="11"/>
  <c r="I190" i="11"/>
  <c r="J190" i="11"/>
  <c r="K190" i="11"/>
  <c r="I189" i="11"/>
  <c r="J189" i="11"/>
  <c r="K189" i="11"/>
  <c r="H154" i="11"/>
  <c r="P154" i="11" s="1"/>
  <c r="H155" i="11"/>
  <c r="P155" i="11" s="1"/>
  <c r="H151" i="11"/>
  <c r="P151" i="11" s="1"/>
  <c r="I166" i="11"/>
  <c r="J166" i="11"/>
  <c r="K166" i="11"/>
  <c r="H129" i="11"/>
  <c r="P129" i="11" s="1"/>
  <c r="K123" i="11"/>
  <c r="K102" i="11" s="1"/>
  <c r="J123" i="11"/>
  <c r="J102" i="11" s="1"/>
  <c r="H112" i="11"/>
  <c r="P112" i="11" s="1"/>
  <c r="I93" i="11"/>
  <c r="I92" i="11" s="1"/>
  <c r="I87" i="11"/>
  <c r="I83" i="11" s="1"/>
  <c r="H58" i="11"/>
  <c r="P58" i="11" s="1"/>
  <c r="H47" i="11"/>
  <c r="P47" i="11" s="1"/>
  <c r="H48" i="11"/>
  <c r="P48" i="11" s="1"/>
  <c r="H46" i="11"/>
  <c r="K36" i="11"/>
  <c r="J36" i="11"/>
  <c r="I181" i="11"/>
  <c r="Q46" i="11" l="1"/>
  <c r="P46" i="11"/>
  <c r="H189" i="11"/>
  <c r="P189" i="11" s="1"/>
  <c r="Q154" i="11"/>
  <c r="H190" i="11"/>
  <c r="P190" i="11" s="1"/>
  <c r="Q155" i="11"/>
  <c r="Q129" i="11"/>
  <c r="Q112" i="11"/>
  <c r="Q58" i="11"/>
  <c r="Q151" i="11"/>
  <c r="Q48" i="11"/>
  <c r="Q47" i="11"/>
  <c r="K181" i="11"/>
  <c r="J181" i="11"/>
  <c r="I39" i="11"/>
  <c r="Q190" i="11" l="1"/>
  <c r="Q189" i="11"/>
  <c r="I62" i="11"/>
  <c r="H108" i="11"/>
  <c r="P108" i="11" s="1"/>
  <c r="Q108" i="11" l="1"/>
  <c r="H123" i="11"/>
  <c r="Q123" i="11" l="1"/>
  <c r="P123" i="11"/>
  <c r="J179" i="11"/>
  <c r="K179" i="11"/>
  <c r="I145" i="11"/>
  <c r="I143" i="11" s="1"/>
  <c r="I126" i="11"/>
  <c r="I125" i="11" s="1"/>
  <c r="H134" i="11"/>
  <c r="P134" i="11" s="1"/>
  <c r="H132" i="11"/>
  <c r="P132" i="11" s="1"/>
  <c r="H131" i="11"/>
  <c r="P131" i="11" s="1"/>
  <c r="H128" i="11"/>
  <c r="P128" i="11" s="1"/>
  <c r="Q131" i="11" l="1"/>
  <c r="Q128" i="11"/>
  <c r="H166" i="11"/>
  <c r="P166" i="11" s="1"/>
  <c r="Q132" i="11"/>
  <c r="Q134" i="11"/>
  <c r="K126" i="11"/>
  <c r="K125" i="11" s="1"/>
  <c r="H130" i="11"/>
  <c r="P130" i="11" s="1"/>
  <c r="J126" i="11"/>
  <c r="J125" i="11" s="1"/>
  <c r="H127" i="11"/>
  <c r="P127" i="11" s="1"/>
  <c r="I182" i="11"/>
  <c r="J182" i="11"/>
  <c r="K182" i="11"/>
  <c r="H120" i="11"/>
  <c r="P120" i="11" s="1"/>
  <c r="H119" i="11"/>
  <c r="P119" i="11" s="1"/>
  <c r="H114" i="11"/>
  <c r="P114" i="11" s="1"/>
  <c r="H109" i="11"/>
  <c r="H178" i="11" s="1"/>
  <c r="H104" i="11"/>
  <c r="H105" i="11"/>
  <c r="H49" i="11"/>
  <c r="H41" i="11"/>
  <c r="H36" i="11"/>
  <c r="P36" i="11" s="1"/>
  <c r="K30" i="11"/>
  <c r="K162" i="11" s="1"/>
  <c r="I187" i="11"/>
  <c r="J187" i="11"/>
  <c r="K187" i="11"/>
  <c r="H152" i="11"/>
  <c r="P152" i="11" s="1"/>
  <c r="H153" i="11"/>
  <c r="P153" i="11" s="1"/>
  <c r="P178" i="11" l="1"/>
  <c r="Q178" i="11"/>
  <c r="P105" i="11"/>
  <c r="P41" i="11"/>
  <c r="P109" i="11"/>
  <c r="Q109" i="11"/>
  <c r="Q49" i="11"/>
  <c r="P49" i="11"/>
  <c r="Q104" i="11"/>
  <c r="P104" i="11"/>
  <c r="H187" i="11"/>
  <c r="P187" i="11" s="1"/>
  <c r="Q153" i="11"/>
  <c r="Q119" i="11"/>
  <c r="Q166" i="11"/>
  <c r="Q114" i="11"/>
  <c r="Q130" i="11"/>
  <c r="Q120" i="11"/>
  <c r="Q152" i="11"/>
  <c r="Q127" i="11"/>
  <c r="Q105" i="11"/>
  <c r="Q41" i="11"/>
  <c r="Q36" i="11"/>
  <c r="H174" i="11"/>
  <c r="P174" i="11" s="1"/>
  <c r="K16" i="11"/>
  <c r="J16" i="11"/>
  <c r="Q187" i="11" l="1"/>
  <c r="Q174" i="11"/>
  <c r="H30" i="11"/>
  <c r="P30" i="11" s="1"/>
  <c r="Q30" i="11" l="1"/>
  <c r="I176" i="11"/>
  <c r="I158" i="11"/>
  <c r="J169" i="11"/>
  <c r="I175" i="11"/>
  <c r="I186" i="11"/>
  <c r="I180" i="11"/>
  <c r="I179" i="11"/>
  <c r="H179" i="11" s="1"/>
  <c r="P179" i="11" s="1"/>
  <c r="Q179" i="11" l="1"/>
  <c r="H35" i="11"/>
  <c r="P35" i="11" s="1"/>
  <c r="Q35" i="11" l="1"/>
  <c r="H60" i="11"/>
  <c r="P60" i="11" s="1"/>
  <c r="K169" i="11"/>
  <c r="Q60" i="11" l="1"/>
  <c r="J184" i="11"/>
  <c r="K184" i="11"/>
  <c r="I21" i="11"/>
  <c r="I184" i="11" l="1"/>
  <c r="I16" i="11"/>
  <c r="H21" i="11"/>
  <c r="P21" i="11" s="1"/>
  <c r="H32" i="11"/>
  <c r="P32" i="11" s="1"/>
  <c r="Q32" i="11" l="1"/>
  <c r="H184" i="11"/>
  <c r="P184" i="11" s="1"/>
  <c r="Q21" i="11"/>
  <c r="I169" i="11"/>
  <c r="H76" i="11"/>
  <c r="P76" i="11" s="1"/>
  <c r="H59" i="11"/>
  <c r="P59" i="11" s="1"/>
  <c r="P29" i="11"/>
  <c r="K170" i="11"/>
  <c r="J170" i="11"/>
  <c r="I170" i="11"/>
  <c r="I78" i="11"/>
  <c r="H81" i="11"/>
  <c r="P81" i="11" s="1"/>
  <c r="H80" i="11"/>
  <c r="P80" i="11" s="1"/>
  <c r="H90" i="11"/>
  <c r="P90" i="11" s="1"/>
  <c r="H89" i="11"/>
  <c r="P89" i="11" s="1"/>
  <c r="Q89" i="11" l="1"/>
  <c r="Q76" i="11"/>
  <c r="H180" i="11"/>
  <c r="P180" i="11" s="1"/>
  <c r="Q80" i="11"/>
  <c r="Q81" i="11"/>
  <c r="Q90" i="11"/>
  <c r="Q59" i="11"/>
  <c r="Q29" i="11"/>
  <c r="Q184" i="11"/>
  <c r="H99" i="11"/>
  <c r="P99" i="11" s="1"/>
  <c r="H144" i="11"/>
  <c r="H133" i="11"/>
  <c r="P133" i="11" s="1"/>
  <c r="I136" i="11"/>
  <c r="H139" i="11"/>
  <c r="P139" i="11" s="1"/>
  <c r="H137" i="11"/>
  <c r="P137" i="11" s="1"/>
  <c r="P144" i="11" l="1"/>
  <c r="Q139" i="11"/>
  <c r="H126" i="11"/>
  <c r="P126" i="11" s="1"/>
  <c r="Q133" i="11"/>
  <c r="Q99" i="11"/>
  <c r="Q144" i="11"/>
  <c r="Q180" i="11"/>
  <c r="Q137" i="11"/>
  <c r="H175" i="11"/>
  <c r="P175" i="11" s="1"/>
  <c r="H125" i="11"/>
  <c r="P125" i="11" s="1"/>
  <c r="Q126" i="11" l="1"/>
  <c r="Q175" i="11"/>
  <c r="Q125" i="11"/>
  <c r="H117" i="11"/>
  <c r="P117" i="11" s="1"/>
  <c r="H103" i="11"/>
  <c r="P103" i="11" l="1"/>
  <c r="Q103" i="11"/>
  <c r="Q117" i="11"/>
  <c r="H176" i="11"/>
  <c r="P176" i="11" s="1"/>
  <c r="H74" i="11"/>
  <c r="P74" i="11" l="1"/>
  <c r="Q74" i="11"/>
  <c r="Q176" i="11"/>
  <c r="I161" i="11"/>
  <c r="J161" i="11"/>
  <c r="K161" i="11"/>
  <c r="H84" i="11" l="1"/>
  <c r="Q84" i="11" l="1"/>
  <c r="P84" i="11"/>
  <c r="H86" i="11"/>
  <c r="P86" i="11" s="1"/>
  <c r="H87" i="11"/>
  <c r="P87" i="11" s="1"/>
  <c r="H88" i="11"/>
  <c r="P88" i="11" s="1"/>
  <c r="Q87" i="11" l="1"/>
  <c r="Q86" i="11"/>
  <c r="Q88" i="11"/>
  <c r="H169" i="11"/>
  <c r="J186" i="11"/>
  <c r="K186" i="11"/>
  <c r="J168" i="11"/>
  <c r="K168" i="11"/>
  <c r="I165" i="11"/>
  <c r="J165" i="11"/>
  <c r="K165" i="11"/>
  <c r="I159" i="11"/>
  <c r="J159" i="11"/>
  <c r="K159" i="11"/>
  <c r="J78" i="11"/>
  <c r="K78" i="11"/>
  <c r="P169" i="11" l="1"/>
  <c r="Q169" i="11"/>
  <c r="J39" i="11"/>
  <c r="K39" i="11"/>
  <c r="H45" i="11"/>
  <c r="Q45" i="11" l="1"/>
  <c r="P45" i="11"/>
  <c r="H145" i="11"/>
  <c r="P145" i="11" l="1"/>
  <c r="Q145" i="11"/>
  <c r="I77" i="11"/>
  <c r="J77" i="11"/>
  <c r="K77" i="11"/>
  <c r="H79" i="11"/>
  <c r="H78" i="11" l="1"/>
  <c r="P78" i="11" s="1"/>
  <c r="Q79" i="11"/>
  <c r="P79" i="11"/>
  <c r="Q78" i="11"/>
  <c r="H77" i="11"/>
  <c r="P77" i="11" s="1"/>
  <c r="Q77" i="11" l="1"/>
  <c r="J175" i="11"/>
  <c r="K185" i="11"/>
  <c r="J185" i="11"/>
  <c r="I185" i="11"/>
  <c r="K173" i="11"/>
  <c r="J173" i="11"/>
  <c r="K172" i="11"/>
  <c r="K194" i="11" s="1"/>
  <c r="J172" i="11"/>
  <c r="J194" i="11" s="1"/>
  <c r="I172" i="11"/>
  <c r="I167" i="11"/>
  <c r="I194" i="11" s="1"/>
  <c r="H147" i="11"/>
  <c r="P147" i="11" s="1"/>
  <c r="H146" i="11"/>
  <c r="H141" i="11"/>
  <c r="K136" i="11"/>
  <c r="K135" i="11" s="1"/>
  <c r="H121" i="11"/>
  <c r="P121" i="11" s="1"/>
  <c r="H116" i="11"/>
  <c r="P116" i="11" s="1"/>
  <c r="H110" i="11"/>
  <c r="H97" i="11"/>
  <c r="P97" i="11" s="1"/>
  <c r="H95" i="11"/>
  <c r="P95" i="11" s="1"/>
  <c r="H94" i="11"/>
  <c r="H93" i="11"/>
  <c r="H85" i="11"/>
  <c r="K82" i="11"/>
  <c r="H75" i="11"/>
  <c r="P75" i="11" s="1"/>
  <c r="H73" i="11"/>
  <c r="P73" i="11" s="1"/>
  <c r="H72" i="11"/>
  <c r="P72" i="11" s="1"/>
  <c r="H71" i="11"/>
  <c r="P71" i="11" s="1"/>
  <c r="H69" i="11"/>
  <c r="H67" i="11"/>
  <c r="H68" i="11"/>
  <c r="P68" i="11" s="1"/>
  <c r="H65" i="11"/>
  <c r="P65" i="11" s="1"/>
  <c r="H63" i="11"/>
  <c r="H64" i="11"/>
  <c r="K61" i="11"/>
  <c r="H56" i="11"/>
  <c r="P56" i="11" s="1"/>
  <c r="H55" i="11"/>
  <c r="H44" i="11"/>
  <c r="P44" i="11" s="1"/>
  <c r="H43" i="11"/>
  <c r="P43" i="11" s="1"/>
  <c r="H40" i="11"/>
  <c r="P40" i="11" s="1"/>
  <c r="K38" i="11"/>
  <c r="H37" i="11"/>
  <c r="H177" i="11" s="1"/>
  <c r="I173" i="11"/>
  <c r="H23" i="11"/>
  <c r="H20" i="11"/>
  <c r="P20" i="11" s="1"/>
  <c r="H19" i="11"/>
  <c r="P19" i="11" s="1"/>
  <c r="P177" i="11" l="1"/>
  <c r="Q177" i="11"/>
  <c r="P23" i="11"/>
  <c r="P110" i="11"/>
  <c r="P55" i="11"/>
  <c r="H168" i="11"/>
  <c r="Q168" i="11" s="1"/>
  <c r="P94" i="11"/>
  <c r="H171" i="11"/>
  <c r="H143" i="11"/>
  <c r="P93" i="11"/>
  <c r="H92" i="11"/>
  <c r="P92" i="11" s="1"/>
  <c r="Q64" i="11"/>
  <c r="P64" i="11"/>
  <c r="H83" i="11"/>
  <c r="P83" i="11" s="1"/>
  <c r="Q85" i="11"/>
  <c r="P85" i="11"/>
  <c r="H160" i="11"/>
  <c r="P63" i="11"/>
  <c r="Q63" i="11"/>
  <c r="P37" i="11"/>
  <c r="Q37" i="11"/>
  <c r="H181" i="11"/>
  <c r="P181" i="11" s="1"/>
  <c r="P141" i="11"/>
  <c r="Q141" i="11"/>
  <c r="Q67" i="11"/>
  <c r="P67" i="11"/>
  <c r="Q69" i="11"/>
  <c r="P69" i="11"/>
  <c r="Q146" i="11"/>
  <c r="P146" i="11"/>
  <c r="Q95" i="11"/>
  <c r="Q93" i="11"/>
  <c r="Q94" i="11"/>
  <c r="Q68" i="11"/>
  <c r="Q116" i="11"/>
  <c r="Q72" i="11"/>
  <c r="Q65" i="11"/>
  <c r="Q110" i="11"/>
  <c r="Q71" i="11"/>
  <c r="Q75" i="11"/>
  <c r="Q97" i="11"/>
  <c r="Q121" i="11"/>
  <c r="Q73" i="11"/>
  <c r="H158" i="11"/>
  <c r="P158" i="11" s="1"/>
  <c r="Q56" i="11"/>
  <c r="H186" i="11"/>
  <c r="P186" i="11" s="1"/>
  <c r="Q147" i="11"/>
  <c r="Q55" i="11"/>
  <c r="Q40" i="11"/>
  <c r="H167" i="11"/>
  <c r="P167" i="11" s="1"/>
  <c r="Q43" i="11"/>
  <c r="H172" i="11"/>
  <c r="P172" i="11" s="1"/>
  <c r="Q44" i="11"/>
  <c r="Q23" i="11"/>
  <c r="Q20" i="11"/>
  <c r="Q19" i="11"/>
  <c r="P171" i="11"/>
  <c r="P143" i="11"/>
  <c r="H170" i="11"/>
  <c r="P170" i="11" s="1"/>
  <c r="H185" i="11"/>
  <c r="P185" i="11" s="1"/>
  <c r="K15" i="11"/>
  <c r="H107" i="11"/>
  <c r="K101" i="11"/>
  <c r="H33" i="11"/>
  <c r="P33" i="11" s="1"/>
  <c r="I15" i="11"/>
  <c r="J142" i="11"/>
  <c r="H70" i="11"/>
  <c r="P70" i="11" s="1"/>
  <c r="K142" i="11"/>
  <c r="H140" i="11"/>
  <c r="J61" i="11"/>
  <c r="I101" i="11"/>
  <c r="H42" i="11"/>
  <c r="H163" i="11" s="1"/>
  <c r="H57" i="11"/>
  <c r="P57" i="11" s="1"/>
  <c r="J82" i="11"/>
  <c r="J38" i="11"/>
  <c r="H34" i="11"/>
  <c r="P34" i="11" s="1"/>
  <c r="H122" i="11"/>
  <c r="J136" i="11"/>
  <c r="J135" i="11" s="1"/>
  <c r="I61" i="11"/>
  <c r="I38" i="11"/>
  <c r="I135" i="11"/>
  <c r="I82" i="11"/>
  <c r="H17" i="11"/>
  <c r="I91" i="11"/>
  <c r="H161" i="11" l="1"/>
  <c r="P168" i="11"/>
  <c r="P107" i="11"/>
  <c r="H82" i="11"/>
  <c r="P82" i="11" s="1"/>
  <c r="Q160" i="11"/>
  <c r="P160" i="11"/>
  <c r="Q42" i="11"/>
  <c r="P42" i="11"/>
  <c r="P163" i="11"/>
  <c r="P140" i="11"/>
  <c r="Q140" i="11"/>
  <c r="Q181" i="11"/>
  <c r="H164" i="11"/>
  <c r="P164" i="11" s="1"/>
  <c r="P122" i="11"/>
  <c r="Q122" i="11"/>
  <c r="Q83" i="11"/>
  <c r="H91" i="11"/>
  <c r="P91" i="11" s="1"/>
  <c r="Q92" i="11"/>
  <c r="Q171" i="11"/>
  <c r="Q186" i="11"/>
  <c r="Q170" i="11"/>
  <c r="Q57" i="11"/>
  <c r="Q158" i="11"/>
  <c r="H62" i="11"/>
  <c r="P62" i="11" s="1"/>
  <c r="Q70" i="11"/>
  <c r="Q185" i="11"/>
  <c r="Q143" i="11"/>
  <c r="Q107" i="11"/>
  <c r="Q172" i="11"/>
  <c r="Q167" i="11"/>
  <c r="H173" i="11"/>
  <c r="P173" i="11" s="1"/>
  <c r="Q34" i="11"/>
  <c r="H165" i="11"/>
  <c r="P165" i="11" s="1"/>
  <c r="Q33" i="11"/>
  <c r="Q17" i="11"/>
  <c r="P17" i="11"/>
  <c r="H194" i="11"/>
  <c r="H182" i="11"/>
  <c r="P182" i="11" s="1"/>
  <c r="H136" i="11"/>
  <c r="P136" i="11" s="1"/>
  <c r="K157" i="11"/>
  <c r="K197" i="11" s="1"/>
  <c r="P161" i="11"/>
  <c r="H39" i="11"/>
  <c r="P39" i="11" s="1"/>
  <c r="H159" i="11"/>
  <c r="P159" i="11" s="1"/>
  <c r="J15" i="11"/>
  <c r="H18" i="11"/>
  <c r="H111" i="11"/>
  <c r="J101" i="11"/>
  <c r="P18" i="11" l="1"/>
  <c r="H162" i="11"/>
  <c r="P162" i="11" s="1"/>
  <c r="P111" i="11"/>
  <c r="H183" i="11"/>
  <c r="P183" i="11" s="1"/>
  <c r="H102" i="11"/>
  <c r="P102" i="11" s="1"/>
  <c r="Q82" i="11"/>
  <c r="Q163" i="11"/>
  <c r="Q164" i="11"/>
  <c r="H61" i="11"/>
  <c r="P61" i="11" s="1"/>
  <c r="Q62" i="11"/>
  <c r="Q182" i="11"/>
  <c r="H135" i="11"/>
  <c r="P135" i="11" s="1"/>
  <c r="Q136" i="11"/>
  <c r="Q91" i="11"/>
  <c r="Q111" i="11"/>
  <c r="Q159" i="11"/>
  <c r="H38" i="11"/>
  <c r="P38" i="11" s="1"/>
  <c r="Q39" i="11"/>
  <c r="Q173" i="11"/>
  <c r="Q161" i="11"/>
  <c r="H16" i="11"/>
  <c r="H15" i="11" s="1"/>
  <c r="Q18" i="11"/>
  <c r="Q165" i="11"/>
  <c r="P194" i="11"/>
  <c r="Q194" i="11"/>
  <c r="J157" i="11"/>
  <c r="J197" i="11" s="1"/>
  <c r="Q61" i="11" l="1"/>
  <c r="Q135" i="11"/>
  <c r="H101" i="11"/>
  <c r="P101" i="11" s="1"/>
  <c r="Q102" i="11"/>
  <c r="Q16" i="11"/>
  <c r="Q38" i="11"/>
  <c r="P16" i="11"/>
  <c r="Q183" i="11"/>
  <c r="Q162" i="11"/>
  <c r="Q15" i="11"/>
  <c r="P15" i="11"/>
  <c r="I142" i="11"/>
  <c r="I157" i="11" s="1"/>
  <c r="H142" i="11"/>
  <c r="P142" i="11" s="1"/>
  <c r="H157" i="11" l="1"/>
  <c r="P157" i="11" s="1"/>
  <c r="Q142" i="11"/>
  <c r="Q101" i="11"/>
  <c r="Q157" i="11" l="1"/>
</calcChain>
</file>

<file path=xl/sharedStrings.xml><?xml version="1.0" encoding="utf-8"?>
<sst xmlns="http://schemas.openxmlformats.org/spreadsheetml/2006/main" count="818" uniqueCount="385">
  <si>
    <t>Усього</t>
  </si>
  <si>
    <t>Загальний фонд</t>
  </si>
  <si>
    <t>Спеціальний фонд</t>
  </si>
  <si>
    <t>усього</t>
  </si>
  <si>
    <t>у тому числі бюджет розвитку</t>
  </si>
  <si>
    <t>0600000</t>
  </si>
  <si>
    <t>0610000</t>
  </si>
  <si>
    <t>0611010</t>
  </si>
  <si>
    <t>Надання дошкільної освіти</t>
  </si>
  <si>
    <t>Код Функціональної класифікації видатків та кредитування бюджету</t>
  </si>
  <si>
    <t>0200000</t>
  </si>
  <si>
    <t>0210000</t>
  </si>
  <si>
    <t>1200000</t>
  </si>
  <si>
    <t>1210000</t>
  </si>
  <si>
    <t xml:space="preserve">Інші заходи у сфері соціального захисту і соціального забезпечення </t>
  </si>
  <si>
    <t>0910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</si>
  <si>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</si>
  <si>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0800000</t>
  </si>
  <si>
    <t>0810000</t>
  </si>
  <si>
    <t>1216030</t>
  </si>
  <si>
    <t>0620</t>
  </si>
  <si>
    <t>0490</t>
  </si>
  <si>
    <t>1100000</t>
  </si>
  <si>
    <t>1110000</t>
  </si>
  <si>
    <t>0613242</t>
  </si>
  <si>
    <t>0813121</t>
  </si>
  <si>
    <t>3140</t>
  </si>
  <si>
    <t>1040</t>
  </si>
  <si>
    <t>Міська програма соціального захисту ветеранів педагогічної праці</t>
  </si>
  <si>
    <t>1010</t>
  </si>
  <si>
    <t>Організація благоустрою  населених пунктів</t>
  </si>
  <si>
    <t>1216017</t>
  </si>
  <si>
    <t>0456</t>
  </si>
  <si>
    <t>Утримання та розвиток автомобільних доріг та дорожньої інфраструктури за рахунок коштів місцевого бюджету</t>
  </si>
  <si>
    <t>7693</t>
  </si>
  <si>
    <t>1115061</t>
  </si>
  <si>
    <t>5061</t>
  </si>
  <si>
    <t>0810</t>
  </si>
  <si>
    <t>3100000</t>
  </si>
  <si>
    <t>3110000</t>
  </si>
  <si>
    <t>3117693</t>
  </si>
  <si>
    <t>1113133</t>
  </si>
  <si>
    <t>3133</t>
  </si>
  <si>
    <t>Інші заходи та заклади молодіжної політики</t>
  </si>
  <si>
    <t>0921</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</si>
  <si>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</si>
  <si>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</si>
  <si>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</si>
  <si>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міської програми</t>
  </si>
  <si>
    <t>Найменування головного розпорядника коштів міського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</si>
  <si>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Дата і номер документа, яким затверджено міську програму</t>
  </si>
  <si>
    <t>Інші заходи, пов'язані в економічною діяльністю</t>
  </si>
  <si>
    <t>3121</t>
  </si>
  <si>
    <t>6030</t>
  </si>
  <si>
    <t>6017</t>
  </si>
  <si>
    <t>Інша діяльність, пов'язана з експлуатацією об'єктів житлово - комунального господарства</t>
  </si>
  <si>
    <t>7461</t>
  </si>
  <si>
    <t>Надання загальної середньої освіти закладами загальної середньої освіти</t>
  </si>
  <si>
    <t>0611021</t>
  </si>
  <si>
    <t>1021</t>
  </si>
  <si>
    <t xml:space="preserve">Утримання та забезпечення діяльності центрів соціальних служб </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</si>
  <si>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</si>
  <si>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0212010</t>
  </si>
  <si>
    <t>2010</t>
  </si>
  <si>
    <t>0731</t>
  </si>
  <si>
    <t>Багатопрофільна стаціонарна медична допомога населенню</t>
  </si>
  <si>
    <t>0212100</t>
  </si>
  <si>
    <t>2100</t>
  </si>
  <si>
    <t>0722</t>
  </si>
  <si>
    <t>Стоматологічна допомога населенню</t>
  </si>
  <si>
    <t>0212152</t>
  </si>
  <si>
    <t>2152</t>
  </si>
  <si>
    <t>0763</t>
  </si>
  <si>
    <t>Інші програми та заходи у сфері охорони здоров’я</t>
  </si>
  <si>
    <t>3112</t>
  </si>
  <si>
    <t>Заходи державної політики з питань дітей та їх соціального захисту</t>
  </si>
  <si>
    <t>Міська цільова програма соціального  захисту та надання соціальних послуг населенню Чорноморської міської територіальної громади на 2021-2025 роки</t>
  </si>
  <si>
    <t>0213242</t>
  </si>
  <si>
    <t>3242</t>
  </si>
  <si>
    <t>1090</t>
  </si>
  <si>
    <t>Інші заходи у сфері соціального захисту і соціального забезпечення</t>
  </si>
  <si>
    <t>0218230</t>
  </si>
  <si>
    <t>8230</t>
  </si>
  <si>
    <t>0380</t>
  </si>
  <si>
    <t>Інші заходи громадського порядку та безпеки</t>
  </si>
  <si>
    <t>0218340</t>
  </si>
  <si>
    <t>8340</t>
  </si>
  <si>
    <t>0540</t>
  </si>
  <si>
    <t>Природоохоронні заходи за рахунок цільових фондів</t>
  </si>
  <si>
    <t>0813031</t>
  </si>
  <si>
    <t>3031</t>
  </si>
  <si>
    <t>1030</t>
  </si>
  <si>
    <t>Надання інших пільг окремим категоріям громадян відповідно до законодавства</t>
  </si>
  <si>
    <t>Міська програма підтримки населення Чорноморської міської територіальної громади, які підпадають під дію Закону України "Про статус ветеранів війни, гарантії їх соціального захисту" на 2021 – 2025 роки</t>
  </si>
  <si>
    <t xml:space="preserve"> 24.12.2020р.
№ 15-VIII </t>
  </si>
  <si>
    <t>0813032</t>
  </si>
  <si>
    <t>3032</t>
  </si>
  <si>
    <t>Надання пільг окремим категоріям громадян з оплати послуг зв'язку</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</si>
  <si>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</si>
  <si>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</si>
  <si>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</si>
  <si>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0813180</t>
  </si>
  <si>
    <t>3180</t>
  </si>
  <si>
    <t>1060</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</si>
  <si>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</si>
  <si>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0813192</t>
  </si>
  <si>
    <t>3192</t>
  </si>
  <si>
    <t>Надання фінансової підтримки громадським об'єднанням ветеранів і осіб з інвалідністю, діяльність яких має соціальну спрямованість</t>
  </si>
  <si>
    <t>0813242</t>
  </si>
  <si>
    <t>0813123</t>
  </si>
  <si>
    <t>3123</t>
  </si>
  <si>
    <t>Заходи державної політики з питань сім'ї</t>
  </si>
  <si>
    <t>1115011</t>
  </si>
  <si>
    <t>5011</t>
  </si>
  <si>
    <t>Проведення навчально-тренувальних зборів і змагань з олімпійських видів спорту</t>
  </si>
  <si>
    <t>5012</t>
  </si>
  <si>
    <t>1115012</t>
  </si>
  <si>
    <t>Проведення навчально-тренувальних зборів і змагань з неолімпійських видів спорту</t>
  </si>
  <si>
    <t>1216015</t>
  </si>
  <si>
    <t>6015</t>
  </si>
  <si>
    <t>Забезпечення надійної та безперебійної експлуатації ліфтів</t>
  </si>
  <si>
    <t>Міська цільова програма розвитку освіти міста Чорноморська на 2021-2025 роки</t>
  </si>
  <si>
    <t>0611022</t>
  </si>
  <si>
    <t>1022</t>
  </si>
  <si>
    <t>0922</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</si>
  <si>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t>
  </si>
  <si>
    <t>1070</t>
  </si>
  <si>
    <t>1000000</t>
  </si>
  <si>
    <t>1010000</t>
  </si>
  <si>
    <t>0180</t>
  </si>
  <si>
    <t>1014030</t>
  </si>
  <si>
    <t>4030</t>
  </si>
  <si>
    <t>0824</t>
  </si>
  <si>
    <t>Забезпечення діяльності бібліотек</t>
  </si>
  <si>
    <t>1014040</t>
  </si>
  <si>
    <t>4040</t>
  </si>
  <si>
    <t>Забезпечення діяльності музеїв і виставок</t>
  </si>
  <si>
    <t>1014060</t>
  </si>
  <si>
    <t>4060</t>
  </si>
  <si>
    <t>0828</t>
  </si>
  <si>
    <t>Забезпечення діяльності палаців і будинків культури, клубів, центрів дозвілля та інших клубних закладів</t>
  </si>
  <si>
    <t>1014082</t>
  </si>
  <si>
    <t>4082</t>
  </si>
  <si>
    <t>0829</t>
  </si>
  <si>
    <t>Інші заходи в галузі культури і мистецтва</t>
  </si>
  <si>
    <t>Виконавчий комітет Чорноморської міської ради  Одеського району Одеської області</t>
  </si>
  <si>
    <t>Управління соціальної політики Чорноморської міської ради Одеського району Одеської області</t>
  </si>
  <si>
    <t>Відділ культури Чорноморської міської ради Одеського району Одеської області</t>
  </si>
  <si>
    <t>Міська цільова програма розвитку культури та мистецтва Чорноморської  міської  територіальної громади на  2022 – 2025 роки</t>
  </si>
  <si>
    <t>Відділ комунального господарства та благоустрою Чорноморської міської ради  Одеського району Одеської області</t>
  </si>
  <si>
    <t>Управління комунальної  власності  та земельних відносин Чорноморської міської ради Одеського району Одеської області</t>
  </si>
  <si>
    <t>0726</t>
  </si>
  <si>
    <t>Первинна медична допомога населенню, що надається центрами первинної медичної (медико-санітарної) допомоги</t>
  </si>
  <si>
    <t xml:space="preserve">Міська цільова соціальна програма розвитку цивільного захисту Чорноморської міської територіальної громади на 2021-2025 роки </t>
  </si>
  <si>
    <t>Відділ молоді та спорту Чорноморської міської ради Одеського району Одеської області</t>
  </si>
  <si>
    <t>8240</t>
  </si>
  <si>
    <t>Заходи та роботи з територіальної оборони</t>
  </si>
  <si>
    <t>Міська цільова програма підтримки молодих педагогічних кадрів Чорноморської міської територіальної громади на 2022 - 2025 роки</t>
  </si>
  <si>
    <t>04.02.2022р.
№ 172-VIII</t>
  </si>
  <si>
    <t>04.02.2022р. 
№ 172-VIII</t>
  </si>
  <si>
    <t>Міська цільова програма розвитку фізичної культури і спорту на території Чорноморської міської територіальної громади на 2022-2025 роки</t>
  </si>
  <si>
    <t>Міська цільова соціальна програма розвитку цивільного захисту Чорноморської міської територіальної громади на 2021-2025 роки</t>
  </si>
  <si>
    <t>0320</t>
  </si>
  <si>
    <t>Заходи із запобігання та ліквідації надзвичайних ситуацій та наслідків стихійного лиха</t>
  </si>
  <si>
    <t>0813230</t>
  </si>
  <si>
    <t>3230</t>
  </si>
  <si>
    <t>Видатки, пов'язані з наданням підтримки внутрішньо переміщеним та/або евакуйованим особам у зв'язку із введенням воєнного стану</t>
  </si>
  <si>
    <t xml:space="preserve">Міська цільова програма "Молодь Чорноморська" на 2022-2025 роки </t>
  </si>
  <si>
    <t>Міська цільова програма відпочинку та оздоровлення дітей на 2022-2025 роки</t>
  </si>
  <si>
    <t>Міська цільова програма "Молодь Чорноморська" на 2022-2025 роки</t>
  </si>
  <si>
    <t>24.12.2020р.
№ 17-VIII 
(зі змінами)</t>
  </si>
  <si>
    <t>24.12.2020р.
№ 16-VIII 
(зі змінами)</t>
  </si>
  <si>
    <t>24.12.2020р.
№ 16-VIII  
(зі змінами)</t>
  </si>
  <si>
    <t>30.03.2021р. 
№ 27-VIII 
(зі змінами)</t>
  </si>
  <si>
    <t xml:space="preserve"> 30.03.2021р.
№ 25-VIII 
(зі змінами)</t>
  </si>
  <si>
    <t xml:space="preserve"> 24.12.2020р. 
№ 16-VIII 
(зі змінами)</t>
  </si>
  <si>
    <t>09.01.2006р. 
№ 511-IV 
(зі змінами)</t>
  </si>
  <si>
    <t xml:space="preserve"> 24.12.2020р.
№ 16-VIII 
(зі змінами)</t>
  </si>
  <si>
    <t>24.12.2020р.
№ 15-VIII 
(зі змінами)</t>
  </si>
  <si>
    <t>09.01.2006р. 
№ 511-IV
(зі змінами)</t>
  </si>
  <si>
    <t xml:space="preserve"> 24.12.2020р.
№ 15-VIII 
(зі змінами)</t>
  </si>
  <si>
    <t>0613140</t>
  </si>
  <si>
    <t>Міська комплексна програма відпочинку та оздоровлення дітей на 2022-2025 роки</t>
  </si>
  <si>
    <t>12.07.2022р.
№222 
(зі змінами)</t>
  </si>
  <si>
    <t>Міська цільова програма розвитку і функціонування української мови як державної на території Чорноморської міської територіальної громади на 2022-2025 роки</t>
  </si>
  <si>
    <t>1217693</t>
  </si>
  <si>
    <t>04.02.2022р. 
№ 182-VIII
(зі змінами)</t>
  </si>
  <si>
    <t>Міська цільова програма з функціонування інтегрованої системи відеоспостереження та відеоаналітики Чорноморської міської територальної громади на 2023 - 2025 роки</t>
  </si>
  <si>
    <t>3118240</t>
  </si>
  <si>
    <t>Фінансове управління Чорноморської міської ради Одеського району Одеської області</t>
  </si>
  <si>
    <t>3710000</t>
  </si>
  <si>
    <t>3700000</t>
  </si>
  <si>
    <t>Інші субвенції з місцевого бюджету</t>
  </si>
  <si>
    <t>0218220</t>
  </si>
  <si>
    <t>Заходи та роботи з мобілізаційної підготовки місцевого значення</t>
  </si>
  <si>
    <t>Міська програма підтримки Першого відділу Одеського районного територіального центру комплектування та соціальної підтримки, проведення мобілізаційної підготовки військовозобов’язаних м. Чорноморська та забезпечення заходів, пов’язаних із виконанням військового обов’язку, призовом громадян України на строкову військову службу до лав Збройних Сил України та інших військових формувань на 2021-2025 роки</t>
  </si>
  <si>
    <t>30.03.2021р. 
№ 31-VIII 
(зі змінами)</t>
  </si>
  <si>
    <t>04.02.2022р. 
№ 180-VIIІ
(зі змінами)</t>
  </si>
  <si>
    <t>04.02.2022р. 
№ 181-VIII
(зі змінами)</t>
  </si>
  <si>
    <t>20.12.2022р. 
№ 279-VIII 
(зі змінами)</t>
  </si>
  <si>
    <t>Управління освіти Чорноморської міської ради  Одеського району Одеської області</t>
  </si>
  <si>
    <t>12.09.2019р. 
№ 485-VII
(зі змінами)</t>
  </si>
  <si>
    <t xml:space="preserve">Міська цільова програма проведення технічної інвентаризації та виготовлення технічних паспортів багатоквартирних житлових будинків, які розташовані на території Чорноморської міської ради    Одеського району Одеської області  та знаходяться в управлінні комунального підприємства «Міське управління житлово - комунального господарства», на 2023 – 2025 роки. </t>
  </si>
  <si>
    <t>Програма модернізації ліфтового господарства Чорноморської міської ради Одеського району Одеської області на 2019 - 2025 роки</t>
  </si>
  <si>
    <t>1013140</t>
  </si>
  <si>
    <t>від 19.05.2023р.
№ 368-VIII</t>
  </si>
  <si>
    <t>04.02.2022р. 
№ 175-VIII 
(зі змінами)</t>
  </si>
  <si>
    <t>0900000</t>
  </si>
  <si>
    <t/>
  </si>
  <si>
    <t>Служба у справах дітей Чорноморської мiської ради Одеського району Одеської областi</t>
  </si>
  <si>
    <t>0910000</t>
  </si>
  <si>
    <t>0913112</t>
  </si>
  <si>
    <t>Начальник фінансового управління</t>
  </si>
  <si>
    <t>Ольга ЯКОВЕНКО</t>
  </si>
  <si>
    <t>Міська програма охорони довкілля, раціонального використання природних ресурсів та забезпечення  екологічної безпеки на  території Чорноморської міської територіальної громади Одеського району Одеської  області на 2024-2026 роки</t>
  </si>
  <si>
    <t>1011080</t>
  </si>
  <si>
    <t>1080</t>
  </si>
  <si>
    <t>0960</t>
  </si>
  <si>
    <t>Надання спеціалізованої освіти мистецькими школами</t>
  </si>
  <si>
    <t>Міська програма "Здоров’я населення Чорноморської  міської територіальної громади на 2021 - 2025 роки"</t>
  </si>
  <si>
    <t>УСЬОГО за розпорядниками</t>
  </si>
  <si>
    <t>УСЬОГО ЗА ПРОГРАМАМИ</t>
  </si>
  <si>
    <t>Міська цільова програма підтримки здобуття професійної (професійно-технічної), фахової передвищої освіти на умовах регіонального замовлення у відповідних закладах освіти, що розташовані та діють на території Чорноморської міської  територіальної громади, на 2025 рік</t>
  </si>
  <si>
    <t>Міська цільова програма фінансової підтримки діяльності  Одеської районної ради Одеської області на 2025 рік</t>
  </si>
  <si>
    <t>3210</t>
  </si>
  <si>
    <t>1050</t>
  </si>
  <si>
    <t>Організація та проведення громадських робіт</t>
  </si>
  <si>
    <t xml:space="preserve">Міська цільова програма зайнятості населення Чорноморської міської територіальної громади на 2024 - 2025 роки </t>
  </si>
  <si>
    <t>22.12.2023р. 
№ 517-VIII</t>
  </si>
  <si>
    <t>7520</t>
  </si>
  <si>
    <t>0460</t>
  </si>
  <si>
    <t>08.08.2024р.
 №649-VIII</t>
  </si>
  <si>
    <t>1213210</t>
  </si>
  <si>
    <t>1217520</t>
  </si>
  <si>
    <t>Міська цільова програма фінансової підтримки комунальних підприємств Чорноморської міської ради Одеського району Одеської області на 2025 рік.</t>
  </si>
  <si>
    <t>3116090</t>
  </si>
  <si>
    <t>0640</t>
  </si>
  <si>
    <t>Інша діяльність у сфері житлово-комунального господарства</t>
  </si>
  <si>
    <t>1500000</t>
  </si>
  <si>
    <t>Управлiння капiтального будiвництва Чорноморської мiської ради Одеського району Одеської областi</t>
  </si>
  <si>
    <t>1510000</t>
  </si>
  <si>
    <t>Міська цільова програма фінансової підтримки діяльності Одеської районної ради Одеської області на 2025 рік</t>
  </si>
  <si>
    <t>1117520</t>
  </si>
  <si>
    <t>1017520</t>
  </si>
  <si>
    <t>0917520</t>
  </si>
  <si>
    <t>0217520</t>
  </si>
  <si>
    <t>0617520</t>
  </si>
  <si>
    <t>0817520</t>
  </si>
  <si>
    <t>0218110</t>
  </si>
  <si>
    <t>8110</t>
  </si>
  <si>
    <t>0216030</t>
  </si>
  <si>
    <t>0618110</t>
  </si>
  <si>
    <t>Міська цільова програма надання поворотної фінансової допомоги (резервних коштів) патронатному вихователю на території Чорноморської міської територіальної громади на 2025-2027 роки</t>
  </si>
  <si>
    <t>Міська цільова програми підтримки сил безпеки та оборони України, а також  посилення  заходів громадської безпеки в умовах воєнного стану на території Чорноморської міської територіальної громади  на 2025 рік</t>
  </si>
  <si>
    <t xml:space="preserve">Про затвердження Міської цільової програми забезпечення жителів Чорноморської міської територіальної громади засобами для ендопротезування суглобів на 2025 рік </t>
  </si>
  <si>
    <t xml:space="preserve">Міська цільова програма забезпечення жителів Чорноморської міської територіальної громади засобами для ендопротезування суглобів на 2025 рік </t>
  </si>
  <si>
    <t>Міська цільова програма розвитку житлово-комунального господарства Чорноморської міської територіальної громади на 2025-2027 роки</t>
  </si>
  <si>
    <t>Міська цільова програми підтримки Сил безпеки та оборони України, а також  посилення  заходів громадської безпеки в умовах воєнного стану на території Чорноморської міської територіальної громади  на 2025 рік</t>
  </si>
  <si>
    <t xml:space="preserve">Міська цільова програма інформатизації Чорноморської міської ради Одеської області на 2024-2026 роки </t>
  </si>
  <si>
    <t>Реалізація Національної програми інформатизації</t>
  </si>
  <si>
    <t>19.05.2023р.
№ 368-VIII</t>
  </si>
  <si>
    <t>0217640</t>
  </si>
  <si>
    <t>7640</t>
  </si>
  <si>
    <t>0470</t>
  </si>
  <si>
    <t>Заходи з енергозбереження</t>
  </si>
  <si>
    <t xml:space="preserve">23.12.2024р.  
№ 735-VIII </t>
  </si>
  <si>
    <t>23.12.2024р.
№ 746-VIII</t>
  </si>
  <si>
    <t>23.12.2024р.
№ 749-VIII</t>
  </si>
  <si>
    <t>23.12.2024р.
№ 750-VIII</t>
  </si>
  <si>
    <t>Міська цільова програма протидії злочинності на території Чорноморської міської територіальної громади на 2025 рік</t>
  </si>
  <si>
    <t>Міська цільова програма підтримки Сил оборони і безпеки України, а також посилення  заходів громадської безпеки в умовах воєнного стану на території Чорноморської міської  територіальної громади на 2025 рік</t>
  </si>
  <si>
    <t>Субвенція з місцевого бюджету державному бюджету на виконання програм соціально-економічного розвитку регіонів</t>
  </si>
  <si>
    <t>0218240</t>
  </si>
  <si>
    <t>0611183</t>
  </si>
  <si>
    <t>1183</t>
  </si>
  <si>
    <t>0990</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</si>
  <si>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</si>
  <si>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1216011</t>
  </si>
  <si>
    <t>0610</t>
  </si>
  <si>
    <t>Експлуатація та технічне обслуговування житлового фонду</t>
  </si>
  <si>
    <t>Міська цільова програма сприяння діяльності об'єднань співвласників багатоквартирних будинків, житлово-будівельних кооперативів у багатоквартирних будинках на території Чорноморської міської територіальної громади на 2023 - 2025 роки</t>
  </si>
  <si>
    <t>Міська цільова програма часткової компенсації вартості закупівлі альтернативних джерел енергії для забезпечення потреб мешканців багатоквартирних житлових будинків на території Чорноморської міської територіальної громади на 2024 - 2025 роки</t>
  </si>
  <si>
    <t>08.08.2024р. 
№ 647-VIII</t>
  </si>
  <si>
    <t>6093</t>
  </si>
  <si>
    <t>Реалізація проектів (заходів) з відновлення об'єктів житлово-комунального господарства, пошкоджених/знищених внаслідок збройної агресії, за рахунок коштів місцевих бюджетів</t>
  </si>
  <si>
    <t>7670</t>
  </si>
  <si>
    <t>Внески до статутного капіталу суб'єктів господарювання</t>
  </si>
  <si>
    <t>1216093</t>
  </si>
  <si>
    <t>1217461</t>
  </si>
  <si>
    <t>1217670</t>
  </si>
  <si>
    <t>7691</t>
  </si>
  <si>
    <t>1217691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</si>
  <si>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</si>
  <si>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1300</t>
  </si>
  <si>
    <t>Будівництво освітніх установ та закладів</t>
  </si>
  <si>
    <t>2171</t>
  </si>
  <si>
    <t>Реалізація проектів (заходів) з відновлення закладів охорони здоров'я, пошкоджених/знищених внаслідок збройної агресії, за рахунок коштів місцевих бюджетів</t>
  </si>
  <si>
    <t>6091</t>
  </si>
  <si>
    <t>Будівництво об'єктів житлово-комунального господарства</t>
  </si>
  <si>
    <t>7368</t>
  </si>
  <si>
    <t>Виконання інвестиційних проектів за рахунок субвенцій з інших бюджетів</t>
  </si>
  <si>
    <t>7370</t>
  </si>
  <si>
    <t>Реалізація інших заходів щодо соціально-економічного розвитку територій</t>
  </si>
  <si>
    <t>Міська програма співфінансування заходів, направлених на доведення багаквартирних житлових будинків 13-го мікрорайону м.Чорноморська до стану, придатного для проживання, на 2021-2025 роки</t>
  </si>
  <si>
    <t>12.04.2021р. 
№ 55-VIII 
(зі змінами)</t>
  </si>
  <si>
    <t>1518110</t>
  </si>
  <si>
    <t>1218240</t>
  </si>
  <si>
    <t>23.12.2024р.
№ 741-VIII
(зі змінами)</t>
  </si>
  <si>
    <t>08.08.2024р.
 №649-VIII
(зі змінами)</t>
  </si>
  <si>
    <t>23.12.2024р.
№ 737-VIII
(зі змінами)</t>
  </si>
  <si>
    <t>12.04.2024р.
 №562-VIII
(зі змінами)</t>
  </si>
  <si>
    <t>31.01.2023р. 
№ 295-VIII
(зі змінами)</t>
  </si>
  <si>
    <t>23.12.2024р.
№ 740-VIII
(зі змінами)</t>
  </si>
  <si>
    <t>28.01.2025р.
№ 772-VIII</t>
  </si>
  <si>
    <t>0611070</t>
  </si>
  <si>
    <t>Надання позашкільної освіти закладами позашкільної освіти, заходи із позашкільної роботи з дітьми</t>
  </si>
  <si>
    <t>0611151</t>
  </si>
  <si>
    <t>1151</t>
  </si>
  <si>
    <t>Забезпечення діяльності інклюзивно-ресурсних центрів за рахунок коштів місцевого бюджету</t>
  </si>
  <si>
    <t>0611160</t>
  </si>
  <si>
    <t>1160</t>
  </si>
  <si>
    <t>Забезпечення діяльності центрів професійного розвитку педагогічних працівників</t>
  </si>
  <si>
    <t>0615031</t>
  </si>
  <si>
    <t>5031</t>
  </si>
  <si>
    <t>Розвиток здібностей у дітей та молоді з фізичної культури та спорту комунальними дитячо-юнацькими спортивними школами</t>
  </si>
  <si>
    <t>Міська цільова програма підтримки Територіального управління Державного бюро розслідувань, розташованого у місті Миколаєві, на 2025 рік</t>
  </si>
  <si>
    <t>Міська цільова програма "Поліцейський офіцер громади" Чорноморської міської територіальної громади на 2025 рік</t>
  </si>
  <si>
    <t>Міська цільова програма розроблення містобудівної документації населених пунктів Чорноморської міської  територіальної громади на 2025-2027 роки</t>
  </si>
  <si>
    <t>28.02.2025р.
№ 792-VIII</t>
  </si>
  <si>
    <t>28.02.2025р.
№ 793-VIII</t>
  </si>
  <si>
    <t>28.02.2025р.
№ 798-VIII</t>
  </si>
  <si>
    <t>0217350</t>
  </si>
  <si>
    <t>7350</t>
  </si>
  <si>
    <t>0443</t>
  </si>
  <si>
    <t>Розроблення схем планування та забудови територій (містобудівної документації)</t>
  </si>
  <si>
    <t>0217351</t>
  </si>
  <si>
    <t>7351</t>
  </si>
  <si>
    <t>Розроблення комплексних планів просторового розвитку територій територіальних громад</t>
  </si>
  <si>
    <t>Міська цільова програма розвитку земельних відносин Чорноморської міської територіальної громади Одеського району Одеської області на 2025-2027 роки</t>
  </si>
  <si>
    <t>3117130</t>
  </si>
  <si>
    <t>7130</t>
  </si>
  <si>
    <t>0421</t>
  </si>
  <si>
    <t>Здійснення заходів із землеустрою</t>
  </si>
  <si>
    <t>Виконання окремих заходів з реалізації соціального проекту "Активні парки - локації здорової України"</t>
  </si>
  <si>
    <t>11.04.2025р.
№ 818-VIII</t>
  </si>
  <si>
    <t>0611310</t>
  </si>
  <si>
    <t>1310</t>
  </si>
  <si>
    <t>Реалізація проектів (заходів) з відновлення освітніх установ та закладів, пошкоджених/знищених внаслідок збройної агресії, за рахунок коштів місцевих бюджетів</t>
  </si>
  <si>
    <t>1217640</t>
  </si>
  <si>
    <t>%  виконання</t>
  </si>
  <si>
    <t>% виконання</t>
  </si>
  <si>
    <t>відхилення, грн</t>
  </si>
  <si>
    <t>Додаток 7</t>
  </si>
  <si>
    <t>до рішення Чорноморської міської ради</t>
  </si>
  <si>
    <t>0212170</t>
  </si>
  <si>
    <t>2170</t>
  </si>
  <si>
    <t>Будівництво закладів охорони здоров'я</t>
  </si>
  <si>
    <t>0217330</t>
  </si>
  <si>
    <t>7330</t>
  </si>
  <si>
    <t>Будівництво інших об'єктів комунальної власності</t>
  </si>
  <si>
    <t>0212111</t>
  </si>
  <si>
    <t>Звіт про виконання Міських програм за 9  місяців   2025  року</t>
  </si>
  <si>
    <t>0217691</t>
  </si>
  <si>
    <t>1115062</t>
  </si>
  <si>
    <t>5062</t>
  </si>
  <si>
    <t>Підтримка спорту вищих досягнень та організацій, які здійснюють фізкультурно-спортивну діяльність в регіоні</t>
  </si>
  <si>
    <t>1117691</t>
  </si>
  <si>
    <t>Забезпечення діяльності водопровідно-каналізаційного господарства</t>
  </si>
  <si>
    <t>1218340</t>
  </si>
  <si>
    <t xml:space="preserve">Міська цільова програма співпраці виконавчих органів Чорноморської міської ради Одеського району Одеської області та ГУ ДПС в Одеській області з питань забезпечення контролю за дотриманням зобов'язань щодо платежів підприємств, установ, організацій, суб’єктів господарювання, фізичних осіб до бюджету Чорноморської  міської територіальної громади на 2025 рік </t>
  </si>
  <si>
    <t>03.07.2025р.</t>
  </si>
  <si>
    <t>Міська цільова програма підтримки Регіонального сервісного  центру  ГСЦ МВС  в  Одеській, Миколаївській  та  Херсонській  областях  у сфері  надання адміністративних  послуг на 2024-2025 рок</t>
  </si>
  <si>
    <t>23.12.2024р.
№ 743-VIII</t>
  </si>
  <si>
    <t>0611184</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</si>
  <si>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</si>
  <si>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</si>
  <si>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0611279</t>
  </si>
  <si>
    <t>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</si>
  <si>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</si>
  <si>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0611403</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</si>
  <si>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</si>
  <si>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</si>
  <si>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0611700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</si>
  <si>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</si>
  <si>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від                                  2025 №                              - VIIІ</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</si>
</sst>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1"/>
      <color theme="1"/>
      <name val="Calibri"/>
      <family val="2"/>
      <charset val="204"/>
      <scheme val="minor"/>
    </font>
    <font>
      <sz val="10"/>
      <color theme="1"/>
      <name val="Calibri"/>
      <family val="2"/>
      <charset val="204"/>
      <scheme val="minor"/>
    </font>
    <font>
      <sz val="11"/>
      <color indexed="8"/>
      <name val="Calibri"/>
      <family val="2"/>
      <charset val="204"/>
    </font>
    <font>
      <sz val="10"/>
      <name val="Times New Roman"/>
      <family val="1"/>
      <charset val="204"/>
    </font>
    <font>
      <sz val="10"/>
      <name val="Arial Cyr"/>
      <charset val="204"/>
    </font>
    <font>
      <sz val="11"/>
      <name val="Calibri"/>
      <family val="2"/>
      <charset val="204"/>
      <scheme val="minor"/>
    </font>
    <font>
      <sz val="11"/>
      <color theme="1"/>
      <name val="Calibri"/>
      <family val="2"/>
      <charset val="204"/>
      <scheme val="minor"/>
    </font>
    <font>
      <sz val="11"/>
      <color theme="1"/>
      <name val="Times New Roman"/>
      <family val="1"/>
      <charset val="204"/>
    </font>
    <font>
      <b/>
      <sz val="11"/>
      <name val="Times New Roman"/>
      <family val="1"/>
      <charset val="204"/>
    </font>
    <font>
      <b/>
      <sz val="11"/>
      <color theme="1"/>
      <name val="Times New Roman"/>
      <family val="1"/>
      <charset val="204"/>
    </font>
    <font>
      <sz val="11"/>
      <name val="Times New Roman"/>
      <family val="1"/>
      <charset val="204"/>
    </font>
    <font>
      <sz val="11"/>
      <color indexed="8"/>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s>
  <cellStyleXfs count="8">
    <xf numFmtId="0" fontId="0" fillId="0" borderId="0"/>
    <xf numFmtId="0" fontId="2" fillId="0" borderId="0"/>
    <xf numFmtId="0" fontId="3" fillId="0" borderId="0"/>
    <xf numFmtId="0" fontId="1" fillId="0" borderId="0"/>
    <xf numFmtId="0" fontId="3" fillId="0" borderId="0"/>
    <xf numFmtId="0" fontId="3" fillId="0" borderId="0"/>
    <xf numFmtId="0" fontId="4" fillId="0" borderId="0"/>
    <xf numFmtId="0" fontId="6" fillId="0" borderId="0"/>
  </cellStyleXfs>
  <cellXfs count="106">
    <xf numFmtId="0" fontId="0" fillId="0" borderId="0" xfId="0"/>
    <xf numFmtId="4" fontId="5" fillId="2" borderId="0" xfId="0" applyNumberFormat="1" applyFont="1" applyFill="1" applyAlignment="1">
      <alignment horizontal="center" vertical="center"/>
    </xf>
    <xf numFmtId="0" fontId="5" fillId="2" borderId="0" xfId="0" applyFont="1" applyFill="1"/>
    <xf numFmtId="0" fontId="0" fillId="2" borderId="0" xfId="0" applyFont="1" applyFill="1" applyAlignment="1">
      <alignment horizontal="center"/>
    </xf>
    <xf numFmtId="0" fontId="0" fillId="2" borderId="0" xfId="0" applyFont="1" applyFill="1" applyAlignment="1">
      <alignment horizontal="center" vertical="center"/>
    </xf>
    <xf numFmtId="0" fontId="0" fillId="2" borderId="0" xfId="0" applyFont="1" applyFill="1"/>
    <xf numFmtId="0" fontId="0" fillId="2" borderId="0" xfId="0" applyFont="1" applyFill="1" applyAlignment="1">
      <alignment horizontal="left"/>
    </xf>
    <xf numFmtId="0" fontId="7" fillId="2" borderId="0" xfId="0" applyFont="1" applyFill="1" applyAlignment="1">
      <alignment vertical="center"/>
    </xf>
    <xf numFmtId="0" fontId="7" fillId="2" borderId="0" xfId="4" applyFont="1" applyFill="1" applyAlignment="1">
      <alignment vertical="center"/>
    </xf>
    <xf numFmtId="0" fontId="0" fillId="2" borderId="0" xfId="0" applyFont="1" applyFill="1" applyAlignment="1"/>
    <xf numFmtId="0" fontId="8" fillId="2" borderId="0" xfId="4" applyFont="1" applyFill="1" applyAlignment="1">
      <alignment horizontal="center"/>
    </xf>
    <xf numFmtId="0" fontId="10" fillId="2" borderId="0" xfId="4" applyFont="1" applyFill="1" applyAlignment="1">
      <alignment horizontal="center" vertical="center"/>
    </xf>
    <xf numFmtId="0" fontId="10" fillId="2" borderId="0" xfId="4" applyFont="1" applyFill="1" applyAlignment="1">
      <alignment horizontal="center"/>
    </xf>
    <xf numFmtId="0" fontId="10" fillId="2" borderId="0" xfId="4" applyFont="1" applyFill="1" applyAlignment="1">
      <alignment horizontal="left" vertical="center"/>
    </xf>
    <xf numFmtId="3" fontId="10" fillId="2" borderId="0" xfId="4" applyNumberFormat="1" applyFont="1" applyFill="1" applyAlignment="1">
      <alignment horizontal="center" vertical="center"/>
    </xf>
    <xf numFmtId="3" fontId="7" fillId="2" borderId="0" xfId="4" applyNumberFormat="1" applyFont="1" applyFill="1" applyAlignment="1">
      <alignment horizontal="center" vertical="center"/>
    </xf>
    <xf numFmtId="0" fontId="7" fillId="2" borderId="2" xfId="4" applyFont="1" applyFill="1" applyBorder="1" applyAlignment="1">
      <alignment horizontal="center" vertical="center" wrapText="1"/>
    </xf>
    <xf numFmtId="0" fontId="7" fillId="2" borderId="3" xfId="4" applyFont="1" applyFill="1" applyBorder="1" applyAlignment="1">
      <alignment horizontal="center" vertical="center" wrapText="1"/>
    </xf>
    <xf numFmtId="3" fontId="7" fillId="2" borderId="1" xfId="4" applyNumberFormat="1" applyFont="1" applyFill="1" applyBorder="1" applyAlignment="1">
      <alignment horizontal="center" vertical="center" wrapText="1"/>
    </xf>
    <xf numFmtId="0" fontId="7" fillId="2" borderId="1" xfId="4" applyFont="1" applyFill="1" applyBorder="1" applyAlignment="1">
      <alignment horizontal="center" wrapText="1"/>
    </xf>
    <xf numFmtId="0" fontId="7" fillId="2" borderId="1" xfId="4"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 xfId="0" applyNumberFormat="1" applyFont="1" applyFill="1" applyBorder="1" applyAlignment="1">
      <alignment horizontal="center"/>
    </xf>
    <xf numFmtId="49" fontId="9" fillId="2" borderId="1" xfId="5" applyNumberFormat="1" applyFont="1" applyFill="1" applyBorder="1" applyAlignment="1">
      <alignment horizontal="center" vertical="center" wrapText="1"/>
    </xf>
    <xf numFmtId="0" fontId="9" fillId="2" borderId="1" xfId="5" applyFont="1" applyFill="1" applyBorder="1" applyAlignment="1">
      <alignment horizontal="center" vertical="center" wrapText="1"/>
    </xf>
    <xf numFmtId="0" fontId="9" fillId="2" borderId="1" xfId="0" applyFont="1" applyFill="1" applyBorder="1" applyAlignment="1">
      <alignment horizontal="center" vertical="center"/>
    </xf>
    <xf numFmtId="4" fontId="9" fillId="2" borderId="1" xfId="0" applyNumberFormat="1" applyFont="1" applyFill="1" applyBorder="1" applyAlignment="1">
      <alignment horizontal="center" vertical="center"/>
    </xf>
    <xf numFmtId="164" fontId="9" fillId="2" borderId="1" xfId="0" applyNumberFormat="1" applyFont="1" applyFill="1" applyBorder="1" applyAlignment="1">
      <alignment horizontal="center"/>
    </xf>
    <xf numFmtId="4" fontId="9" fillId="2" borderId="1" xfId="0" applyNumberFormat="1" applyFont="1" applyFill="1" applyBorder="1" applyAlignment="1">
      <alignment horizontal="center"/>
    </xf>
    <xf numFmtId="0" fontId="9" fillId="2" borderId="0" xfId="0" applyFont="1" applyFill="1"/>
    <xf numFmtId="49" fontId="10" fillId="2" borderId="1" xfId="0" applyNumberFormat="1" applyFont="1" applyFill="1" applyBorder="1" applyAlignment="1">
      <alignment horizontal="center" vertical="center"/>
    </xf>
    <xf numFmtId="0" fontId="10" fillId="2" borderId="1" xfId="0" applyFont="1" applyFill="1" applyBorder="1" applyAlignment="1">
      <alignment vertical="center" wrapText="1"/>
    </xf>
    <xf numFmtId="0" fontId="7" fillId="2" borderId="1" xfId="0" applyFont="1" applyFill="1" applyBorder="1" applyAlignment="1">
      <alignment vertical="center" wrapText="1"/>
    </xf>
    <xf numFmtId="0" fontId="7" fillId="2" borderId="1" xfId="0" applyFont="1" applyFill="1" applyBorder="1" applyAlignment="1">
      <alignment horizontal="center" vertical="center" wrapText="1"/>
    </xf>
    <xf numFmtId="4" fontId="7" fillId="2" borderId="1" xfId="0" applyNumberFormat="1" applyFont="1" applyFill="1" applyBorder="1" applyAlignment="1">
      <alignment horizontal="center" vertical="center"/>
    </xf>
    <xf numFmtId="164" fontId="7" fillId="2" borderId="1" xfId="0" applyNumberFormat="1" applyFont="1" applyFill="1" applyBorder="1" applyAlignment="1">
      <alignment horizontal="center" vertical="center"/>
    </xf>
    <xf numFmtId="0" fontId="7" fillId="2" borderId="0" xfId="0" applyFont="1" applyFill="1"/>
    <xf numFmtId="0" fontId="7" fillId="2" borderId="1" xfId="0" quotePrefix="1" applyFont="1" applyFill="1" applyBorder="1" applyAlignment="1">
      <alignment vertical="center" wrapText="1"/>
    </xf>
    <xf numFmtId="0" fontId="10" fillId="2" borderId="1" xfId="4" applyFont="1" applyFill="1" applyBorder="1" applyAlignment="1">
      <alignment vertical="center" wrapText="1"/>
    </xf>
    <xf numFmtId="0" fontId="10" fillId="2" borderId="4" xfId="4" applyFont="1" applyFill="1" applyBorder="1" applyAlignment="1">
      <alignment vertical="center" wrapText="1"/>
    </xf>
    <xf numFmtId="0" fontId="7" fillId="2" borderId="4" xfId="0" applyFont="1" applyFill="1" applyBorder="1" applyAlignment="1">
      <alignment vertical="center" wrapText="1"/>
    </xf>
    <xf numFmtId="49" fontId="7" fillId="2" borderId="1" xfId="0" applyNumberFormat="1" applyFont="1" applyFill="1" applyBorder="1" applyAlignment="1">
      <alignment horizontal="center" vertical="center" wrapText="1"/>
    </xf>
    <xf numFmtId="49" fontId="7" fillId="2" borderId="1" xfId="5" applyNumberFormat="1" applyFont="1" applyFill="1" applyBorder="1" applyAlignment="1">
      <alignment horizontal="center" vertical="center" wrapText="1"/>
    </xf>
    <xf numFmtId="0" fontId="10" fillId="2" borderId="1" xfId="1" applyFont="1" applyFill="1" applyBorder="1" applyAlignment="1">
      <alignment vertical="center" wrapText="1"/>
    </xf>
    <xf numFmtId="0" fontId="10" fillId="2" borderId="4" xfId="1" applyFont="1" applyFill="1" applyBorder="1" applyAlignment="1">
      <alignment vertical="center" wrapText="1"/>
    </xf>
    <xf numFmtId="4" fontId="7" fillId="2" borderId="5" xfId="0" applyNumberFormat="1" applyFont="1" applyFill="1" applyBorder="1" applyAlignment="1">
      <alignment horizontal="center" vertical="center"/>
    </xf>
    <xf numFmtId="0" fontId="11" fillId="2" borderId="1" xfId="0" applyFont="1" applyFill="1" applyBorder="1" applyAlignment="1">
      <alignment vertical="center" wrapText="1"/>
    </xf>
    <xf numFmtId="3" fontId="7" fillId="2" borderId="1" xfId="0" applyNumberFormat="1" applyFont="1" applyFill="1" applyBorder="1" applyAlignment="1">
      <alignment vertical="center"/>
    </xf>
    <xf numFmtId="0" fontId="7" fillId="2" borderId="3" xfId="0" quotePrefix="1" applyFont="1" applyFill="1" applyBorder="1" applyAlignment="1">
      <alignment vertical="center" wrapText="1"/>
    </xf>
    <xf numFmtId="0" fontId="7" fillId="2" borderId="3" xfId="0" applyFont="1" applyFill="1" applyBorder="1" applyAlignment="1">
      <alignment vertical="center" wrapText="1"/>
    </xf>
    <xf numFmtId="0" fontId="10" fillId="2" borderId="3" xfId="1" applyFont="1" applyFill="1" applyBorder="1" applyAlignment="1">
      <alignment vertical="center" wrapText="1"/>
    </xf>
    <xf numFmtId="49" fontId="8" fillId="2" borderId="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0" fontId="7" fillId="2" borderId="2" xfId="0" applyFont="1" applyFill="1" applyBorder="1" applyAlignment="1">
      <alignment horizontal="center" vertical="center" wrapText="1"/>
    </xf>
    <xf numFmtId="0" fontId="10" fillId="2" borderId="1" xfId="0" quotePrefix="1" applyFont="1" applyFill="1" applyBorder="1" applyAlignment="1">
      <alignment vertical="center" wrapText="1"/>
    </xf>
    <xf numFmtId="0" fontId="10" fillId="2" borderId="1" xfId="0" applyFont="1" applyFill="1" applyBorder="1" applyAlignment="1">
      <alignment vertical="top" wrapText="1"/>
    </xf>
    <xf numFmtId="49"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7" fillId="2" borderId="5" xfId="0" quotePrefix="1" applyFont="1" applyFill="1" applyBorder="1" applyAlignment="1">
      <alignment vertical="center" wrapText="1"/>
    </xf>
    <xf numFmtId="0" fontId="7" fillId="2" borderId="5" xfId="0" applyFont="1" applyFill="1" applyBorder="1" applyAlignment="1">
      <alignment vertical="center" wrapText="1"/>
    </xf>
    <xf numFmtId="0" fontId="10" fillId="2" borderId="2" xfId="0" applyFont="1" applyFill="1" applyBorder="1" applyAlignment="1">
      <alignment vertical="center" wrapText="1"/>
    </xf>
    <xf numFmtId="0" fontId="7" fillId="2" borderId="2" xfId="0" applyFont="1" applyFill="1" applyBorder="1" applyAlignment="1">
      <alignment vertical="center" wrapText="1"/>
    </xf>
    <xf numFmtId="0" fontId="10" fillId="2" borderId="1" xfId="1" quotePrefix="1" applyFont="1" applyFill="1" applyBorder="1" applyAlignment="1">
      <alignment vertical="center" wrapText="1"/>
    </xf>
    <xf numFmtId="0" fontId="10" fillId="2" borderId="7" xfId="1" applyFont="1" applyFill="1" applyBorder="1" applyAlignment="1">
      <alignment vertical="center" wrapText="1"/>
    </xf>
    <xf numFmtId="0" fontId="7" fillId="2" borderId="3"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vertical="center"/>
    </xf>
    <xf numFmtId="0" fontId="7" fillId="2" borderId="4" xfId="0" quotePrefix="1" applyFont="1" applyFill="1" applyBorder="1" applyAlignment="1">
      <alignment vertical="center" wrapText="1"/>
    </xf>
    <xf numFmtId="4" fontId="7" fillId="2" borderId="0" xfId="0" applyNumberFormat="1" applyFont="1" applyFill="1"/>
    <xf numFmtId="0" fontId="7" fillId="2" borderId="1" xfId="0" applyFont="1" applyFill="1" applyBorder="1" applyAlignment="1">
      <alignment vertical="center"/>
    </xf>
    <xf numFmtId="4" fontId="7" fillId="2" borderId="1" xfId="0" applyNumberFormat="1" applyFont="1" applyFill="1" applyBorder="1" applyAlignment="1">
      <alignment vertical="center"/>
    </xf>
    <xf numFmtId="0" fontId="7" fillId="2" borderId="3" xfId="0" applyFont="1" applyFill="1" applyBorder="1" applyAlignment="1">
      <alignment vertical="center"/>
    </xf>
    <xf numFmtId="0" fontId="7" fillId="2" borderId="5" xfId="0" applyFont="1" applyFill="1" applyBorder="1" applyAlignment="1">
      <alignment vertical="center"/>
    </xf>
    <xf numFmtId="0" fontId="7" fillId="2" borderId="2" xfId="0" applyFont="1" applyFill="1" applyBorder="1" applyAlignment="1">
      <alignment horizontal="center" vertical="center"/>
    </xf>
    <xf numFmtId="4" fontId="7" fillId="2" borderId="2" xfId="0" applyNumberFormat="1" applyFont="1" applyFill="1" applyBorder="1" applyAlignment="1">
      <alignment horizontal="center" vertical="center"/>
    </xf>
    <xf numFmtId="0" fontId="7" fillId="2" borderId="2" xfId="0" applyFont="1" applyFill="1" applyBorder="1" applyAlignment="1">
      <alignment vertical="center"/>
    </xf>
    <xf numFmtId="0" fontId="7" fillId="2" borderId="3" xfId="0" applyFont="1" applyFill="1" applyBorder="1" applyAlignment="1">
      <alignment horizontal="center" vertical="center"/>
    </xf>
    <xf numFmtId="4" fontId="7" fillId="2" borderId="3" xfId="0" applyNumberFormat="1" applyFont="1" applyFill="1" applyBorder="1" applyAlignment="1">
      <alignment horizontal="center" vertical="center"/>
    </xf>
    <xf numFmtId="0" fontId="7" fillId="2" borderId="4" xfId="0" applyFont="1" applyFill="1" applyBorder="1" applyAlignment="1">
      <alignment vertical="center"/>
    </xf>
    <xf numFmtId="0" fontId="7" fillId="2" borderId="0" xfId="0" applyFont="1" applyFill="1" applyAlignment="1">
      <alignment horizontal="center" vertical="center"/>
    </xf>
    <xf numFmtId="0" fontId="7" fillId="2" borderId="0" xfId="0" quotePrefix="1" applyFont="1" applyFill="1" applyAlignment="1">
      <alignment vertical="center" wrapText="1"/>
    </xf>
    <xf numFmtId="0" fontId="7" fillId="2" borderId="0" xfId="0" applyFont="1" applyFill="1" applyAlignment="1">
      <alignment horizontal="center" vertical="center" wrapText="1"/>
    </xf>
    <xf numFmtId="4" fontId="7" fillId="2" borderId="0" xfId="0" applyNumberFormat="1" applyFont="1" applyFill="1" applyAlignment="1">
      <alignment horizontal="center" vertical="center"/>
    </xf>
    <xf numFmtId="0" fontId="7" fillId="2" borderId="0" xfId="0" applyFont="1" applyFill="1" applyAlignment="1">
      <alignment horizontal="center"/>
    </xf>
    <xf numFmtId="0" fontId="7" fillId="2" borderId="0" xfId="0" applyFont="1" applyFill="1" applyAlignment="1">
      <alignment vertical="center" wrapText="1"/>
    </xf>
    <xf numFmtId="4" fontId="0" fillId="2" borderId="0" xfId="0" applyNumberFormat="1" applyFont="1" applyFill="1" applyAlignment="1">
      <alignment horizontal="center" vertical="center"/>
    </xf>
    <xf numFmtId="3" fontId="0" fillId="2" borderId="0" xfId="0" applyNumberFormat="1" applyFont="1" applyFill="1" applyAlignment="1">
      <alignment horizontal="center" vertical="center"/>
    </xf>
    <xf numFmtId="0" fontId="7" fillId="3" borderId="0" xfId="0" applyFont="1" applyFill="1"/>
    <xf numFmtId="0" fontId="7" fillId="2" borderId="0" xfId="0" applyFont="1" applyFill="1" applyAlignment="1">
      <alignment horizontal="left" vertical="center"/>
    </xf>
    <xf numFmtId="0" fontId="8" fillId="2" borderId="0" xfId="4" applyNumberFormat="1" applyFont="1" applyFill="1" applyBorder="1" applyAlignment="1" applyProtection="1">
      <alignment horizontal="center" vertical="center" wrapText="1"/>
    </xf>
    <xf numFmtId="0" fontId="7" fillId="2" borderId="0" xfId="4" applyFont="1" applyFill="1" applyAlignment="1">
      <alignment horizontal="left" vertical="center"/>
    </xf>
    <xf numFmtId="0" fontId="9" fillId="2" borderId="1" xfId="0" applyFont="1" applyFill="1" applyBorder="1" applyAlignment="1">
      <alignment horizontal="center" vertical="center"/>
    </xf>
    <xf numFmtId="0" fontId="7" fillId="2" borderId="1" xfId="4" applyFont="1" applyFill="1" applyBorder="1" applyAlignment="1">
      <alignment horizontal="center" vertical="center" wrapText="1"/>
    </xf>
    <xf numFmtId="3" fontId="7" fillId="2" borderId="1" xfId="4" applyNumberFormat="1" applyFont="1" applyFill="1" applyBorder="1" applyAlignment="1">
      <alignment horizontal="center" vertical="center" wrapText="1"/>
    </xf>
    <xf numFmtId="0" fontId="9" fillId="2" borderId="0" xfId="4" applyFont="1" applyFill="1" applyAlignment="1">
      <alignment horizontal="center" vertical="center" wrapText="1"/>
    </xf>
    <xf numFmtId="0" fontId="7" fillId="2" borderId="2" xfId="4" applyFont="1" applyFill="1" applyBorder="1" applyAlignment="1">
      <alignment horizontal="center" vertical="center" wrapText="1"/>
    </xf>
    <xf numFmtId="0" fontId="7" fillId="2" borderId="3" xfId="4" applyFont="1" applyFill="1" applyBorder="1" applyAlignment="1">
      <alignment horizontal="center" vertical="center" wrapText="1"/>
    </xf>
    <xf numFmtId="0" fontId="7" fillId="2" borderId="1" xfId="4" applyFont="1" applyFill="1" applyBorder="1" applyAlignment="1">
      <alignment horizontal="center" wrapText="1"/>
    </xf>
    <xf numFmtId="0" fontId="9" fillId="2" borderId="1" xfId="5" applyFont="1" applyFill="1" applyBorder="1" applyAlignment="1">
      <alignment horizontal="center" vertical="center" wrapText="1"/>
    </xf>
    <xf numFmtId="0" fontId="9" fillId="2" borderId="4" xfId="0" quotePrefix="1" applyFont="1" applyFill="1" applyBorder="1" applyAlignment="1">
      <alignment vertical="center" wrapText="1"/>
    </xf>
    <xf numFmtId="0" fontId="9" fillId="2" borderId="6" xfId="0" quotePrefix="1" applyFont="1" applyFill="1" applyBorder="1" applyAlignment="1">
      <alignment vertical="center" wrapText="1"/>
    </xf>
    <xf numFmtId="0" fontId="9" fillId="2" borderId="5" xfId="0" quotePrefix="1" applyFont="1" applyFill="1" applyBorder="1" applyAlignment="1">
      <alignment vertical="center" wrapText="1"/>
    </xf>
    <xf numFmtId="0" fontId="8" fillId="2" borderId="4" xfId="1" applyFont="1" applyFill="1" applyBorder="1" applyAlignment="1">
      <alignment vertical="center" wrapText="1"/>
    </xf>
    <xf numFmtId="0" fontId="8" fillId="2" borderId="6" xfId="1" applyFont="1" applyFill="1" applyBorder="1" applyAlignment="1">
      <alignment vertical="center" wrapText="1"/>
    </xf>
    <xf numFmtId="0" fontId="8" fillId="2" borderId="5" xfId="1" applyFont="1" applyFill="1" applyBorder="1" applyAlignment="1">
      <alignment vertical="center" wrapText="1"/>
    </xf>
    <xf numFmtId="0" fontId="9" fillId="2" borderId="1" xfId="0" applyFont="1" applyFill="1" applyBorder="1" applyAlignment="1">
      <alignment vertical="center"/>
    </xf>
  </cellXfs>
  <cellStyles count="8">
    <cellStyle name="Звичайний" xfId="0" builtinId="0"/>
    <cellStyle name="Звичайний 2" xfId="7"/>
    <cellStyle name="Обычный 11 2" xfId="5"/>
    <cellStyle name="Обычный 17 5 6" xfId="3"/>
    <cellStyle name="Обычный 2" xfId="6"/>
    <cellStyle name="Обычный 3" xfId="2"/>
    <cellStyle name="Обычный 3 2" xfId="4"/>
    <cellStyle name="Обычный_дод 3"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05"/>
  <sheetViews>
    <sheetView showZeros="0" tabSelected="1" view="pageBreakPreview" zoomScale="50" zoomScaleNormal="60" zoomScaleSheetLayoutView="50" workbookViewId="0">
      <selection activeCell="O4" sqref="O4"/>
    </sheetView>
  </sheetViews>
  <sheetFormatPr defaultColWidth="9.109375" defaultRowHeight="14.4" x14ac:dyDescent="0.3"/>
  <cols>
    <col min="1" max="1" width="13.33203125" style="3" customWidth="1"/>
    <col min="2" max="2" width="12.33203125" style="4" customWidth="1"/>
    <col min="3" max="3" width="14.33203125" style="3" customWidth="1"/>
    <col min="4" max="4" width="56" style="5" customWidth="1"/>
    <col min="5" max="5" width="6.44140625" style="4" hidden="1" customWidth="1"/>
    <col min="6" max="6" width="58.88671875" style="6" customWidth="1"/>
    <col min="7" max="7" width="25" style="4" customWidth="1"/>
    <col min="8" max="8" width="21.6640625" style="4" customWidth="1"/>
    <col min="9" max="9" width="19.33203125" style="4" customWidth="1"/>
    <col min="10" max="10" width="21.44140625" style="4" customWidth="1"/>
    <col min="11" max="11" width="22.6640625" style="4" customWidth="1"/>
    <col min="12" max="12" width="17.5546875" style="5" customWidth="1"/>
    <col min="13" max="13" width="17.109375" style="5" customWidth="1"/>
    <col min="14" max="14" width="16.88671875" style="5" customWidth="1"/>
    <col min="15" max="15" width="16.6640625" style="5" customWidth="1"/>
    <col min="16" max="16" width="13.5546875" style="5" customWidth="1"/>
    <col min="17" max="17" width="19.109375" style="5" customWidth="1"/>
    <col min="18" max="18" width="16.33203125" style="5" bestFit="1" customWidth="1"/>
    <col min="19" max="16384" width="9.109375" style="5"/>
  </cols>
  <sheetData>
    <row r="1" spans="1:17" x14ac:dyDescent="0.3">
      <c r="I1" s="88"/>
      <c r="J1" s="88"/>
      <c r="K1" s="88"/>
      <c r="N1" s="2"/>
      <c r="O1" s="88" t="s">
        <v>352</v>
      </c>
      <c r="P1" s="88"/>
      <c r="Q1" s="7"/>
    </row>
    <row r="2" spans="1:17" x14ac:dyDescent="0.3">
      <c r="I2" s="88"/>
      <c r="J2" s="88"/>
      <c r="K2" s="88"/>
      <c r="N2" s="2"/>
      <c r="O2" s="7" t="s">
        <v>353</v>
      </c>
      <c r="P2" s="7"/>
      <c r="Q2" s="7"/>
    </row>
    <row r="3" spans="1:17" x14ac:dyDescent="0.3">
      <c r="I3" s="88"/>
      <c r="J3" s="88"/>
      <c r="K3" s="88"/>
      <c r="N3" s="2"/>
      <c r="O3" s="8" t="s">
        <v>384</v>
      </c>
      <c r="P3" s="8"/>
      <c r="Q3" s="8"/>
    </row>
    <row r="4" spans="1:17" x14ac:dyDescent="0.3">
      <c r="I4" s="90"/>
      <c r="J4" s="90"/>
      <c r="K4" s="90"/>
    </row>
    <row r="6" spans="1:17" ht="15.75" customHeight="1" x14ac:dyDescent="0.3">
      <c r="A6" s="89" t="s">
        <v>361</v>
      </c>
      <c r="B6" s="89"/>
      <c r="C6" s="89"/>
      <c r="D6" s="89"/>
      <c r="E6" s="89"/>
      <c r="F6" s="89"/>
      <c r="G6" s="89"/>
      <c r="H6" s="89"/>
      <c r="I6" s="89"/>
      <c r="J6" s="89"/>
      <c r="K6" s="89"/>
      <c r="L6" s="89"/>
      <c r="M6" s="89"/>
      <c r="N6" s="89"/>
      <c r="O6" s="89"/>
      <c r="P6" s="89"/>
      <c r="Q6" s="9"/>
    </row>
    <row r="7" spans="1:17" x14ac:dyDescent="0.3">
      <c r="I7" s="88"/>
      <c r="J7" s="88"/>
      <c r="K7" s="88"/>
    </row>
    <row r="8" spans="1:17" x14ac:dyDescent="0.3">
      <c r="I8" s="88"/>
      <c r="J8" s="88"/>
      <c r="K8" s="88"/>
    </row>
    <row r="9" spans="1:17" x14ac:dyDescent="0.3">
      <c r="I9" s="90"/>
      <c r="J9" s="90"/>
      <c r="K9" s="90"/>
    </row>
    <row r="10" spans="1:17" x14ac:dyDescent="0.3">
      <c r="A10" s="94"/>
      <c r="B10" s="94"/>
      <c r="C10" s="94"/>
      <c r="D10" s="94"/>
      <c r="E10" s="94"/>
      <c r="F10" s="94"/>
      <c r="G10" s="94"/>
      <c r="H10" s="94"/>
      <c r="I10" s="94"/>
      <c r="J10" s="94"/>
      <c r="K10" s="94"/>
    </row>
    <row r="11" spans="1:17" x14ac:dyDescent="0.3">
      <c r="A11" s="10"/>
      <c r="B11" s="11"/>
      <c r="C11" s="12"/>
      <c r="D11" s="11"/>
      <c r="E11" s="11"/>
      <c r="F11" s="13"/>
      <c r="G11" s="11"/>
      <c r="H11" s="14"/>
      <c r="I11" s="14"/>
      <c r="J11" s="14"/>
      <c r="K11" s="15" t="s">
        <v>45</v>
      </c>
    </row>
    <row r="12" spans="1:17" x14ac:dyDescent="0.3">
      <c r="A12" s="97" t="s">
        <v>46</v>
      </c>
      <c r="B12" s="92" t="s">
        <v>47</v>
      </c>
      <c r="C12" s="97" t="s">
        <v>9</v>
      </c>
      <c r="D12" s="92" t="s">
        <v>49</v>
      </c>
      <c r="E12" s="16"/>
      <c r="F12" s="95" t="s">
        <v>48</v>
      </c>
      <c r="G12" s="92" t="s">
        <v>50</v>
      </c>
      <c r="H12" s="93" t="s">
        <v>0</v>
      </c>
      <c r="I12" s="93" t="s">
        <v>1</v>
      </c>
      <c r="J12" s="93" t="s">
        <v>2</v>
      </c>
      <c r="K12" s="93"/>
      <c r="L12" s="93" t="s">
        <v>0</v>
      </c>
      <c r="M12" s="93" t="s">
        <v>1</v>
      </c>
      <c r="N12" s="93" t="s">
        <v>2</v>
      </c>
      <c r="O12" s="93"/>
      <c r="P12" s="93" t="s">
        <v>349</v>
      </c>
      <c r="Q12" s="93"/>
    </row>
    <row r="13" spans="1:17" ht="85.65" customHeight="1" x14ac:dyDescent="0.3">
      <c r="A13" s="97"/>
      <c r="B13" s="92"/>
      <c r="C13" s="97"/>
      <c r="D13" s="92"/>
      <c r="E13" s="17"/>
      <c r="F13" s="96"/>
      <c r="G13" s="92"/>
      <c r="H13" s="93"/>
      <c r="I13" s="93"/>
      <c r="J13" s="18" t="s">
        <v>3</v>
      </c>
      <c r="K13" s="18" t="s">
        <v>4</v>
      </c>
      <c r="L13" s="93"/>
      <c r="M13" s="93"/>
      <c r="N13" s="18" t="s">
        <v>3</v>
      </c>
      <c r="O13" s="18" t="s">
        <v>4</v>
      </c>
      <c r="P13" s="18" t="s">
        <v>350</v>
      </c>
      <c r="Q13" s="18" t="s">
        <v>351</v>
      </c>
    </row>
    <row r="14" spans="1:17" s="4" customFormat="1" x14ac:dyDescent="0.25">
      <c r="A14" s="19">
        <v>1</v>
      </c>
      <c r="B14" s="20">
        <v>2</v>
      </c>
      <c r="C14" s="19">
        <v>3</v>
      </c>
      <c r="D14" s="20">
        <v>4</v>
      </c>
      <c r="E14" s="20"/>
      <c r="F14" s="20">
        <v>5</v>
      </c>
      <c r="G14" s="20">
        <v>6</v>
      </c>
      <c r="H14" s="18">
        <v>7</v>
      </c>
      <c r="I14" s="18">
        <v>8</v>
      </c>
      <c r="J14" s="18">
        <v>9</v>
      </c>
      <c r="K14" s="18">
        <v>10</v>
      </c>
      <c r="L14" s="21">
        <v>11</v>
      </c>
      <c r="M14" s="21">
        <v>12</v>
      </c>
      <c r="N14" s="21">
        <v>13</v>
      </c>
      <c r="O14" s="21">
        <v>14</v>
      </c>
      <c r="P14" s="22">
        <v>15</v>
      </c>
      <c r="Q14" s="21">
        <v>16</v>
      </c>
    </row>
    <row r="15" spans="1:17" s="29" customFormat="1" ht="13.8" x14ac:dyDescent="0.25">
      <c r="A15" s="23" t="s">
        <v>10</v>
      </c>
      <c r="B15" s="24"/>
      <c r="C15" s="24"/>
      <c r="D15" s="98" t="s">
        <v>145</v>
      </c>
      <c r="E15" s="98"/>
      <c r="F15" s="98"/>
      <c r="G15" s="25"/>
      <c r="H15" s="26">
        <f t="shared" ref="H15:O15" si="0">H16</f>
        <v>117413385.22</v>
      </c>
      <c r="I15" s="26">
        <f t="shared" si="0"/>
        <v>93056180</v>
      </c>
      <c r="J15" s="26">
        <f t="shared" si="0"/>
        <v>24357205.219999999</v>
      </c>
      <c r="K15" s="26">
        <f t="shared" si="0"/>
        <v>21383050</v>
      </c>
      <c r="L15" s="26">
        <f t="shared" si="0"/>
        <v>64576970.479999997</v>
      </c>
      <c r="M15" s="26">
        <f t="shared" si="0"/>
        <v>59781085.329999998</v>
      </c>
      <c r="N15" s="26">
        <f t="shared" si="0"/>
        <v>4795885.1499999994</v>
      </c>
      <c r="O15" s="26">
        <f t="shared" si="0"/>
        <v>4795885.1499999994</v>
      </c>
      <c r="P15" s="27">
        <f>L15/H15</f>
        <v>0.54999666655552715</v>
      </c>
      <c r="Q15" s="28">
        <f>L15-H15</f>
        <v>-52836414.740000002</v>
      </c>
    </row>
    <row r="16" spans="1:17" s="29" customFormat="1" ht="13.8" x14ac:dyDescent="0.25">
      <c r="A16" s="23" t="s">
        <v>11</v>
      </c>
      <c r="B16" s="23"/>
      <c r="C16" s="23"/>
      <c r="D16" s="98" t="s">
        <v>145</v>
      </c>
      <c r="E16" s="98"/>
      <c r="F16" s="98"/>
      <c r="G16" s="25"/>
      <c r="H16" s="26">
        <f t="shared" ref="H16:O16" si="1">SUM(H17:H37)</f>
        <v>117413385.22</v>
      </c>
      <c r="I16" s="26">
        <f t="shared" si="1"/>
        <v>93056180</v>
      </c>
      <c r="J16" s="26">
        <f t="shared" si="1"/>
        <v>24357205.219999999</v>
      </c>
      <c r="K16" s="26">
        <f t="shared" si="1"/>
        <v>21383050</v>
      </c>
      <c r="L16" s="26">
        <f t="shared" si="1"/>
        <v>64576970.479999997</v>
      </c>
      <c r="M16" s="26">
        <f t="shared" si="1"/>
        <v>59781085.329999998</v>
      </c>
      <c r="N16" s="26">
        <f t="shared" si="1"/>
        <v>4795885.1499999994</v>
      </c>
      <c r="O16" s="26">
        <f t="shared" si="1"/>
        <v>4795885.1499999994</v>
      </c>
      <c r="P16" s="27">
        <f t="shared" ref="P16:P84" si="2">L16/H16</f>
        <v>0.54999666655552715</v>
      </c>
      <c r="Q16" s="28">
        <f t="shared" ref="Q16:Q84" si="3">L16-H16</f>
        <v>-52836414.740000002</v>
      </c>
    </row>
    <row r="17" spans="1:17" s="36" customFormat="1" ht="41.4" x14ac:dyDescent="0.25">
      <c r="A17" s="30" t="s">
        <v>62</v>
      </c>
      <c r="B17" s="30" t="s">
        <v>63</v>
      </c>
      <c r="C17" s="30" t="s">
        <v>64</v>
      </c>
      <c r="D17" s="31" t="s">
        <v>65</v>
      </c>
      <c r="E17" s="31">
        <v>15</v>
      </c>
      <c r="F17" s="32" t="s">
        <v>219</v>
      </c>
      <c r="G17" s="33" t="s">
        <v>170</v>
      </c>
      <c r="H17" s="34">
        <f>I17+J17</f>
        <v>51366350</v>
      </c>
      <c r="I17" s="34">
        <v>40077940</v>
      </c>
      <c r="J17" s="34">
        <v>11288410</v>
      </c>
      <c r="K17" s="34">
        <f>J17</f>
        <v>11288410</v>
      </c>
      <c r="L17" s="34">
        <f t="shared" ref="L17:L84" si="4">M17+N17</f>
        <v>22078253.760000002</v>
      </c>
      <c r="M17" s="34">
        <v>20999138.260000002</v>
      </c>
      <c r="N17" s="34">
        <v>1079115.5</v>
      </c>
      <c r="O17" s="34">
        <f>N17</f>
        <v>1079115.5</v>
      </c>
      <c r="P17" s="35">
        <f t="shared" si="2"/>
        <v>0.42981940044406508</v>
      </c>
      <c r="Q17" s="26">
        <f t="shared" si="3"/>
        <v>-29288096.239999998</v>
      </c>
    </row>
    <row r="18" spans="1:17" s="36" customFormat="1" ht="41.4" x14ac:dyDescent="0.25">
      <c r="A18" s="30" t="s">
        <v>66</v>
      </c>
      <c r="B18" s="30" t="s">
        <v>67</v>
      </c>
      <c r="C18" s="30" t="s">
        <v>68</v>
      </c>
      <c r="D18" s="31" t="s">
        <v>69</v>
      </c>
      <c r="E18" s="31">
        <v>15</v>
      </c>
      <c r="F18" s="32" t="s">
        <v>219</v>
      </c>
      <c r="G18" s="33" t="s">
        <v>170</v>
      </c>
      <c r="H18" s="34">
        <f t="shared" ref="H18:H35" si="5">I18+J18</f>
        <v>9663900</v>
      </c>
      <c r="I18" s="34">
        <v>8701800</v>
      </c>
      <c r="J18" s="34">
        <v>962100</v>
      </c>
      <c r="K18" s="34">
        <v>962100</v>
      </c>
      <c r="L18" s="34">
        <f t="shared" si="4"/>
        <v>6961367.8499999996</v>
      </c>
      <c r="M18" s="34">
        <v>5999267.8499999996</v>
      </c>
      <c r="N18" s="34">
        <v>962100</v>
      </c>
      <c r="O18" s="34">
        <f>N18</f>
        <v>962100</v>
      </c>
      <c r="P18" s="35">
        <f t="shared" si="2"/>
        <v>0.72034767019526269</v>
      </c>
      <c r="Q18" s="26">
        <f t="shared" si="3"/>
        <v>-2702532.1500000004</v>
      </c>
    </row>
    <row r="19" spans="1:17" s="36" customFormat="1" ht="41.4" x14ac:dyDescent="0.25">
      <c r="A19" s="30" t="s">
        <v>360</v>
      </c>
      <c r="B19" s="33">
        <v>2111</v>
      </c>
      <c r="C19" s="33" t="s">
        <v>151</v>
      </c>
      <c r="D19" s="37" t="s">
        <v>152</v>
      </c>
      <c r="E19" s="37">
        <v>15</v>
      </c>
      <c r="F19" s="32" t="s">
        <v>219</v>
      </c>
      <c r="G19" s="33" t="s">
        <v>170</v>
      </c>
      <c r="H19" s="34">
        <f t="shared" si="5"/>
        <v>5574380</v>
      </c>
      <c r="I19" s="34">
        <v>4465980</v>
      </c>
      <c r="J19" s="34">
        <v>1108400</v>
      </c>
      <c r="K19" s="34">
        <v>1108400</v>
      </c>
      <c r="L19" s="34">
        <f t="shared" si="4"/>
        <v>2552963.6799999997</v>
      </c>
      <c r="M19" s="34">
        <v>2207633.7799999998</v>
      </c>
      <c r="N19" s="34">
        <v>345329.9</v>
      </c>
      <c r="O19" s="34">
        <f>N19</f>
        <v>345329.9</v>
      </c>
      <c r="P19" s="35">
        <f t="shared" si="2"/>
        <v>0.45798163741976683</v>
      </c>
      <c r="Q19" s="26">
        <f t="shared" si="3"/>
        <v>-3021416.3200000003</v>
      </c>
    </row>
    <row r="20" spans="1:17" s="36" customFormat="1" ht="41.4" x14ac:dyDescent="0.25">
      <c r="A20" s="30" t="s">
        <v>70</v>
      </c>
      <c r="B20" s="30" t="s">
        <v>71</v>
      </c>
      <c r="C20" s="30" t="s">
        <v>72</v>
      </c>
      <c r="D20" s="38" t="s">
        <v>73</v>
      </c>
      <c r="E20" s="38">
        <v>15</v>
      </c>
      <c r="F20" s="32" t="s">
        <v>219</v>
      </c>
      <c r="G20" s="33" t="s">
        <v>170</v>
      </c>
      <c r="H20" s="34">
        <f t="shared" si="5"/>
        <v>12291520</v>
      </c>
      <c r="I20" s="34">
        <f>718300+2310600+9762620-500000</f>
        <v>12291520</v>
      </c>
      <c r="J20" s="34"/>
      <c r="K20" s="34"/>
      <c r="L20" s="34">
        <f t="shared" si="4"/>
        <v>9212715.5800000001</v>
      </c>
      <c r="M20" s="34">
        <f>641451.12+1554213.14+7495051.32-478000</f>
        <v>9212715.5800000001</v>
      </c>
      <c r="N20" s="34"/>
      <c r="O20" s="34"/>
      <c r="P20" s="35">
        <f t="shared" si="2"/>
        <v>0.74951800753690345</v>
      </c>
      <c r="Q20" s="26">
        <f t="shared" si="3"/>
        <v>-3078804.42</v>
      </c>
    </row>
    <row r="21" spans="1:17" s="36" customFormat="1" ht="41.4" x14ac:dyDescent="0.25">
      <c r="A21" s="30" t="s">
        <v>70</v>
      </c>
      <c r="B21" s="30" t="s">
        <v>71</v>
      </c>
      <c r="C21" s="30" t="s">
        <v>72</v>
      </c>
      <c r="D21" s="38" t="s">
        <v>73</v>
      </c>
      <c r="E21" s="39">
        <v>69</v>
      </c>
      <c r="F21" s="40" t="s">
        <v>254</v>
      </c>
      <c r="G21" s="33" t="s">
        <v>266</v>
      </c>
      <c r="H21" s="34">
        <f t="shared" si="5"/>
        <v>500000</v>
      </c>
      <c r="I21" s="34">
        <f>500000</f>
        <v>500000</v>
      </c>
      <c r="J21" s="34"/>
      <c r="K21" s="34"/>
      <c r="L21" s="34">
        <f t="shared" si="4"/>
        <v>478000</v>
      </c>
      <c r="M21" s="34">
        <v>478000</v>
      </c>
      <c r="N21" s="34"/>
      <c r="O21" s="34"/>
      <c r="P21" s="35">
        <f t="shared" si="2"/>
        <v>0.95599999999999996</v>
      </c>
      <c r="Q21" s="26">
        <f t="shared" si="3"/>
        <v>-22000</v>
      </c>
    </row>
    <row r="22" spans="1:17" s="36" customFormat="1" ht="41.4" x14ac:dyDescent="0.25">
      <c r="A22" s="30" t="s">
        <v>354</v>
      </c>
      <c r="B22" s="30" t="s">
        <v>355</v>
      </c>
      <c r="C22" s="41" t="s">
        <v>72</v>
      </c>
      <c r="D22" s="37" t="s">
        <v>356</v>
      </c>
      <c r="E22" s="39">
        <v>15</v>
      </c>
      <c r="F22" s="32" t="s">
        <v>219</v>
      </c>
      <c r="G22" s="33" t="s">
        <v>170</v>
      </c>
      <c r="H22" s="34">
        <f t="shared" ref="H22" si="6">I22+J22</f>
        <v>197300</v>
      </c>
      <c r="I22" s="34"/>
      <c r="J22" s="34">
        <v>197300</v>
      </c>
      <c r="K22" s="34">
        <v>197300</v>
      </c>
      <c r="L22" s="34">
        <f t="shared" ref="L22" si="7">M22+N22</f>
        <v>0</v>
      </c>
      <c r="M22" s="34"/>
      <c r="N22" s="34"/>
      <c r="O22" s="34"/>
      <c r="P22" s="35">
        <f t="shared" si="2"/>
        <v>0</v>
      </c>
      <c r="Q22" s="26">
        <f t="shared" ref="Q22" si="8">L22-H22</f>
        <v>-197300</v>
      </c>
    </row>
    <row r="23" spans="1:17" s="36" customFormat="1" ht="41.4" x14ac:dyDescent="0.25">
      <c r="A23" s="42" t="s">
        <v>77</v>
      </c>
      <c r="B23" s="30" t="s">
        <v>78</v>
      </c>
      <c r="C23" s="30" t="s">
        <v>79</v>
      </c>
      <c r="D23" s="43" t="s">
        <v>80</v>
      </c>
      <c r="E23" s="44">
        <v>14</v>
      </c>
      <c r="F23" s="40" t="s">
        <v>76</v>
      </c>
      <c r="G23" s="33" t="s">
        <v>172</v>
      </c>
      <c r="H23" s="45">
        <f t="shared" si="5"/>
        <v>3463600</v>
      </c>
      <c r="I23" s="34">
        <v>3463600</v>
      </c>
      <c r="J23" s="34"/>
      <c r="K23" s="34"/>
      <c r="L23" s="34">
        <f t="shared" si="4"/>
        <v>2703015</v>
      </c>
      <c r="M23" s="34">
        <v>2703015</v>
      </c>
      <c r="N23" s="34"/>
      <c r="O23" s="34"/>
      <c r="P23" s="35">
        <f t="shared" si="2"/>
        <v>0.78040622473726762</v>
      </c>
      <c r="Q23" s="26">
        <f t="shared" si="3"/>
        <v>-760585</v>
      </c>
    </row>
    <row r="24" spans="1:17" s="36" customFormat="1" ht="55.2" x14ac:dyDescent="0.25">
      <c r="A24" s="42" t="s">
        <v>77</v>
      </c>
      <c r="B24" s="30" t="s">
        <v>78</v>
      </c>
      <c r="C24" s="30" t="s">
        <v>79</v>
      </c>
      <c r="D24" s="43" t="s">
        <v>80</v>
      </c>
      <c r="E24" s="46">
        <v>13</v>
      </c>
      <c r="F24" s="32" t="s">
        <v>93</v>
      </c>
      <c r="G24" s="33" t="s">
        <v>94</v>
      </c>
      <c r="H24" s="45">
        <f t="shared" ref="H24" si="9">I24+J24</f>
        <v>36400</v>
      </c>
      <c r="I24" s="34">
        <v>36400</v>
      </c>
      <c r="J24" s="34"/>
      <c r="K24" s="34"/>
      <c r="L24" s="34">
        <f>M24+N24</f>
        <v>36400</v>
      </c>
      <c r="M24" s="34">
        <v>36400</v>
      </c>
      <c r="N24" s="34"/>
      <c r="O24" s="34"/>
      <c r="P24" s="35">
        <f t="shared" si="2"/>
        <v>1</v>
      </c>
      <c r="Q24" s="26">
        <f t="shared" si="3"/>
        <v>0</v>
      </c>
    </row>
    <row r="25" spans="1:17" s="36" customFormat="1" ht="41.4" x14ac:dyDescent="0.25">
      <c r="A25" s="30" t="s">
        <v>250</v>
      </c>
      <c r="B25" s="30" t="s">
        <v>53</v>
      </c>
      <c r="C25" s="30" t="s">
        <v>20</v>
      </c>
      <c r="D25" s="43" t="s">
        <v>30</v>
      </c>
      <c r="E25" s="43">
        <v>68</v>
      </c>
      <c r="F25" s="32" t="s">
        <v>256</v>
      </c>
      <c r="G25" s="33" t="s">
        <v>307</v>
      </c>
      <c r="H25" s="45">
        <f>I25+J25</f>
        <v>15139700</v>
      </c>
      <c r="I25" s="34">
        <f>9730600+3774900+1634200</f>
        <v>15139700</v>
      </c>
      <c r="J25" s="34"/>
      <c r="K25" s="34"/>
      <c r="L25" s="34">
        <f t="shared" si="4"/>
        <v>13046439.320000002</v>
      </c>
      <c r="M25" s="34">
        <f>8398674.47+3400075.79+1247689.06</f>
        <v>13046439.320000002</v>
      </c>
      <c r="N25" s="34"/>
      <c r="O25" s="34"/>
      <c r="P25" s="35">
        <f t="shared" si="2"/>
        <v>0.86173697761514445</v>
      </c>
      <c r="Q25" s="26">
        <f t="shared" si="3"/>
        <v>-2093260.6799999978</v>
      </c>
    </row>
    <row r="26" spans="1:17" s="36" customFormat="1" ht="41.4" x14ac:dyDescent="0.25">
      <c r="A26" s="41" t="s">
        <v>357</v>
      </c>
      <c r="B26" s="41" t="s">
        <v>358</v>
      </c>
      <c r="C26" s="41" t="s">
        <v>333</v>
      </c>
      <c r="D26" s="37" t="s">
        <v>359</v>
      </c>
      <c r="E26" s="43">
        <v>15</v>
      </c>
      <c r="F26" s="32" t="s">
        <v>219</v>
      </c>
      <c r="G26" s="33" t="s">
        <v>170</v>
      </c>
      <c r="H26" s="45">
        <f>I26+J26</f>
        <v>90000</v>
      </c>
      <c r="I26" s="34"/>
      <c r="J26" s="34">
        <v>90000</v>
      </c>
      <c r="K26" s="34">
        <v>90000</v>
      </c>
      <c r="L26" s="34">
        <f t="shared" ref="L26" si="10">M26+N26</f>
        <v>89999.98</v>
      </c>
      <c r="M26" s="34"/>
      <c r="N26" s="34">
        <v>89999.98</v>
      </c>
      <c r="O26" s="34">
        <f>N26</f>
        <v>89999.98</v>
      </c>
      <c r="P26" s="35">
        <f t="shared" si="2"/>
        <v>0.99999977777777771</v>
      </c>
      <c r="Q26" s="26">
        <f t="shared" ref="Q26" si="11">L26-H26</f>
        <v>-2.0000000004074536E-2</v>
      </c>
    </row>
    <row r="27" spans="1:17" s="36" customFormat="1" ht="41.4" x14ac:dyDescent="0.25">
      <c r="A27" s="41" t="s">
        <v>331</v>
      </c>
      <c r="B27" s="41" t="s">
        <v>332</v>
      </c>
      <c r="C27" s="41" t="s">
        <v>333</v>
      </c>
      <c r="D27" s="37" t="s">
        <v>334</v>
      </c>
      <c r="E27" s="37">
        <v>73</v>
      </c>
      <c r="F27" s="32" t="s">
        <v>327</v>
      </c>
      <c r="G27" s="33" t="s">
        <v>330</v>
      </c>
      <c r="H27" s="45">
        <f t="shared" ref="H27:H28" si="12">I27+J27</f>
        <v>283400</v>
      </c>
      <c r="I27" s="34"/>
      <c r="J27" s="34">
        <f>340000-56600</f>
        <v>283400</v>
      </c>
      <c r="K27" s="34">
        <f>340000-56600</f>
        <v>283400</v>
      </c>
      <c r="L27" s="34">
        <f t="shared" si="4"/>
        <v>283333.33</v>
      </c>
      <c r="M27" s="34"/>
      <c r="N27" s="34">
        <v>283333.33</v>
      </c>
      <c r="O27" s="34">
        <f>N27</f>
        <v>283333.33</v>
      </c>
      <c r="P27" s="35">
        <f t="shared" si="2"/>
        <v>0.99976474947071281</v>
      </c>
      <c r="Q27" s="26">
        <f t="shared" si="3"/>
        <v>-66.669999999983702</v>
      </c>
    </row>
    <row r="28" spans="1:17" s="36" customFormat="1" ht="41.4" x14ac:dyDescent="0.25">
      <c r="A28" s="41" t="s">
        <v>335</v>
      </c>
      <c r="B28" s="41" t="s">
        <v>336</v>
      </c>
      <c r="C28" s="41" t="s">
        <v>333</v>
      </c>
      <c r="D28" s="37" t="s">
        <v>337</v>
      </c>
      <c r="E28" s="37">
        <v>73</v>
      </c>
      <c r="F28" s="32" t="s">
        <v>327</v>
      </c>
      <c r="G28" s="33" t="s">
        <v>330</v>
      </c>
      <c r="H28" s="45">
        <f t="shared" si="12"/>
        <v>4000000</v>
      </c>
      <c r="I28" s="34">
        <v>80000</v>
      </c>
      <c r="J28" s="34">
        <v>3920000</v>
      </c>
      <c r="K28" s="34">
        <f>J28</f>
        <v>3920000</v>
      </c>
      <c r="L28" s="34">
        <f t="shared" si="4"/>
        <v>0</v>
      </c>
      <c r="M28" s="34"/>
      <c r="N28" s="34"/>
      <c r="O28" s="34"/>
      <c r="P28" s="35">
        <f t="shared" si="2"/>
        <v>0</v>
      </c>
      <c r="Q28" s="26">
        <f t="shared" si="3"/>
        <v>-4000000</v>
      </c>
    </row>
    <row r="29" spans="1:17" s="36" customFormat="1" ht="41.4" x14ac:dyDescent="0.25">
      <c r="A29" s="42" t="s">
        <v>245</v>
      </c>
      <c r="B29" s="30" t="s">
        <v>229</v>
      </c>
      <c r="C29" s="30" t="s">
        <v>230</v>
      </c>
      <c r="D29" s="31" t="s">
        <v>259</v>
      </c>
      <c r="E29" s="31">
        <v>61</v>
      </c>
      <c r="F29" s="32" t="s">
        <v>258</v>
      </c>
      <c r="G29" s="33" t="s">
        <v>308</v>
      </c>
      <c r="H29" s="45">
        <f>I29+J29</f>
        <v>2626940</v>
      </c>
      <c r="I29" s="34">
        <f>1376600+10400+10400+18800+114140+142000</f>
        <v>1672340</v>
      </c>
      <c r="J29" s="34">
        <f>534000+391600+29000</f>
        <v>954600</v>
      </c>
      <c r="K29" s="34">
        <f>J29</f>
        <v>954600</v>
      </c>
      <c r="L29" s="34">
        <f t="shared" si="4"/>
        <v>1694870.06</v>
      </c>
      <c r="M29" s="34">
        <f>871448.06+5361+5361+11886+95814+142000</f>
        <v>1131870.06</v>
      </c>
      <c r="N29" s="34">
        <f>534000+29000</f>
        <v>563000</v>
      </c>
      <c r="O29" s="34">
        <f>N29</f>
        <v>563000</v>
      </c>
      <c r="P29" s="35">
        <f t="shared" si="2"/>
        <v>0.645187960136128</v>
      </c>
      <c r="Q29" s="26">
        <f t="shared" si="3"/>
        <v>-932069.94</v>
      </c>
    </row>
    <row r="30" spans="1:17" s="36" customFormat="1" ht="41.4" x14ac:dyDescent="0.25">
      <c r="A30" s="41" t="s">
        <v>261</v>
      </c>
      <c r="B30" s="41" t="s">
        <v>262</v>
      </c>
      <c r="C30" s="41" t="s">
        <v>263</v>
      </c>
      <c r="D30" s="37" t="s">
        <v>264</v>
      </c>
      <c r="E30" s="37">
        <v>15</v>
      </c>
      <c r="F30" s="32" t="s">
        <v>219</v>
      </c>
      <c r="G30" s="33" t="s">
        <v>170</v>
      </c>
      <c r="H30" s="45">
        <f t="shared" si="5"/>
        <v>1500000</v>
      </c>
      <c r="I30" s="34"/>
      <c r="J30" s="34">
        <f>1000000+500000</f>
        <v>1500000</v>
      </c>
      <c r="K30" s="34">
        <f>1000000+500000</f>
        <v>1500000</v>
      </c>
      <c r="L30" s="34">
        <f t="shared" si="4"/>
        <v>595613.84</v>
      </c>
      <c r="M30" s="34"/>
      <c r="N30" s="34">
        <v>595613.84</v>
      </c>
      <c r="O30" s="34">
        <f>N30</f>
        <v>595613.84</v>
      </c>
      <c r="P30" s="35">
        <f t="shared" si="2"/>
        <v>0.39707589333333332</v>
      </c>
      <c r="Q30" s="26">
        <f t="shared" si="3"/>
        <v>-904386.16</v>
      </c>
    </row>
    <row r="31" spans="1:17" s="36" customFormat="1" ht="82.8" x14ac:dyDescent="0.25">
      <c r="A31" s="41" t="s">
        <v>362</v>
      </c>
      <c r="B31" s="41" t="s">
        <v>290</v>
      </c>
      <c r="C31" s="41" t="s">
        <v>21</v>
      </c>
      <c r="D31" s="37" t="s">
        <v>292</v>
      </c>
      <c r="E31" s="47">
        <v>15</v>
      </c>
      <c r="F31" s="32" t="s">
        <v>219</v>
      </c>
      <c r="G31" s="33" t="s">
        <v>170</v>
      </c>
      <c r="H31" s="45">
        <f t="shared" ref="H31" si="13">I31+J31</f>
        <v>2074155.22</v>
      </c>
      <c r="I31" s="34"/>
      <c r="J31" s="34">
        <v>2074155.22</v>
      </c>
      <c r="K31" s="34"/>
      <c r="L31" s="34">
        <f t="shared" ref="L31" si="14">M31+N31</f>
        <v>0</v>
      </c>
      <c r="M31" s="34"/>
      <c r="N31" s="34"/>
      <c r="O31" s="34">
        <f>N31</f>
        <v>0</v>
      </c>
      <c r="P31" s="35">
        <f t="shared" ref="P31" si="15">L31/H31</f>
        <v>0</v>
      </c>
      <c r="Q31" s="26">
        <f t="shared" ref="Q31" si="16">L31-H31</f>
        <v>-2074155.22</v>
      </c>
    </row>
    <row r="32" spans="1:17" s="36" customFormat="1" ht="41.4" x14ac:dyDescent="0.25">
      <c r="A32" s="42" t="s">
        <v>248</v>
      </c>
      <c r="B32" s="30" t="s">
        <v>249</v>
      </c>
      <c r="C32" s="30" t="s">
        <v>162</v>
      </c>
      <c r="D32" s="37" t="s">
        <v>163</v>
      </c>
      <c r="E32" s="37">
        <v>17</v>
      </c>
      <c r="F32" s="32" t="s">
        <v>153</v>
      </c>
      <c r="G32" s="33" t="s">
        <v>173</v>
      </c>
      <c r="H32" s="45">
        <f t="shared" si="5"/>
        <v>85000</v>
      </c>
      <c r="I32" s="34">
        <f>42000+13000+30000</f>
        <v>85000</v>
      </c>
      <c r="J32" s="34"/>
      <c r="K32" s="34"/>
      <c r="L32" s="34">
        <f t="shared" si="4"/>
        <v>52963.479999999996</v>
      </c>
      <c r="M32" s="34">
        <f>40387.43+12576.05</f>
        <v>52963.479999999996</v>
      </c>
      <c r="N32" s="34"/>
      <c r="O32" s="34"/>
      <c r="P32" s="35">
        <f t="shared" si="2"/>
        <v>0.62309976470588235</v>
      </c>
      <c r="Q32" s="26">
        <f t="shared" si="3"/>
        <v>-32036.520000000004</v>
      </c>
    </row>
    <row r="33" spans="1:17" s="36" customFormat="1" ht="110.4" x14ac:dyDescent="0.25">
      <c r="A33" s="41" t="s">
        <v>193</v>
      </c>
      <c r="B33" s="33">
        <v>8220</v>
      </c>
      <c r="C33" s="41" t="s">
        <v>83</v>
      </c>
      <c r="D33" s="37" t="s">
        <v>194</v>
      </c>
      <c r="E33" s="48">
        <v>18</v>
      </c>
      <c r="F33" s="49" t="s">
        <v>195</v>
      </c>
      <c r="G33" s="33" t="s">
        <v>196</v>
      </c>
      <c r="H33" s="34">
        <f t="shared" si="5"/>
        <v>2083400</v>
      </c>
      <c r="I33" s="34">
        <v>2083400</v>
      </c>
      <c r="J33" s="34"/>
      <c r="K33" s="34"/>
      <c r="L33" s="34">
        <f t="shared" si="4"/>
        <v>207360</v>
      </c>
      <c r="M33" s="34">
        <v>207360</v>
      </c>
      <c r="N33" s="34"/>
      <c r="O33" s="34"/>
      <c r="P33" s="35">
        <f t="shared" si="2"/>
        <v>9.9529615052318332E-2</v>
      </c>
      <c r="Q33" s="26">
        <f t="shared" si="3"/>
        <v>-1876040</v>
      </c>
    </row>
    <row r="34" spans="1:17" s="36" customFormat="1" ht="41.4" x14ac:dyDescent="0.25">
      <c r="A34" s="30" t="s">
        <v>81</v>
      </c>
      <c r="B34" s="30" t="s">
        <v>82</v>
      </c>
      <c r="C34" s="30" t="s">
        <v>83</v>
      </c>
      <c r="D34" s="43" t="s">
        <v>84</v>
      </c>
      <c r="E34" s="50">
        <v>36</v>
      </c>
      <c r="F34" s="49" t="s">
        <v>187</v>
      </c>
      <c r="G34" s="33" t="s">
        <v>199</v>
      </c>
      <c r="H34" s="34">
        <f>I34+J34</f>
        <v>3292140</v>
      </c>
      <c r="I34" s="34">
        <v>2270000</v>
      </c>
      <c r="J34" s="34">
        <v>1022140</v>
      </c>
      <c r="K34" s="34">
        <f>J34</f>
        <v>1022140</v>
      </c>
      <c r="L34" s="34">
        <f t="shared" si="4"/>
        <v>2346231</v>
      </c>
      <c r="M34" s="34">
        <v>1525494</v>
      </c>
      <c r="N34" s="34">
        <v>820737</v>
      </c>
      <c r="O34" s="34">
        <f>N34</f>
        <v>820737</v>
      </c>
      <c r="P34" s="35">
        <f t="shared" si="2"/>
        <v>0.71267655689004716</v>
      </c>
      <c r="Q34" s="26">
        <f t="shared" si="3"/>
        <v>-945909</v>
      </c>
    </row>
    <row r="35" spans="1:17" s="36" customFormat="1" ht="55.2" x14ac:dyDescent="0.25">
      <c r="A35" s="30" t="s">
        <v>81</v>
      </c>
      <c r="B35" s="30" t="s">
        <v>82</v>
      </c>
      <c r="C35" s="30" t="s">
        <v>83</v>
      </c>
      <c r="D35" s="43" t="s">
        <v>84</v>
      </c>
      <c r="E35" s="50">
        <v>66</v>
      </c>
      <c r="F35" s="49" t="s">
        <v>257</v>
      </c>
      <c r="G35" s="33" t="s">
        <v>309</v>
      </c>
      <c r="H35" s="34">
        <f t="shared" si="5"/>
        <v>1558200</v>
      </c>
      <c r="I35" s="34">
        <v>1558200</v>
      </c>
      <c r="J35" s="34"/>
      <c r="K35" s="34"/>
      <c r="L35" s="34">
        <f t="shared" si="4"/>
        <v>1550521.6</v>
      </c>
      <c r="M35" s="34">
        <v>1550521.6</v>
      </c>
      <c r="N35" s="34"/>
      <c r="O35" s="34"/>
      <c r="P35" s="35">
        <f t="shared" si="2"/>
        <v>0.99507226286741113</v>
      </c>
      <c r="Q35" s="26">
        <f t="shared" si="3"/>
        <v>-7678.3999999999069</v>
      </c>
    </row>
    <row r="36" spans="1:17" s="36" customFormat="1" ht="55.2" x14ac:dyDescent="0.25">
      <c r="A36" s="30" t="s">
        <v>272</v>
      </c>
      <c r="B36" s="30" t="s">
        <v>155</v>
      </c>
      <c r="C36" s="41" t="s">
        <v>83</v>
      </c>
      <c r="D36" s="37" t="s">
        <v>156</v>
      </c>
      <c r="E36" s="48">
        <v>66</v>
      </c>
      <c r="F36" s="49" t="s">
        <v>257</v>
      </c>
      <c r="G36" s="33" t="s">
        <v>309</v>
      </c>
      <c r="H36" s="34">
        <f>I36+J36</f>
        <v>687000</v>
      </c>
      <c r="I36" s="34">
        <v>630300</v>
      </c>
      <c r="J36" s="34">
        <f>200500-22800-121000</f>
        <v>56700</v>
      </c>
      <c r="K36" s="34">
        <f>200500-22800-121000</f>
        <v>56700</v>
      </c>
      <c r="L36" s="34">
        <f t="shared" si="4"/>
        <v>686922</v>
      </c>
      <c r="M36" s="34">
        <v>630266.4</v>
      </c>
      <c r="N36" s="34">
        <v>56655.6</v>
      </c>
      <c r="O36" s="34">
        <v>56655.6</v>
      </c>
      <c r="P36" s="35">
        <f t="shared" si="2"/>
        <v>0.99988646288209604</v>
      </c>
      <c r="Q36" s="26">
        <f t="shared" si="3"/>
        <v>-78</v>
      </c>
    </row>
    <row r="37" spans="1:17" s="36" customFormat="1" ht="55.2" x14ac:dyDescent="0.25">
      <c r="A37" s="30" t="s">
        <v>85</v>
      </c>
      <c r="B37" s="30" t="s">
        <v>86</v>
      </c>
      <c r="C37" s="30" t="s">
        <v>87</v>
      </c>
      <c r="D37" s="43" t="s">
        <v>88</v>
      </c>
      <c r="E37" s="50">
        <v>56</v>
      </c>
      <c r="F37" s="49" t="s">
        <v>214</v>
      </c>
      <c r="G37" s="33" t="s">
        <v>310</v>
      </c>
      <c r="H37" s="34">
        <f>I37+J37</f>
        <v>900000</v>
      </c>
      <c r="I37" s="34"/>
      <c r="J37" s="34">
        <v>900000</v>
      </c>
      <c r="K37" s="34"/>
      <c r="L37" s="34">
        <f t="shared" si="4"/>
        <v>0</v>
      </c>
      <c r="M37" s="34"/>
      <c r="N37" s="34"/>
      <c r="O37" s="34"/>
      <c r="P37" s="35">
        <f t="shared" si="2"/>
        <v>0</v>
      </c>
      <c r="Q37" s="26">
        <f t="shared" si="3"/>
        <v>-900000</v>
      </c>
    </row>
    <row r="38" spans="1:17" s="29" customFormat="1" ht="13.8" x14ac:dyDescent="0.25">
      <c r="A38" s="51" t="s">
        <v>5</v>
      </c>
      <c r="B38" s="51"/>
      <c r="C38" s="51"/>
      <c r="D38" s="102" t="s">
        <v>200</v>
      </c>
      <c r="E38" s="103"/>
      <c r="F38" s="104"/>
      <c r="G38" s="25"/>
      <c r="H38" s="26">
        <f t="shared" ref="H38:O38" si="17">H39</f>
        <v>80259469.319999993</v>
      </c>
      <c r="I38" s="26">
        <f t="shared" si="17"/>
        <v>41914592.32</v>
      </c>
      <c r="J38" s="26">
        <f t="shared" si="17"/>
        <v>38344877</v>
      </c>
      <c r="K38" s="26">
        <f t="shared" si="17"/>
        <v>23722577</v>
      </c>
      <c r="L38" s="26">
        <f t="shared" si="17"/>
        <v>35202008.959999993</v>
      </c>
      <c r="M38" s="26">
        <f t="shared" si="17"/>
        <v>19210309.339999996</v>
      </c>
      <c r="N38" s="26">
        <f t="shared" si="17"/>
        <v>15991699.619999999</v>
      </c>
      <c r="O38" s="26">
        <f t="shared" si="17"/>
        <v>9081818.0899999999</v>
      </c>
      <c r="P38" s="52">
        <f t="shared" si="2"/>
        <v>0.43860256313989787</v>
      </c>
      <c r="Q38" s="26">
        <f t="shared" si="3"/>
        <v>-45057460.359999999</v>
      </c>
    </row>
    <row r="39" spans="1:17" s="29" customFormat="1" ht="13.8" x14ac:dyDescent="0.25">
      <c r="A39" s="51" t="s">
        <v>6</v>
      </c>
      <c r="B39" s="51"/>
      <c r="C39" s="51"/>
      <c r="D39" s="102" t="s">
        <v>200</v>
      </c>
      <c r="E39" s="103"/>
      <c r="F39" s="104"/>
      <c r="G39" s="25"/>
      <c r="H39" s="26">
        <f t="shared" ref="H39:O39" si="18">SUM(H40:H60)</f>
        <v>80259469.319999993</v>
      </c>
      <c r="I39" s="26">
        <f t="shared" si="18"/>
        <v>41914592.32</v>
      </c>
      <c r="J39" s="26">
        <f t="shared" si="18"/>
        <v>38344877</v>
      </c>
      <c r="K39" s="26">
        <f t="shared" si="18"/>
        <v>23722577</v>
      </c>
      <c r="L39" s="26">
        <f t="shared" si="18"/>
        <v>35202008.959999993</v>
      </c>
      <c r="M39" s="26">
        <f t="shared" si="18"/>
        <v>19210309.339999996</v>
      </c>
      <c r="N39" s="26">
        <f t="shared" si="18"/>
        <v>15991699.619999999</v>
      </c>
      <c r="O39" s="26">
        <f t="shared" si="18"/>
        <v>9081818.0899999999</v>
      </c>
      <c r="P39" s="52">
        <f t="shared" si="2"/>
        <v>0.43860256313989787</v>
      </c>
      <c r="Q39" s="26">
        <f t="shared" si="3"/>
        <v>-45057460.359999999</v>
      </c>
    </row>
    <row r="40" spans="1:17" s="87" customFormat="1" ht="55.2" x14ac:dyDescent="0.25">
      <c r="A40" s="30" t="s">
        <v>7</v>
      </c>
      <c r="B40" s="30" t="s">
        <v>29</v>
      </c>
      <c r="C40" s="30" t="s">
        <v>15</v>
      </c>
      <c r="D40" s="31" t="s">
        <v>8</v>
      </c>
      <c r="E40" s="31">
        <v>13</v>
      </c>
      <c r="F40" s="32" t="s">
        <v>93</v>
      </c>
      <c r="G40" s="53" t="s">
        <v>180</v>
      </c>
      <c r="H40" s="34">
        <f t="shared" ref="H40:H55" si="19">I40+J40</f>
        <v>455000</v>
      </c>
      <c r="I40" s="34">
        <v>455000</v>
      </c>
      <c r="J40" s="34"/>
      <c r="K40" s="34"/>
      <c r="L40" s="34">
        <f t="shared" si="4"/>
        <v>816988</v>
      </c>
      <c r="M40" s="34">
        <v>816988</v>
      </c>
      <c r="N40" s="34"/>
      <c r="O40" s="34"/>
      <c r="P40" s="35">
        <f t="shared" si="2"/>
        <v>1.795578021978022</v>
      </c>
      <c r="Q40" s="26">
        <f t="shared" si="3"/>
        <v>361988</v>
      </c>
    </row>
    <row r="41" spans="1:17" s="36" customFormat="1" ht="41.4" x14ac:dyDescent="0.25">
      <c r="A41" s="30" t="s">
        <v>7</v>
      </c>
      <c r="B41" s="30" t="s">
        <v>29</v>
      </c>
      <c r="C41" s="30" t="s">
        <v>15</v>
      </c>
      <c r="D41" s="31" t="s">
        <v>8</v>
      </c>
      <c r="E41" s="31">
        <v>16</v>
      </c>
      <c r="F41" s="32" t="s">
        <v>121</v>
      </c>
      <c r="G41" s="33" t="s">
        <v>174</v>
      </c>
      <c r="H41" s="34">
        <f t="shared" si="19"/>
        <v>5590037</v>
      </c>
      <c r="I41" s="34">
        <v>3500000</v>
      </c>
      <c r="J41" s="34">
        <v>2090037</v>
      </c>
      <c r="K41" s="34">
        <v>2090037</v>
      </c>
      <c r="L41" s="34">
        <f t="shared" si="4"/>
        <v>2550569.9699999997</v>
      </c>
      <c r="M41" s="34">
        <v>1983970</v>
      </c>
      <c r="N41" s="34">
        <v>566599.97</v>
      </c>
      <c r="O41" s="34">
        <f>N41</f>
        <v>566599.97</v>
      </c>
      <c r="P41" s="35">
        <f t="shared" si="2"/>
        <v>0.45627067763594403</v>
      </c>
      <c r="Q41" s="26">
        <f t="shared" si="3"/>
        <v>-3039467.0300000003</v>
      </c>
    </row>
    <row r="42" spans="1:17" s="36" customFormat="1" ht="41.4" x14ac:dyDescent="0.25">
      <c r="A42" s="30" t="s">
        <v>58</v>
      </c>
      <c r="B42" s="30" t="s">
        <v>59</v>
      </c>
      <c r="C42" s="30" t="s">
        <v>44</v>
      </c>
      <c r="D42" s="43" t="s">
        <v>57</v>
      </c>
      <c r="E42" s="43">
        <v>16</v>
      </c>
      <c r="F42" s="32" t="s">
        <v>121</v>
      </c>
      <c r="G42" s="33" t="s">
        <v>174</v>
      </c>
      <c r="H42" s="34">
        <f>I42+J42</f>
        <v>31028986</v>
      </c>
      <c r="I42" s="34">
        <v>25309812</v>
      </c>
      <c r="J42" s="34">
        <v>5719174</v>
      </c>
      <c r="K42" s="34">
        <v>5719174</v>
      </c>
      <c r="L42" s="34">
        <f t="shared" si="4"/>
        <v>9888939.8699999992</v>
      </c>
      <c r="M42" s="34">
        <v>9354768.4399999995</v>
      </c>
      <c r="N42" s="34">
        <v>534171.43000000005</v>
      </c>
      <c r="O42" s="34">
        <f>N42</f>
        <v>534171.43000000005</v>
      </c>
      <c r="P42" s="35">
        <f t="shared" si="2"/>
        <v>0.31870006548070889</v>
      </c>
      <c r="Q42" s="26">
        <f t="shared" si="3"/>
        <v>-21140046.130000003</v>
      </c>
    </row>
    <row r="43" spans="1:17" s="36" customFormat="1" ht="41.4" x14ac:dyDescent="0.25">
      <c r="A43" s="30" t="s">
        <v>58</v>
      </c>
      <c r="B43" s="30" t="s">
        <v>59</v>
      </c>
      <c r="C43" s="30" t="s">
        <v>44</v>
      </c>
      <c r="D43" s="43" t="s">
        <v>57</v>
      </c>
      <c r="E43" s="43">
        <v>23</v>
      </c>
      <c r="F43" s="32" t="s">
        <v>157</v>
      </c>
      <c r="G43" s="33" t="s">
        <v>158</v>
      </c>
      <c r="H43" s="34">
        <f t="shared" si="19"/>
        <v>200000</v>
      </c>
      <c r="I43" s="34">
        <v>200000</v>
      </c>
      <c r="J43" s="34"/>
      <c r="K43" s="34"/>
      <c r="L43" s="34">
        <f t="shared" si="4"/>
        <v>0</v>
      </c>
      <c r="M43" s="34"/>
      <c r="N43" s="34"/>
      <c r="O43" s="34"/>
      <c r="P43" s="35">
        <f t="shared" si="2"/>
        <v>0</v>
      </c>
      <c r="Q43" s="26">
        <f t="shared" si="3"/>
        <v>-200000</v>
      </c>
    </row>
    <row r="44" spans="1:17" s="36" customFormat="1" ht="41.4" x14ac:dyDescent="0.25">
      <c r="A44" s="30" t="s">
        <v>58</v>
      </c>
      <c r="B44" s="30" t="s">
        <v>59</v>
      </c>
      <c r="C44" s="30" t="s">
        <v>44</v>
      </c>
      <c r="D44" s="43" t="s">
        <v>57</v>
      </c>
      <c r="E44" s="43">
        <v>32</v>
      </c>
      <c r="F44" s="32" t="s">
        <v>184</v>
      </c>
      <c r="G44" s="33" t="s">
        <v>183</v>
      </c>
      <c r="H44" s="34">
        <f t="shared" si="19"/>
        <v>15000</v>
      </c>
      <c r="I44" s="34">
        <v>15000</v>
      </c>
      <c r="J44" s="34"/>
      <c r="K44" s="34"/>
      <c r="L44" s="34">
        <f t="shared" si="4"/>
        <v>12000</v>
      </c>
      <c r="M44" s="34">
        <v>12000</v>
      </c>
      <c r="N44" s="34"/>
      <c r="O44" s="34"/>
      <c r="P44" s="35">
        <f t="shared" si="2"/>
        <v>0.8</v>
      </c>
      <c r="Q44" s="26">
        <f t="shared" si="3"/>
        <v>-3000</v>
      </c>
    </row>
    <row r="45" spans="1:17" s="36" customFormat="1" ht="41.4" x14ac:dyDescent="0.25">
      <c r="A45" s="30" t="s">
        <v>122</v>
      </c>
      <c r="B45" s="30" t="s">
        <v>123</v>
      </c>
      <c r="C45" s="30" t="s">
        <v>124</v>
      </c>
      <c r="D45" s="43" t="s">
        <v>125</v>
      </c>
      <c r="E45" s="43">
        <v>16</v>
      </c>
      <c r="F45" s="32" t="s">
        <v>121</v>
      </c>
      <c r="G45" s="33" t="s">
        <v>174</v>
      </c>
      <c r="H45" s="34">
        <f>I45+J45</f>
        <v>2850469</v>
      </c>
      <c r="I45" s="34">
        <v>2841400</v>
      </c>
      <c r="J45" s="34">
        <v>9069</v>
      </c>
      <c r="K45" s="34">
        <f>J45</f>
        <v>9069</v>
      </c>
      <c r="L45" s="34">
        <f t="shared" si="4"/>
        <v>1032478.22</v>
      </c>
      <c r="M45" s="34">
        <v>1023409.58</v>
      </c>
      <c r="N45" s="34">
        <v>9068.64</v>
      </c>
      <c r="O45" s="34">
        <f>N45</f>
        <v>9068.64</v>
      </c>
      <c r="P45" s="35">
        <f t="shared" si="2"/>
        <v>0.36221345329487881</v>
      </c>
      <c r="Q45" s="26">
        <f t="shared" si="3"/>
        <v>-1817990.78</v>
      </c>
    </row>
    <row r="46" spans="1:17" s="36" customFormat="1" ht="41.4" x14ac:dyDescent="0.25">
      <c r="A46" s="30" t="s">
        <v>314</v>
      </c>
      <c r="B46" s="30" t="s">
        <v>126</v>
      </c>
      <c r="C46" s="33" t="s">
        <v>217</v>
      </c>
      <c r="D46" s="37" t="s">
        <v>315</v>
      </c>
      <c r="E46" s="43">
        <v>16</v>
      </c>
      <c r="F46" s="32" t="s">
        <v>121</v>
      </c>
      <c r="G46" s="33" t="s">
        <v>174</v>
      </c>
      <c r="H46" s="34">
        <f>I46+J46</f>
        <v>796983</v>
      </c>
      <c r="I46" s="34">
        <v>793500</v>
      </c>
      <c r="J46" s="34">
        <v>3483</v>
      </c>
      <c r="K46" s="34">
        <f>J46</f>
        <v>3483</v>
      </c>
      <c r="L46" s="34">
        <f t="shared" si="4"/>
        <v>393382.02</v>
      </c>
      <c r="M46" s="34">
        <v>389900</v>
      </c>
      <c r="N46" s="34">
        <v>3482.02</v>
      </c>
      <c r="O46" s="34">
        <f>N46</f>
        <v>3482.02</v>
      </c>
      <c r="P46" s="35">
        <f t="shared" si="2"/>
        <v>0.49358897241220956</v>
      </c>
      <c r="Q46" s="26">
        <f t="shared" si="3"/>
        <v>-403600.98</v>
      </c>
    </row>
    <row r="47" spans="1:17" s="36" customFormat="1" ht="41.4" x14ac:dyDescent="0.25">
      <c r="A47" s="33" t="s">
        <v>316</v>
      </c>
      <c r="B47" s="33" t="s">
        <v>317</v>
      </c>
      <c r="C47" s="33" t="s">
        <v>275</v>
      </c>
      <c r="D47" s="37" t="s">
        <v>318</v>
      </c>
      <c r="E47" s="43">
        <v>16</v>
      </c>
      <c r="F47" s="32" t="s">
        <v>121</v>
      </c>
      <c r="G47" s="33" t="s">
        <v>174</v>
      </c>
      <c r="H47" s="34">
        <f t="shared" ref="H47:H48" si="20">I47+J47</f>
        <v>100000</v>
      </c>
      <c r="I47" s="34">
        <v>100000</v>
      </c>
      <c r="J47" s="34"/>
      <c r="K47" s="34"/>
      <c r="L47" s="34">
        <f t="shared" si="4"/>
        <v>40400</v>
      </c>
      <c r="M47" s="34">
        <v>40400</v>
      </c>
      <c r="N47" s="34"/>
      <c r="O47" s="34"/>
      <c r="P47" s="35">
        <f t="shared" si="2"/>
        <v>0.40400000000000003</v>
      </c>
      <c r="Q47" s="26">
        <f t="shared" si="3"/>
        <v>-59600</v>
      </c>
    </row>
    <row r="48" spans="1:17" s="36" customFormat="1" ht="41.4" x14ac:dyDescent="0.25">
      <c r="A48" s="33" t="s">
        <v>319</v>
      </c>
      <c r="B48" s="33" t="s">
        <v>320</v>
      </c>
      <c r="C48" s="33" t="s">
        <v>275</v>
      </c>
      <c r="D48" s="37" t="s">
        <v>321</v>
      </c>
      <c r="E48" s="43">
        <v>16</v>
      </c>
      <c r="F48" s="32" t="s">
        <v>121</v>
      </c>
      <c r="G48" s="33" t="s">
        <v>174</v>
      </c>
      <c r="H48" s="34">
        <f t="shared" si="20"/>
        <v>148400</v>
      </c>
      <c r="I48" s="34">
        <v>148400</v>
      </c>
      <c r="J48" s="34"/>
      <c r="K48" s="34"/>
      <c r="L48" s="34">
        <f t="shared" si="4"/>
        <v>84800</v>
      </c>
      <c r="M48" s="34">
        <v>84800</v>
      </c>
      <c r="N48" s="34"/>
      <c r="O48" s="34"/>
      <c r="P48" s="35">
        <f t="shared" si="2"/>
        <v>0.5714285714285714</v>
      </c>
      <c r="Q48" s="26">
        <f t="shared" si="3"/>
        <v>-63600</v>
      </c>
    </row>
    <row r="49" spans="1:17" s="36" customFormat="1" ht="69" x14ac:dyDescent="0.25">
      <c r="A49" s="30" t="s">
        <v>273</v>
      </c>
      <c r="B49" s="41" t="s">
        <v>274</v>
      </c>
      <c r="C49" s="41" t="s">
        <v>275</v>
      </c>
      <c r="D49" s="37" t="s">
        <v>276</v>
      </c>
      <c r="E49" s="37">
        <v>16</v>
      </c>
      <c r="F49" s="32" t="s">
        <v>121</v>
      </c>
      <c r="G49" s="33" t="s">
        <v>174</v>
      </c>
      <c r="H49" s="34">
        <f t="shared" ref="H49:H54" si="21">I49+J49</f>
        <v>1291800</v>
      </c>
      <c r="I49" s="34"/>
      <c r="J49" s="34">
        <v>1291800</v>
      </c>
      <c r="K49" s="34">
        <f>J49</f>
        <v>1291800</v>
      </c>
      <c r="L49" s="34">
        <f t="shared" si="4"/>
        <v>1291800</v>
      </c>
      <c r="M49" s="34"/>
      <c r="N49" s="34">
        <v>1291800</v>
      </c>
      <c r="O49" s="34">
        <f>N49</f>
        <v>1291800</v>
      </c>
      <c r="P49" s="35">
        <f t="shared" si="2"/>
        <v>1</v>
      </c>
      <c r="Q49" s="26">
        <f t="shared" si="3"/>
        <v>0</v>
      </c>
    </row>
    <row r="50" spans="1:17" s="36" customFormat="1" ht="69" x14ac:dyDescent="0.25">
      <c r="A50" s="41" t="s">
        <v>373</v>
      </c>
      <c r="B50" s="41" t="s">
        <v>374</v>
      </c>
      <c r="C50" s="41" t="s">
        <v>275</v>
      </c>
      <c r="D50" s="37" t="s">
        <v>375</v>
      </c>
      <c r="E50" s="37">
        <v>16</v>
      </c>
      <c r="F50" s="32" t="s">
        <v>121</v>
      </c>
      <c r="G50" s="33" t="s">
        <v>174</v>
      </c>
      <c r="H50" s="34">
        <f t="shared" si="21"/>
        <v>3043200</v>
      </c>
      <c r="I50" s="34"/>
      <c r="J50" s="34">
        <v>3043200</v>
      </c>
      <c r="K50" s="34">
        <f>J50</f>
        <v>3043200</v>
      </c>
      <c r="L50" s="34">
        <f t="shared" ref="L50" si="22">M50+N50</f>
        <v>3043200</v>
      </c>
      <c r="M50" s="34"/>
      <c r="N50" s="34">
        <v>3043200</v>
      </c>
      <c r="O50" s="34">
        <f>N50</f>
        <v>3043200</v>
      </c>
      <c r="P50" s="35">
        <f t="shared" ref="P50" si="23">L50/H50</f>
        <v>1</v>
      </c>
      <c r="Q50" s="26">
        <f t="shared" ref="Q50" si="24">L50-H50</f>
        <v>0</v>
      </c>
    </row>
    <row r="51" spans="1:17" s="36" customFormat="1" ht="135.75" customHeight="1" x14ac:dyDescent="0.25">
      <c r="A51" s="41" t="s">
        <v>376</v>
      </c>
      <c r="B51" s="41" t="s">
        <v>377</v>
      </c>
      <c r="C51" s="41" t="s">
        <v>275</v>
      </c>
      <c r="D51" s="37" t="s">
        <v>378</v>
      </c>
      <c r="E51" s="37">
        <v>16</v>
      </c>
      <c r="F51" s="32" t="s">
        <v>121</v>
      </c>
      <c r="G51" s="33" t="s">
        <v>174</v>
      </c>
      <c r="H51" s="34">
        <f t="shared" si="21"/>
        <v>4508100</v>
      </c>
      <c r="I51" s="34"/>
      <c r="J51" s="34">
        <v>4508100</v>
      </c>
      <c r="K51" s="34"/>
      <c r="L51" s="34">
        <f t="shared" si="4"/>
        <v>0</v>
      </c>
      <c r="M51" s="34"/>
      <c r="N51" s="34"/>
      <c r="O51" s="34"/>
      <c r="P51" s="35">
        <f t="shared" si="2"/>
        <v>0</v>
      </c>
      <c r="Q51" s="26">
        <f t="shared" si="3"/>
        <v>-4508100</v>
      </c>
    </row>
    <row r="52" spans="1:17" s="36" customFormat="1" ht="41.4" x14ac:dyDescent="0.25">
      <c r="A52" s="41" t="s">
        <v>345</v>
      </c>
      <c r="B52" s="41" t="s">
        <v>346</v>
      </c>
      <c r="C52" s="41" t="s">
        <v>275</v>
      </c>
      <c r="D52" s="37" t="s">
        <v>347</v>
      </c>
      <c r="E52" s="37">
        <v>17</v>
      </c>
      <c r="F52" s="32" t="s">
        <v>153</v>
      </c>
      <c r="G52" s="33" t="s">
        <v>173</v>
      </c>
      <c r="H52" s="34">
        <f t="shared" si="21"/>
        <v>1000000</v>
      </c>
      <c r="I52" s="34"/>
      <c r="J52" s="34">
        <v>1000000</v>
      </c>
      <c r="K52" s="34">
        <f>J52</f>
        <v>1000000</v>
      </c>
      <c r="L52" s="34">
        <f t="shared" si="4"/>
        <v>33235.199999999997</v>
      </c>
      <c r="M52" s="34"/>
      <c r="N52" s="34">
        <v>33235.199999999997</v>
      </c>
      <c r="O52" s="34">
        <f>N52</f>
        <v>33235.199999999997</v>
      </c>
      <c r="P52" s="35">
        <f t="shared" si="2"/>
        <v>3.3235199999999999E-2</v>
      </c>
      <c r="Q52" s="26">
        <f t="shared" si="3"/>
        <v>-966764.8</v>
      </c>
    </row>
    <row r="53" spans="1:17" s="36" customFormat="1" ht="41.4" x14ac:dyDescent="0.25">
      <c r="A53" s="41" t="s">
        <v>379</v>
      </c>
      <c r="B53" s="41" t="s">
        <v>380</v>
      </c>
      <c r="C53" s="41" t="s">
        <v>275</v>
      </c>
      <c r="D53" s="37" t="s">
        <v>381</v>
      </c>
      <c r="E53" s="37">
        <v>16</v>
      </c>
      <c r="F53" s="32" t="s">
        <v>121</v>
      </c>
      <c r="G53" s="33" t="s">
        <v>174</v>
      </c>
      <c r="H53" s="34">
        <f t="shared" si="21"/>
        <v>7220800</v>
      </c>
      <c r="I53" s="34"/>
      <c r="J53" s="34">
        <v>7220800</v>
      </c>
      <c r="K53" s="34"/>
      <c r="L53" s="34">
        <f t="shared" ref="L53" si="25">M53+N53</f>
        <v>6909881.5300000003</v>
      </c>
      <c r="M53" s="34"/>
      <c r="N53" s="34">
        <v>6909881.5300000003</v>
      </c>
      <c r="O53" s="34"/>
      <c r="P53" s="35">
        <f t="shared" ref="P53" si="26">L53/H53</f>
        <v>0.95694127105029914</v>
      </c>
      <c r="Q53" s="26">
        <f t="shared" ref="Q53" si="27">L53-H53</f>
        <v>-310918.46999999974</v>
      </c>
    </row>
    <row r="54" spans="1:17" s="36" customFormat="1" ht="55.2" x14ac:dyDescent="0.25">
      <c r="A54" s="41" t="s">
        <v>382</v>
      </c>
      <c r="B54" s="33">
        <v>1700</v>
      </c>
      <c r="C54" s="33" t="s">
        <v>275</v>
      </c>
      <c r="D54" s="54" t="s">
        <v>383</v>
      </c>
      <c r="E54" s="37">
        <v>16</v>
      </c>
      <c r="F54" s="32" t="s">
        <v>121</v>
      </c>
      <c r="G54" s="33" t="s">
        <v>174</v>
      </c>
      <c r="H54" s="34">
        <f t="shared" si="21"/>
        <v>2893400</v>
      </c>
      <c r="I54" s="34"/>
      <c r="J54" s="34">
        <v>2893400</v>
      </c>
      <c r="K54" s="34"/>
      <c r="L54" s="34">
        <f t="shared" ref="L54" si="28">M54+N54</f>
        <v>0</v>
      </c>
      <c r="M54" s="34"/>
      <c r="N54" s="34"/>
      <c r="O54" s="34"/>
      <c r="P54" s="35">
        <f t="shared" ref="P54" si="29">L54/H54</f>
        <v>0</v>
      </c>
      <c r="Q54" s="26">
        <f t="shared" ref="Q54" si="30">L54-H54</f>
        <v>-2893400</v>
      </c>
    </row>
    <row r="55" spans="1:17" s="36" customFormat="1" ht="72.75" customHeight="1" x14ac:dyDescent="0.25">
      <c r="A55" s="30" t="s">
        <v>181</v>
      </c>
      <c r="B55" s="30" t="s">
        <v>26</v>
      </c>
      <c r="C55" s="30" t="s">
        <v>27</v>
      </c>
      <c r="D55" s="55" t="s">
        <v>16</v>
      </c>
      <c r="E55" s="31">
        <v>25</v>
      </c>
      <c r="F55" s="32" t="s">
        <v>182</v>
      </c>
      <c r="G55" s="33" t="s">
        <v>206</v>
      </c>
      <c r="H55" s="34">
        <f t="shared" si="19"/>
        <v>2289165.3199999998</v>
      </c>
      <c r="I55" s="34">
        <v>2289165.3199999998</v>
      </c>
      <c r="J55" s="34"/>
      <c r="K55" s="34"/>
      <c r="L55" s="34">
        <f t="shared" si="4"/>
        <v>2184638.2000000002</v>
      </c>
      <c r="M55" s="34">
        <v>2184638.2000000002</v>
      </c>
      <c r="N55" s="34"/>
      <c r="O55" s="34"/>
      <c r="P55" s="35">
        <f t="shared" si="2"/>
        <v>0.95433832625072279</v>
      </c>
      <c r="Q55" s="26">
        <f t="shared" si="3"/>
        <v>-104527.11999999965</v>
      </c>
    </row>
    <row r="56" spans="1:17" s="7" customFormat="1" ht="41.4" x14ac:dyDescent="0.3">
      <c r="A56" s="41" t="s">
        <v>24</v>
      </c>
      <c r="B56" s="33">
        <v>3242</v>
      </c>
      <c r="C56" s="33">
        <v>1090</v>
      </c>
      <c r="D56" s="32" t="s">
        <v>14</v>
      </c>
      <c r="E56" s="32">
        <v>1</v>
      </c>
      <c r="F56" s="32" t="s">
        <v>28</v>
      </c>
      <c r="G56" s="33" t="s">
        <v>176</v>
      </c>
      <c r="H56" s="34">
        <f t="shared" ref="H56:H60" si="31">I56+J56</f>
        <v>300000</v>
      </c>
      <c r="I56" s="34">
        <v>300000</v>
      </c>
      <c r="J56" s="34"/>
      <c r="K56" s="34"/>
      <c r="L56" s="34">
        <f t="shared" si="4"/>
        <v>217850.2</v>
      </c>
      <c r="M56" s="34">
        <v>217850.2</v>
      </c>
      <c r="N56" s="34"/>
      <c r="O56" s="34"/>
      <c r="P56" s="35">
        <f t="shared" si="2"/>
        <v>0.72616733333333339</v>
      </c>
      <c r="Q56" s="26">
        <f t="shared" si="3"/>
        <v>-82149.799999999988</v>
      </c>
    </row>
    <row r="57" spans="1:17" s="7" customFormat="1" ht="41.4" x14ac:dyDescent="0.3">
      <c r="A57" s="41" t="s">
        <v>24</v>
      </c>
      <c r="B57" s="33">
        <v>3242</v>
      </c>
      <c r="C57" s="33">
        <v>1090</v>
      </c>
      <c r="D57" s="32" t="s">
        <v>14</v>
      </c>
      <c r="E57" s="32">
        <v>14</v>
      </c>
      <c r="F57" s="32" t="s">
        <v>76</v>
      </c>
      <c r="G57" s="33" t="s">
        <v>172</v>
      </c>
      <c r="H57" s="34">
        <f t="shared" si="31"/>
        <v>3801000</v>
      </c>
      <c r="I57" s="34">
        <v>3801000</v>
      </c>
      <c r="J57" s="34"/>
      <c r="K57" s="34"/>
      <c r="L57" s="34">
        <f t="shared" si="4"/>
        <v>2073524.92</v>
      </c>
      <c r="M57" s="34">
        <v>2073524.92</v>
      </c>
      <c r="N57" s="34"/>
      <c r="O57" s="34"/>
      <c r="P57" s="35">
        <f t="shared" si="2"/>
        <v>0.54552089450144692</v>
      </c>
      <c r="Q57" s="26">
        <f t="shared" si="3"/>
        <v>-1727475.08</v>
      </c>
    </row>
    <row r="58" spans="1:17" s="7" customFormat="1" ht="41.4" x14ac:dyDescent="0.3">
      <c r="A58" s="33" t="s">
        <v>322</v>
      </c>
      <c r="B58" s="33" t="s">
        <v>323</v>
      </c>
      <c r="C58" s="33" t="s">
        <v>37</v>
      </c>
      <c r="D58" s="37" t="s">
        <v>324</v>
      </c>
      <c r="E58" s="43">
        <v>16</v>
      </c>
      <c r="F58" s="32" t="s">
        <v>121</v>
      </c>
      <c r="G58" s="33" t="s">
        <v>174</v>
      </c>
      <c r="H58" s="34">
        <f t="shared" si="31"/>
        <v>1050970</v>
      </c>
      <c r="I58" s="34">
        <v>296700</v>
      </c>
      <c r="J58" s="34">
        <v>754270</v>
      </c>
      <c r="K58" s="34">
        <f>J58</f>
        <v>754270</v>
      </c>
      <c r="L58" s="34">
        <f t="shared" si="4"/>
        <v>464670</v>
      </c>
      <c r="M58" s="34">
        <v>160400</v>
      </c>
      <c r="N58" s="34">
        <v>304270</v>
      </c>
      <c r="O58" s="34">
        <v>304270</v>
      </c>
      <c r="P58" s="35">
        <f t="shared" si="2"/>
        <v>0.44213440916486674</v>
      </c>
      <c r="Q58" s="26">
        <f t="shared" si="3"/>
        <v>-586300</v>
      </c>
    </row>
    <row r="59" spans="1:17" s="7" customFormat="1" ht="41.4" x14ac:dyDescent="0.3">
      <c r="A59" s="42" t="s">
        <v>246</v>
      </c>
      <c r="B59" s="30" t="s">
        <v>229</v>
      </c>
      <c r="C59" s="30" t="s">
        <v>230</v>
      </c>
      <c r="D59" s="31" t="s">
        <v>259</v>
      </c>
      <c r="E59" s="31">
        <v>61</v>
      </c>
      <c r="F59" s="32" t="s">
        <v>258</v>
      </c>
      <c r="G59" s="33" t="s">
        <v>308</v>
      </c>
      <c r="H59" s="34">
        <f t="shared" si="31"/>
        <v>1273000</v>
      </c>
      <c r="I59" s="34">
        <v>1273000</v>
      </c>
      <c r="J59" s="34"/>
      <c r="K59" s="34"/>
      <c r="L59" s="34">
        <f t="shared" si="4"/>
        <v>867660</v>
      </c>
      <c r="M59" s="34">
        <v>867660</v>
      </c>
      <c r="N59" s="34"/>
      <c r="O59" s="34"/>
      <c r="P59" s="35">
        <f t="shared" si="2"/>
        <v>0.68158680282796547</v>
      </c>
      <c r="Q59" s="26">
        <f t="shared" si="3"/>
        <v>-405340</v>
      </c>
    </row>
    <row r="60" spans="1:17" s="7" customFormat="1" ht="41.4" x14ac:dyDescent="0.3">
      <c r="A60" s="42" t="s">
        <v>251</v>
      </c>
      <c r="B60" s="30" t="s">
        <v>249</v>
      </c>
      <c r="C60" s="30" t="s">
        <v>162</v>
      </c>
      <c r="D60" s="37" t="s">
        <v>163</v>
      </c>
      <c r="E60" s="37">
        <v>17</v>
      </c>
      <c r="F60" s="32" t="s">
        <v>153</v>
      </c>
      <c r="G60" s="33" t="s">
        <v>173</v>
      </c>
      <c r="H60" s="34">
        <f t="shared" si="31"/>
        <v>10403159</v>
      </c>
      <c r="I60" s="34">
        <v>591615</v>
      </c>
      <c r="J60" s="34">
        <v>9811544</v>
      </c>
      <c r="K60" s="34">
        <v>9811544</v>
      </c>
      <c r="L60" s="34">
        <f t="shared" si="4"/>
        <v>3295990.83</v>
      </c>
      <c r="M60" s="34"/>
      <c r="N60" s="34">
        <v>3295990.83</v>
      </c>
      <c r="O60" s="34">
        <f>N60</f>
        <v>3295990.83</v>
      </c>
      <c r="P60" s="35">
        <f t="shared" si="2"/>
        <v>0.31682595930716817</v>
      </c>
      <c r="Q60" s="26">
        <f t="shared" si="3"/>
        <v>-7107168.1699999999</v>
      </c>
    </row>
    <row r="61" spans="1:17" s="29" customFormat="1" ht="13.8" x14ac:dyDescent="0.25">
      <c r="A61" s="51" t="s">
        <v>17</v>
      </c>
      <c r="B61" s="51"/>
      <c r="C61" s="51"/>
      <c r="D61" s="102" t="s">
        <v>146</v>
      </c>
      <c r="E61" s="103"/>
      <c r="F61" s="104"/>
      <c r="G61" s="25"/>
      <c r="H61" s="26">
        <f>H62</f>
        <v>69474525</v>
      </c>
      <c r="I61" s="26">
        <f>I62</f>
        <v>68482900</v>
      </c>
      <c r="J61" s="26">
        <f t="shared" ref="J61:K61" si="32">J62</f>
        <v>991625</v>
      </c>
      <c r="K61" s="26">
        <f t="shared" si="32"/>
        <v>991625</v>
      </c>
      <c r="L61" s="26">
        <f>L62</f>
        <v>40771998.530000001</v>
      </c>
      <c r="M61" s="26">
        <f>M62</f>
        <v>40293972.310000002</v>
      </c>
      <c r="N61" s="26">
        <f t="shared" ref="N61:O61" si="33">N62</f>
        <v>478026.22</v>
      </c>
      <c r="O61" s="26">
        <f t="shared" si="33"/>
        <v>478026.22</v>
      </c>
      <c r="P61" s="52">
        <f t="shared" si="2"/>
        <v>0.58686257343968884</v>
      </c>
      <c r="Q61" s="26">
        <f t="shared" si="3"/>
        <v>-28702526.469999999</v>
      </c>
    </row>
    <row r="62" spans="1:17" s="29" customFormat="1" ht="13.8" x14ac:dyDescent="0.25">
      <c r="A62" s="51" t="s">
        <v>18</v>
      </c>
      <c r="B62" s="51"/>
      <c r="C62" s="51"/>
      <c r="D62" s="102" t="s">
        <v>146</v>
      </c>
      <c r="E62" s="103"/>
      <c r="F62" s="104"/>
      <c r="G62" s="25"/>
      <c r="H62" s="26">
        <f t="shared" ref="H62:O62" si="34">SUM(H63:H76)</f>
        <v>69474525</v>
      </c>
      <c r="I62" s="26">
        <f t="shared" si="34"/>
        <v>68482900</v>
      </c>
      <c r="J62" s="26">
        <f t="shared" si="34"/>
        <v>991625</v>
      </c>
      <c r="K62" s="26">
        <f t="shared" si="34"/>
        <v>991625</v>
      </c>
      <c r="L62" s="26">
        <f t="shared" si="34"/>
        <v>40771998.530000001</v>
      </c>
      <c r="M62" s="26">
        <f t="shared" si="34"/>
        <v>40293972.310000002</v>
      </c>
      <c r="N62" s="26">
        <f t="shared" si="34"/>
        <v>478026.22</v>
      </c>
      <c r="O62" s="26">
        <f t="shared" si="34"/>
        <v>478026.22</v>
      </c>
      <c r="P62" s="52">
        <f t="shared" si="2"/>
        <v>0.58686257343968884</v>
      </c>
      <c r="Q62" s="26">
        <f t="shared" si="3"/>
        <v>-28702526.469999999</v>
      </c>
    </row>
    <row r="63" spans="1:17" s="36" customFormat="1" ht="55.2" x14ac:dyDescent="0.25">
      <c r="A63" s="30" t="s">
        <v>89</v>
      </c>
      <c r="B63" s="30" t="s">
        <v>90</v>
      </c>
      <c r="C63" s="30" t="s">
        <v>91</v>
      </c>
      <c r="D63" s="46" t="s">
        <v>92</v>
      </c>
      <c r="E63" s="46">
        <v>13</v>
      </c>
      <c r="F63" s="32" t="s">
        <v>93</v>
      </c>
      <c r="G63" s="33" t="s">
        <v>94</v>
      </c>
      <c r="H63" s="34">
        <f>I63+J63</f>
        <v>3153000</v>
      </c>
      <c r="I63" s="34">
        <v>3153000</v>
      </c>
      <c r="J63" s="34"/>
      <c r="K63" s="34"/>
      <c r="L63" s="34">
        <f t="shared" si="4"/>
        <v>1000000</v>
      </c>
      <c r="M63" s="34">
        <v>1000000</v>
      </c>
      <c r="N63" s="34"/>
      <c r="O63" s="34"/>
      <c r="P63" s="35">
        <f t="shared" si="2"/>
        <v>0.3171582619727244</v>
      </c>
      <c r="Q63" s="26">
        <f t="shared" si="3"/>
        <v>-2153000</v>
      </c>
    </row>
    <row r="64" spans="1:17" s="36" customFormat="1" ht="41.4" x14ac:dyDescent="0.25">
      <c r="A64" s="30" t="s">
        <v>89</v>
      </c>
      <c r="B64" s="30" t="s">
        <v>90</v>
      </c>
      <c r="C64" s="30" t="s">
        <v>91</v>
      </c>
      <c r="D64" s="46" t="s">
        <v>92</v>
      </c>
      <c r="E64" s="46">
        <v>14</v>
      </c>
      <c r="F64" s="32" t="s">
        <v>76</v>
      </c>
      <c r="G64" s="33" t="s">
        <v>172</v>
      </c>
      <c r="H64" s="34">
        <f>I64+J64</f>
        <v>8000</v>
      </c>
      <c r="I64" s="34">
        <v>8000</v>
      </c>
      <c r="J64" s="34"/>
      <c r="K64" s="34"/>
      <c r="L64" s="34">
        <f t="shared" si="4"/>
        <v>3264.11</v>
      </c>
      <c r="M64" s="34">
        <v>3264.11</v>
      </c>
      <c r="N64" s="34"/>
      <c r="O64" s="34"/>
      <c r="P64" s="35">
        <f t="shared" si="2"/>
        <v>0.40801375000000001</v>
      </c>
      <c r="Q64" s="26">
        <f t="shared" si="3"/>
        <v>-4735.8899999999994</v>
      </c>
    </row>
    <row r="65" spans="1:17" s="36" customFormat="1" ht="41.4" x14ac:dyDescent="0.25">
      <c r="A65" s="30" t="s">
        <v>95</v>
      </c>
      <c r="B65" s="30" t="s">
        <v>96</v>
      </c>
      <c r="C65" s="30" t="s">
        <v>91</v>
      </c>
      <c r="D65" s="46" t="s">
        <v>97</v>
      </c>
      <c r="E65" s="46">
        <v>14</v>
      </c>
      <c r="F65" s="32" t="s">
        <v>76</v>
      </c>
      <c r="G65" s="33" t="s">
        <v>172</v>
      </c>
      <c r="H65" s="34">
        <f t="shared" ref="H65:H76" si="35">I65+J65</f>
        <v>5000</v>
      </c>
      <c r="I65" s="34">
        <v>5000</v>
      </c>
      <c r="J65" s="34"/>
      <c r="K65" s="34"/>
      <c r="L65" s="34">
        <f t="shared" si="4"/>
        <v>2933.71</v>
      </c>
      <c r="M65" s="34">
        <v>2933.71</v>
      </c>
      <c r="N65" s="34"/>
      <c r="O65" s="34"/>
      <c r="P65" s="35">
        <f t="shared" si="2"/>
        <v>0.58674199999999999</v>
      </c>
      <c r="Q65" s="26">
        <f t="shared" si="3"/>
        <v>-2066.29</v>
      </c>
    </row>
    <row r="66" spans="1:17" s="36" customFormat="1" ht="55.2" x14ac:dyDescent="0.25">
      <c r="A66" s="30" t="s">
        <v>25</v>
      </c>
      <c r="B66" s="30" t="s">
        <v>52</v>
      </c>
      <c r="C66" s="30" t="s">
        <v>27</v>
      </c>
      <c r="D66" s="31" t="s">
        <v>60</v>
      </c>
      <c r="E66" s="31">
        <v>13</v>
      </c>
      <c r="F66" s="32" t="s">
        <v>93</v>
      </c>
      <c r="G66" s="33" t="s">
        <v>94</v>
      </c>
      <c r="H66" s="34">
        <f>I66+J66</f>
        <v>991625</v>
      </c>
      <c r="I66" s="34"/>
      <c r="J66" s="34">
        <v>991625</v>
      </c>
      <c r="K66" s="34">
        <v>991625</v>
      </c>
      <c r="L66" s="34">
        <f t="shared" si="4"/>
        <v>478026.22</v>
      </c>
      <c r="M66" s="34"/>
      <c r="N66" s="34">
        <v>478026.22</v>
      </c>
      <c r="O66" s="34">
        <f>N66</f>
        <v>478026.22</v>
      </c>
      <c r="P66" s="35">
        <f t="shared" si="2"/>
        <v>0.48206350182780788</v>
      </c>
      <c r="Q66" s="26">
        <f t="shared" si="3"/>
        <v>-513598.78</v>
      </c>
    </row>
    <row r="67" spans="1:17" s="36" customFormat="1" ht="41.4" x14ac:dyDescent="0.25">
      <c r="A67" s="30" t="s">
        <v>25</v>
      </c>
      <c r="B67" s="30" t="s">
        <v>52</v>
      </c>
      <c r="C67" s="30" t="s">
        <v>27</v>
      </c>
      <c r="D67" s="31" t="s">
        <v>60</v>
      </c>
      <c r="E67" s="31">
        <v>14</v>
      </c>
      <c r="F67" s="32" t="s">
        <v>76</v>
      </c>
      <c r="G67" s="33" t="s">
        <v>175</v>
      </c>
      <c r="H67" s="34">
        <f>I67+J67</f>
        <v>343400</v>
      </c>
      <c r="I67" s="34">
        <f>343400</f>
        <v>343400</v>
      </c>
      <c r="J67" s="34"/>
      <c r="K67" s="34"/>
      <c r="L67" s="34">
        <f t="shared" si="4"/>
        <v>207136</v>
      </c>
      <c r="M67" s="34">
        <v>207136</v>
      </c>
      <c r="N67" s="34"/>
      <c r="O67" s="34"/>
      <c r="P67" s="35">
        <f t="shared" si="2"/>
        <v>0.60319161327897497</v>
      </c>
      <c r="Q67" s="26">
        <f t="shared" si="3"/>
        <v>-136264</v>
      </c>
    </row>
    <row r="68" spans="1:17" s="36" customFormat="1" ht="41.4" x14ac:dyDescent="0.25">
      <c r="A68" s="30" t="s">
        <v>25</v>
      </c>
      <c r="B68" s="30" t="s">
        <v>52</v>
      </c>
      <c r="C68" s="30" t="s">
        <v>27</v>
      </c>
      <c r="D68" s="31" t="s">
        <v>60</v>
      </c>
      <c r="E68" s="31">
        <v>29</v>
      </c>
      <c r="F68" s="32" t="s">
        <v>167</v>
      </c>
      <c r="G68" s="33" t="s">
        <v>198</v>
      </c>
      <c r="H68" s="34">
        <f t="shared" si="35"/>
        <v>420200</v>
      </c>
      <c r="I68" s="34">
        <v>420200</v>
      </c>
      <c r="J68" s="34"/>
      <c r="K68" s="34"/>
      <c r="L68" s="34">
        <f t="shared" si="4"/>
        <v>344700.82</v>
      </c>
      <c r="M68" s="34">
        <v>344700.82</v>
      </c>
      <c r="N68" s="34"/>
      <c r="O68" s="34"/>
      <c r="P68" s="35">
        <f t="shared" si="2"/>
        <v>0.82032560685387912</v>
      </c>
      <c r="Q68" s="26">
        <f t="shared" si="3"/>
        <v>-75499.179999999993</v>
      </c>
    </row>
    <row r="69" spans="1:17" s="36" customFormat="1" ht="41.4" x14ac:dyDescent="0.25">
      <c r="A69" s="30" t="s">
        <v>109</v>
      </c>
      <c r="B69" s="30" t="s">
        <v>110</v>
      </c>
      <c r="C69" s="30" t="s">
        <v>27</v>
      </c>
      <c r="D69" s="43" t="s">
        <v>111</v>
      </c>
      <c r="E69" s="43">
        <v>14</v>
      </c>
      <c r="F69" s="32" t="s">
        <v>76</v>
      </c>
      <c r="G69" s="33" t="s">
        <v>177</v>
      </c>
      <c r="H69" s="34">
        <f>I69+J69</f>
        <v>652500</v>
      </c>
      <c r="I69" s="34">
        <f>707500-55000</f>
        <v>652500</v>
      </c>
      <c r="J69" s="34"/>
      <c r="K69" s="34"/>
      <c r="L69" s="34">
        <f t="shared" si="4"/>
        <v>255500</v>
      </c>
      <c r="M69" s="34">
        <v>255500</v>
      </c>
      <c r="N69" s="34"/>
      <c r="O69" s="34"/>
      <c r="P69" s="35">
        <f t="shared" si="2"/>
        <v>0.39157088122605366</v>
      </c>
      <c r="Q69" s="26">
        <f t="shared" si="3"/>
        <v>-397000</v>
      </c>
    </row>
    <row r="70" spans="1:17" s="36" customFormat="1" ht="55.2" x14ac:dyDescent="0.25">
      <c r="A70" s="30" t="s">
        <v>98</v>
      </c>
      <c r="B70" s="30" t="s">
        <v>99</v>
      </c>
      <c r="C70" s="30" t="s">
        <v>29</v>
      </c>
      <c r="D70" s="31" t="s">
        <v>100</v>
      </c>
      <c r="E70" s="31">
        <v>14</v>
      </c>
      <c r="F70" s="32" t="s">
        <v>76</v>
      </c>
      <c r="G70" s="33" t="s">
        <v>172</v>
      </c>
      <c r="H70" s="34">
        <f t="shared" si="35"/>
        <v>3300000</v>
      </c>
      <c r="I70" s="34">
        <v>3300000</v>
      </c>
      <c r="J70" s="34"/>
      <c r="K70" s="34"/>
      <c r="L70" s="34">
        <f t="shared" si="4"/>
        <v>1695362.66</v>
      </c>
      <c r="M70" s="34">
        <v>1695362.66</v>
      </c>
      <c r="N70" s="34"/>
      <c r="O70" s="34"/>
      <c r="P70" s="35">
        <f t="shared" si="2"/>
        <v>0.51374626060606055</v>
      </c>
      <c r="Q70" s="26">
        <f t="shared" si="3"/>
        <v>-1604637.34</v>
      </c>
    </row>
    <row r="71" spans="1:17" s="36" customFormat="1" ht="94.5" customHeight="1" x14ac:dyDescent="0.25">
      <c r="A71" s="30" t="s">
        <v>101</v>
      </c>
      <c r="B71" s="30" t="s">
        <v>102</v>
      </c>
      <c r="C71" s="30" t="s">
        <v>103</v>
      </c>
      <c r="D71" s="31" t="s">
        <v>104</v>
      </c>
      <c r="E71" s="31">
        <v>14</v>
      </c>
      <c r="F71" s="32" t="s">
        <v>76</v>
      </c>
      <c r="G71" s="33" t="s">
        <v>172</v>
      </c>
      <c r="H71" s="34">
        <f t="shared" si="35"/>
        <v>1000000</v>
      </c>
      <c r="I71" s="34">
        <v>1000000</v>
      </c>
      <c r="J71" s="34"/>
      <c r="K71" s="34"/>
      <c r="L71" s="34">
        <f t="shared" si="4"/>
        <v>547755.78</v>
      </c>
      <c r="M71" s="34">
        <v>547755.78</v>
      </c>
      <c r="N71" s="34"/>
      <c r="O71" s="34"/>
      <c r="P71" s="35">
        <f t="shared" si="2"/>
        <v>0.54775578000000003</v>
      </c>
      <c r="Q71" s="26">
        <f t="shared" si="3"/>
        <v>-452244.22</v>
      </c>
    </row>
    <row r="72" spans="1:17" s="36" customFormat="1" ht="57" customHeight="1" x14ac:dyDescent="0.25">
      <c r="A72" s="30" t="s">
        <v>105</v>
      </c>
      <c r="B72" s="30" t="s">
        <v>106</v>
      </c>
      <c r="C72" s="30" t="s">
        <v>91</v>
      </c>
      <c r="D72" s="31" t="s">
        <v>107</v>
      </c>
      <c r="E72" s="31">
        <v>14</v>
      </c>
      <c r="F72" s="32" t="s">
        <v>76</v>
      </c>
      <c r="G72" s="33" t="s">
        <v>172</v>
      </c>
      <c r="H72" s="34">
        <f t="shared" si="35"/>
        <v>71000</v>
      </c>
      <c r="I72" s="34">
        <v>71000</v>
      </c>
      <c r="J72" s="34"/>
      <c r="K72" s="34"/>
      <c r="L72" s="34">
        <f t="shared" si="4"/>
        <v>36068.720000000001</v>
      </c>
      <c r="M72" s="34">
        <v>36068.720000000001</v>
      </c>
      <c r="N72" s="34"/>
      <c r="O72" s="34"/>
      <c r="P72" s="35">
        <f t="shared" si="2"/>
        <v>0.50801014084507046</v>
      </c>
      <c r="Q72" s="26">
        <f t="shared" si="3"/>
        <v>-34931.279999999999</v>
      </c>
    </row>
    <row r="73" spans="1:17" s="36" customFormat="1" ht="41.4" x14ac:dyDescent="0.25">
      <c r="A73" s="30" t="s">
        <v>164</v>
      </c>
      <c r="B73" s="30" t="s">
        <v>165</v>
      </c>
      <c r="C73" s="30" t="s">
        <v>126</v>
      </c>
      <c r="D73" s="54" t="s">
        <v>166</v>
      </c>
      <c r="E73" s="54">
        <v>14</v>
      </c>
      <c r="F73" s="32" t="s">
        <v>76</v>
      </c>
      <c r="G73" s="33" t="s">
        <v>172</v>
      </c>
      <c r="H73" s="34">
        <f t="shared" si="35"/>
        <v>497600</v>
      </c>
      <c r="I73" s="34">
        <v>497600</v>
      </c>
      <c r="J73" s="34"/>
      <c r="K73" s="34"/>
      <c r="L73" s="34">
        <f t="shared" si="4"/>
        <v>0</v>
      </c>
      <c r="M73" s="34"/>
      <c r="N73" s="34"/>
      <c r="O73" s="34"/>
      <c r="P73" s="35">
        <f t="shared" si="2"/>
        <v>0</v>
      </c>
      <c r="Q73" s="26">
        <f t="shared" si="3"/>
        <v>-497600</v>
      </c>
    </row>
    <row r="74" spans="1:17" s="36" customFormat="1" ht="55.2" x14ac:dyDescent="0.25">
      <c r="A74" s="30" t="s">
        <v>108</v>
      </c>
      <c r="B74" s="30" t="s">
        <v>78</v>
      </c>
      <c r="C74" s="30" t="s">
        <v>79</v>
      </c>
      <c r="D74" s="31" t="s">
        <v>80</v>
      </c>
      <c r="E74" s="31">
        <v>13</v>
      </c>
      <c r="F74" s="32" t="s">
        <v>93</v>
      </c>
      <c r="G74" s="33" t="s">
        <v>178</v>
      </c>
      <c r="H74" s="34">
        <f>I74+J74</f>
        <v>18722800</v>
      </c>
      <c r="I74" s="34">
        <f>6622800+12080000+20000</f>
        <v>18722800</v>
      </c>
      <c r="J74" s="34"/>
      <c r="K74" s="34"/>
      <c r="L74" s="34">
        <f t="shared" si="4"/>
        <v>10971543</v>
      </c>
      <c r="M74" s="34">
        <v>10971543</v>
      </c>
      <c r="N74" s="34"/>
      <c r="O74" s="34"/>
      <c r="P74" s="35">
        <f t="shared" si="2"/>
        <v>0.58599904928749968</v>
      </c>
      <c r="Q74" s="26">
        <f t="shared" si="3"/>
        <v>-7751257</v>
      </c>
    </row>
    <row r="75" spans="1:17" s="36" customFormat="1" ht="41.4" x14ac:dyDescent="0.25">
      <c r="A75" s="30" t="s">
        <v>108</v>
      </c>
      <c r="B75" s="30" t="s">
        <v>78</v>
      </c>
      <c r="C75" s="30" t="s">
        <v>79</v>
      </c>
      <c r="D75" s="31" t="s">
        <v>80</v>
      </c>
      <c r="E75" s="31">
        <v>14</v>
      </c>
      <c r="F75" s="32" t="s">
        <v>76</v>
      </c>
      <c r="G75" s="33" t="s">
        <v>172</v>
      </c>
      <c r="H75" s="34">
        <f t="shared" si="35"/>
        <v>39925600</v>
      </c>
      <c r="I75" s="34">
        <v>39925600</v>
      </c>
      <c r="J75" s="34"/>
      <c r="K75" s="34"/>
      <c r="L75" s="34">
        <f t="shared" si="4"/>
        <v>24949723.510000002</v>
      </c>
      <c r="M75" s="34">
        <v>24949723.510000002</v>
      </c>
      <c r="N75" s="34"/>
      <c r="O75" s="34"/>
      <c r="P75" s="35">
        <f t="shared" si="2"/>
        <v>0.62490541181597781</v>
      </c>
      <c r="Q75" s="26">
        <f t="shared" si="3"/>
        <v>-14975876.489999998</v>
      </c>
    </row>
    <row r="76" spans="1:17" s="36" customFormat="1" ht="41.4" x14ac:dyDescent="0.25">
      <c r="A76" s="30" t="s">
        <v>247</v>
      </c>
      <c r="B76" s="30" t="s">
        <v>229</v>
      </c>
      <c r="C76" s="30" t="s">
        <v>230</v>
      </c>
      <c r="D76" s="31" t="s">
        <v>259</v>
      </c>
      <c r="E76" s="31">
        <v>61</v>
      </c>
      <c r="F76" s="32" t="s">
        <v>258</v>
      </c>
      <c r="G76" s="33" t="s">
        <v>308</v>
      </c>
      <c r="H76" s="34">
        <f t="shared" si="35"/>
        <v>383800</v>
      </c>
      <c r="I76" s="34">
        <f>278500+105300</f>
        <v>383800</v>
      </c>
      <c r="J76" s="34"/>
      <c r="K76" s="34"/>
      <c r="L76" s="34">
        <f t="shared" si="4"/>
        <v>279984</v>
      </c>
      <c r="M76" s="34">
        <v>279984</v>
      </c>
      <c r="N76" s="34"/>
      <c r="O76" s="34"/>
      <c r="P76" s="35">
        <f t="shared" si="2"/>
        <v>0.72950495049504949</v>
      </c>
      <c r="Q76" s="26">
        <f t="shared" si="3"/>
        <v>-103816</v>
      </c>
    </row>
    <row r="77" spans="1:17" s="36" customFormat="1" ht="13.8" x14ac:dyDescent="0.25">
      <c r="A77" s="56" t="s">
        <v>207</v>
      </c>
      <c r="B77" s="57" t="s">
        <v>208</v>
      </c>
      <c r="C77" s="57" t="s">
        <v>208</v>
      </c>
      <c r="D77" s="99" t="s">
        <v>209</v>
      </c>
      <c r="E77" s="100"/>
      <c r="F77" s="101"/>
      <c r="G77" s="33"/>
      <c r="H77" s="26">
        <f>H78</f>
        <v>378300</v>
      </c>
      <c r="I77" s="26">
        <f t="shared" ref="I77:O78" si="36">I78</f>
        <v>378300</v>
      </c>
      <c r="J77" s="26">
        <f t="shared" si="36"/>
        <v>0</v>
      </c>
      <c r="K77" s="26">
        <f t="shared" si="36"/>
        <v>0</v>
      </c>
      <c r="L77" s="26">
        <f>L78</f>
        <v>226850.9</v>
      </c>
      <c r="M77" s="26">
        <f t="shared" si="36"/>
        <v>226850.9</v>
      </c>
      <c r="N77" s="26">
        <f t="shared" si="36"/>
        <v>0</v>
      </c>
      <c r="O77" s="26">
        <f t="shared" si="36"/>
        <v>0</v>
      </c>
      <c r="P77" s="35">
        <f t="shared" si="2"/>
        <v>0.59965873645255086</v>
      </c>
      <c r="Q77" s="26">
        <f t="shared" si="3"/>
        <v>-151449.1</v>
      </c>
    </row>
    <row r="78" spans="1:17" s="36" customFormat="1" ht="13.8" x14ac:dyDescent="0.25">
      <c r="A78" s="56" t="s">
        <v>210</v>
      </c>
      <c r="B78" s="57" t="s">
        <v>208</v>
      </c>
      <c r="C78" s="57" t="s">
        <v>208</v>
      </c>
      <c r="D78" s="99" t="s">
        <v>209</v>
      </c>
      <c r="E78" s="100"/>
      <c r="F78" s="101"/>
      <c r="G78" s="33"/>
      <c r="H78" s="26">
        <f>SUM(H79:H81)</f>
        <v>378300</v>
      </c>
      <c r="I78" s="26">
        <f>SUM(I79:I81)</f>
        <v>378300</v>
      </c>
      <c r="J78" s="26">
        <f t="shared" si="36"/>
        <v>0</v>
      </c>
      <c r="K78" s="26">
        <f t="shared" si="36"/>
        <v>0</v>
      </c>
      <c r="L78" s="26">
        <f>SUM(L79:L81)</f>
        <v>226850.9</v>
      </c>
      <c r="M78" s="26">
        <f>SUM(M79:M81)</f>
        <v>226850.9</v>
      </c>
      <c r="N78" s="26">
        <f t="shared" si="36"/>
        <v>0</v>
      </c>
      <c r="O78" s="26">
        <f t="shared" si="36"/>
        <v>0</v>
      </c>
      <c r="P78" s="35">
        <f t="shared" si="2"/>
        <v>0.59965873645255086</v>
      </c>
      <c r="Q78" s="26">
        <f t="shared" si="3"/>
        <v>-151449.1</v>
      </c>
    </row>
    <row r="79" spans="1:17" s="36" customFormat="1" ht="41.4" x14ac:dyDescent="0.25">
      <c r="A79" s="41" t="s">
        <v>211</v>
      </c>
      <c r="B79" s="33" t="s">
        <v>74</v>
      </c>
      <c r="C79" s="33" t="s">
        <v>27</v>
      </c>
      <c r="D79" s="37" t="s">
        <v>75</v>
      </c>
      <c r="E79" s="37">
        <v>14</v>
      </c>
      <c r="F79" s="32" t="s">
        <v>76</v>
      </c>
      <c r="G79" s="53" t="s">
        <v>171</v>
      </c>
      <c r="H79" s="34">
        <f>I79+J79</f>
        <v>263600</v>
      </c>
      <c r="I79" s="34">
        <f>278000-14400</f>
        <v>263600</v>
      </c>
      <c r="J79" s="34"/>
      <c r="K79" s="34"/>
      <c r="L79" s="34">
        <f t="shared" si="4"/>
        <v>123584.9</v>
      </c>
      <c r="M79" s="34">
        <v>123584.9</v>
      </c>
      <c r="N79" s="34"/>
      <c r="O79" s="34"/>
      <c r="P79" s="35">
        <f t="shared" si="2"/>
        <v>0.46883497723823975</v>
      </c>
      <c r="Q79" s="26">
        <f t="shared" si="3"/>
        <v>-140015.1</v>
      </c>
    </row>
    <row r="80" spans="1:17" s="36" customFormat="1" ht="55.2" x14ac:dyDescent="0.25">
      <c r="A80" s="41" t="s">
        <v>211</v>
      </c>
      <c r="B80" s="33" t="s">
        <v>74</v>
      </c>
      <c r="C80" s="33" t="s">
        <v>27</v>
      </c>
      <c r="D80" s="37" t="s">
        <v>75</v>
      </c>
      <c r="E80" s="58">
        <v>65</v>
      </c>
      <c r="F80" s="59" t="s">
        <v>252</v>
      </c>
      <c r="G80" s="33" t="s">
        <v>265</v>
      </c>
      <c r="H80" s="34">
        <f t="shared" ref="H80:H81" si="37">I80+J80</f>
        <v>14400</v>
      </c>
      <c r="I80" s="34">
        <v>14400</v>
      </c>
      <c r="J80" s="34"/>
      <c r="K80" s="34"/>
      <c r="L80" s="34">
        <f t="shared" si="4"/>
        <v>7990</v>
      </c>
      <c r="M80" s="34">
        <v>7990</v>
      </c>
      <c r="N80" s="34"/>
      <c r="O80" s="34"/>
      <c r="P80" s="35">
        <f t="shared" si="2"/>
        <v>0.55486111111111114</v>
      </c>
      <c r="Q80" s="26">
        <f t="shared" si="3"/>
        <v>-6410</v>
      </c>
    </row>
    <row r="81" spans="1:17" s="36" customFormat="1" ht="41.4" x14ac:dyDescent="0.25">
      <c r="A81" s="30" t="s">
        <v>244</v>
      </c>
      <c r="B81" s="30" t="s">
        <v>229</v>
      </c>
      <c r="C81" s="30" t="s">
        <v>230</v>
      </c>
      <c r="D81" s="31" t="s">
        <v>259</v>
      </c>
      <c r="E81" s="31">
        <v>61</v>
      </c>
      <c r="F81" s="32" t="s">
        <v>258</v>
      </c>
      <c r="G81" s="33" t="s">
        <v>308</v>
      </c>
      <c r="H81" s="34">
        <f t="shared" si="37"/>
        <v>100300</v>
      </c>
      <c r="I81" s="34">
        <v>100300</v>
      </c>
      <c r="J81" s="34"/>
      <c r="K81" s="34"/>
      <c r="L81" s="34">
        <f t="shared" si="4"/>
        <v>95276</v>
      </c>
      <c r="M81" s="34">
        <v>95276</v>
      </c>
      <c r="N81" s="34"/>
      <c r="O81" s="34"/>
      <c r="P81" s="35">
        <f t="shared" si="2"/>
        <v>0.94991026919242272</v>
      </c>
      <c r="Q81" s="26">
        <f t="shared" si="3"/>
        <v>-5024</v>
      </c>
    </row>
    <row r="82" spans="1:17" s="36" customFormat="1" ht="13.8" x14ac:dyDescent="0.25">
      <c r="A82" s="51" t="s">
        <v>127</v>
      </c>
      <c r="B82" s="51"/>
      <c r="C82" s="51"/>
      <c r="D82" s="102" t="s">
        <v>147</v>
      </c>
      <c r="E82" s="103"/>
      <c r="F82" s="104"/>
      <c r="G82" s="25"/>
      <c r="H82" s="26">
        <f t="shared" ref="H82:O82" si="38">H83</f>
        <v>4847426</v>
      </c>
      <c r="I82" s="26">
        <f t="shared" si="38"/>
        <v>4072326</v>
      </c>
      <c r="J82" s="26">
        <f t="shared" si="38"/>
        <v>775100</v>
      </c>
      <c r="K82" s="26">
        <f t="shared" si="38"/>
        <v>500100</v>
      </c>
      <c r="L82" s="26">
        <f t="shared" si="38"/>
        <v>3101475.11</v>
      </c>
      <c r="M82" s="26">
        <f t="shared" si="38"/>
        <v>2464831.11</v>
      </c>
      <c r="N82" s="26">
        <f t="shared" si="38"/>
        <v>636644</v>
      </c>
      <c r="O82" s="26">
        <f t="shared" si="38"/>
        <v>500062</v>
      </c>
      <c r="P82" s="52">
        <f t="shared" si="2"/>
        <v>0.63981896990278964</v>
      </c>
      <c r="Q82" s="26">
        <f t="shared" si="3"/>
        <v>-1745950.8900000001</v>
      </c>
    </row>
    <row r="83" spans="1:17" s="36" customFormat="1" ht="13.8" x14ac:dyDescent="0.25">
      <c r="A83" s="51" t="s">
        <v>128</v>
      </c>
      <c r="B83" s="51"/>
      <c r="C83" s="51"/>
      <c r="D83" s="102" t="s">
        <v>147</v>
      </c>
      <c r="E83" s="103"/>
      <c r="F83" s="104"/>
      <c r="G83" s="25"/>
      <c r="H83" s="26">
        <f t="shared" ref="H83:O83" si="39">SUM(H84:H90)</f>
        <v>4847426</v>
      </c>
      <c r="I83" s="26">
        <f>SUM(I84:I90)</f>
        <v>4072326</v>
      </c>
      <c r="J83" s="26">
        <f t="shared" ref="J83:K83" si="40">SUM(J84:J90)</f>
        <v>775100</v>
      </c>
      <c r="K83" s="26">
        <f t="shared" si="40"/>
        <v>500100</v>
      </c>
      <c r="L83" s="26">
        <f t="shared" si="39"/>
        <v>3101475.11</v>
      </c>
      <c r="M83" s="26">
        <f t="shared" si="39"/>
        <v>2464831.11</v>
      </c>
      <c r="N83" s="26">
        <f t="shared" si="39"/>
        <v>636644</v>
      </c>
      <c r="O83" s="26">
        <f t="shared" si="39"/>
        <v>500062</v>
      </c>
      <c r="P83" s="52">
        <f t="shared" si="2"/>
        <v>0.63981896990278964</v>
      </c>
      <c r="Q83" s="26">
        <f t="shared" si="3"/>
        <v>-1745950.8900000001</v>
      </c>
    </row>
    <row r="84" spans="1:17" s="29" customFormat="1" ht="41.4" x14ac:dyDescent="0.25">
      <c r="A84" s="30" t="s">
        <v>215</v>
      </c>
      <c r="B84" s="30" t="s">
        <v>216</v>
      </c>
      <c r="C84" s="30" t="s">
        <v>217</v>
      </c>
      <c r="D84" s="31" t="s">
        <v>218</v>
      </c>
      <c r="E84" s="31">
        <v>28</v>
      </c>
      <c r="F84" s="32" t="s">
        <v>148</v>
      </c>
      <c r="G84" s="53" t="s">
        <v>197</v>
      </c>
      <c r="H84" s="34">
        <f>I84+J84</f>
        <v>947600</v>
      </c>
      <c r="I84" s="34">
        <v>672600</v>
      </c>
      <c r="J84" s="34">
        <v>275000</v>
      </c>
      <c r="K84" s="34"/>
      <c r="L84" s="34">
        <f t="shared" si="4"/>
        <v>517842</v>
      </c>
      <c r="M84" s="34">
        <v>381260</v>
      </c>
      <c r="N84" s="26">
        <v>136582</v>
      </c>
      <c r="O84" s="26"/>
      <c r="P84" s="35">
        <f t="shared" si="2"/>
        <v>0.54647741663149008</v>
      </c>
      <c r="Q84" s="26">
        <f t="shared" si="3"/>
        <v>-429758</v>
      </c>
    </row>
    <row r="85" spans="1:17" s="36" customFormat="1" ht="55.2" x14ac:dyDescent="0.25">
      <c r="A85" s="41" t="s">
        <v>204</v>
      </c>
      <c r="B85" s="33">
        <v>3140</v>
      </c>
      <c r="C85" s="30" t="s">
        <v>27</v>
      </c>
      <c r="D85" s="31" t="s">
        <v>16</v>
      </c>
      <c r="E85" s="31">
        <v>25</v>
      </c>
      <c r="F85" s="32" t="s">
        <v>168</v>
      </c>
      <c r="G85" s="33" t="s">
        <v>206</v>
      </c>
      <c r="H85" s="34">
        <f>I85+J85</f>
        <v>150000</v>
      </c>
      <c r="I85" s="34">
        <v>150000</v>
      </c>
      <c r="J85" s="34"/>
      <c r="K85" s="34"/>
      <c r="L85" s="34">
        <f t="shared" ref="L85:L154" si="41">M85+N85</f>
        <v>149320</v>
      </c>
      <c r="M85" s="34">
        <v>149320</v>
      </c>
      <c r="N85" s="34"/>
      <c r="O85" s="34"/>
      <c r="P85" s="35">
        <f t="shared" ref="P85:P153" si="42">L85/H85</f>
        <v>0.99546666666666672</v>
      </c>
      <c r="Q85" s="26">
        <f t="shared" ref="Q85:Q154" si="43">L85-H85</f>
        <v>-680</v>
      </c>
    </row>
    <row r="86" spans="1:17" s="36" customFormat="1" ht="41.4" x14ac:dyDescent="0.25">
      <c r="A86" s="30" t="s">
        <v>130</v>
      </c>
      <c r="B86" s="30" t="s">
        <v>131</v>
      </c>
      <c r="C86" s="30" t="s">
        <v>132</v>
      </c>
      <c r="D86" s="31" t="s">
        <v>133</v>
      </c>
      <c r="E86" s="31">
        <v>28</v>
      </c>
      <c r="F86" s="32" t="s">
        <v>148</v>
      </c>
      <c r="G86" s="53" t="s">
        <v>197</v>
      </c>
      <c r="H86" s="34">
        <f t="shared" ref="H86:H88" si="44">I86+J86</f>
        <v>671800</v>
      </c>
      <c r="I86" s="34">
        <v>671800</v>
      </c>
      <c r="J86" s="34"/>
      <c r="K86" s="34"/>
      <c r="L86" s="34">
        <f t="shared" si="41"/>
        <v>442608.85</v>
      </c>
      <c r="M86" s="34">
        <v>442608.85</v>
      </c>
      <c r="N86" s="34"/>
      <c r="O86" s="34"/>
      <c r="P86" s="35">
        <f t="shared" si="42"/>
        <v>0.65884020541827926</v>
      </c>
      <c r="Q86" s="26">
        <f t="shared" si="43"/>
        <v>-229191.15000000002</v>
      </c>
    </row>
    <row r="87" spans="1:17" s="36" customFormat="1" ht="41.4" x14ac:dyDescent="0.25">
      <c r="A87" s="30" t="s">
        <v>134</v>
      </c>
      <c r="B87" s="30" t="s">
        <v>135</v>
      </c>
      <c r="C87" s="30" t="s">
        <v>132</v>
      </c>
      <c r="D87" s="31" t="s">
        <v>136</v>
      </c>
      <c r="E87" s="31">
        <v>28</v>
      </c>
      <c r="F87" s="32" t="s">
        <v>148</v>
      </c>
      <c r="G87" s="33" t="s">
        <v>197</v>
      </c>
      <c r="H87" s="34">
        <f t="shared" si="44"/>
        <v>185500</v>
      </c>
      <c r="I87" s="34">
        <f>49000+136500</f>
        <v>185500</v>
      </c>
      <c r="J87" s="34"/>
      <c r="K87" s="34"/>
      <c r="L87" s="34">
        <f t="shared" si="41"/>
        <v>117876</v>
      </c>
      <c r="M87" s="34">
        <v>117876</v>
      </c>
      <c r="N87" s="34"/>
      <c r="O87" s="34"/>
      <c r="P87" s="35">
        <f t="shared" si="42"/>
        <v>0.63545013477088952</v>
      </c>
      <c r="Q87" s="26">
        <f t="shared" si="43"/>
        <v>-67624</v>
      </c>
    </row>
    <row r="88" spans="1:17" s="36" customFormat="1" ht="41.4" x14ac:dyDescent="0.25">
      <c r="A88" s="30" t="s">
        <v>137</v>
      </c>
      <c r="B88" s="30" t="s">
        <v>138</v>
      </c>
      <c r="C88" s="30" t="s">
        <v>139</v>
      </c>
      <c r="D88" s="31" t="s">
        <v>140</v>
      </c>
      <c r="E88" s="60">
        <v>28</v>
      </c>
      <c r="F88" s="61" t="s">
        <v>148</v>
      </c>
      <c r="G88" s="53" t="s">
        <v>197</v>
      </c>
      <c r="H88" s="34">
        <f t="shared" si="44"/>
        <v>1896026</v>
      </c>
      <c r="I88" s="34">
        <v>1475926</v>
      </c>
      <c r="J88" s="34">
        <v>420100</v>
      </c>
      <c r="K88" s="34">
        <v>420100</v>
      </c>
      <c r="L88" s="34">
        <f t="shared" si="41"/>
        <v>1219714.6099999999</v>
      </c>
      <c r="M88" s="34">
        <v>799652.61</v>
      </c>
      <c r="N88" s="34">
        <v>420062</v>
      </c>
      <c r="O88" s="34">
        <f>N88</f>
        <v>420062</v>
      </c>
      <c r="P88" s="35">
        <f t="shared" si="42"/>
        <v>0.64330057182760148</v>
      </c>
      <c r="Q88" s="26">
        <f t="shared" si="43"/>
        <v>-676311.39000000013</v>
      </c>
    </row>
    <row r="89" spans="1:17" s="36" customFormat="1" ht="41.4" x14ac:dyDescent="0.25">
      <c r="A89" s="30" t="s">
        <v>141</v>
      </c>
      <c r="B89" s="30" t="s">
        <v>142</v>
      </c>
      <c r="C89" s="30" t="s">
        <v>143</v>
      </c>
      <c r="D89" s="31" t="s">
        <v>144</v>
      </c>
      <c r="E89" s="60">
        <v>28</v>
      </c>
      <c r="F89" s="61" t="s">
        <v>148</v>
      </c>
      <c r="G89" s="53" t="s">
        <v>197</v>
      </c>
      <c r="H89" s="34">
        <f t="shared" ref="H89:H90" si="45">I89+J89</f>
        <v>740000</v>
      </c>
      <c r="I89" s="34">
        <v>740000</v>
      </c>
      <c r="J89" s="34"/>
      <c r="K89" s="34"/>
      <c r="L89" s="34">
        <f t="shared" si="41"/>
        <v>465879</v>
      </c>
      <c r="M89" s="34">
        <v>465879</v>
      </c>
      <c r="N89" s="34"/>
      <c r="O89" s="34"/>
      <c r="P89" s="35">
        <f t="shared" si="42"/>
        <v>0.62956621621621622</v>
      </c>
      <c r="Q89" s="26">
        <f t="shared" si="43"/>
        <v>-274121</v>
      </c>
    </row>
    <row r="90" spans="1:17" s="36" customFormat="1" ht="41.4" x14ac:dyDescent="0.25">
      <c r="A90" s="30" t="s">
        <v>243</v>
      </c>
      <c r="B90" s="30" t="s">
        <v>229</v>
      </c>
      <c r="C90" s="30" t="s">
        <v>230</v>
      </c>
      <c r="D90" s="31" t="s">
        <v>259</v>
      </c>
      <c r="E90" s="31">
        <v>61</v>
      </c>
      <c r="F90" s="32" t="s">
        <v>258</v>
      </c>
      <c r="G90" s="33" t="s">
        <v>308</v>
      </c>
      <c r="H90" s="34">
        <f t="shared" si="45"/>
        <v>256500</v>
      </c>
      <c r="I90" s="34">
        <f>167000+9500</f>
        <v>176500</v>
      </c>
      <c r="J90" s="34">
        <v>80000</v>
      </c>
      <c r="K90" s="34">
        <v>80000</v>
      </c>
      <c r="L90" s="34">
        <f t="shared" si="41"/>
        <v>188234.65</v>
      </c>
      <c r="M90" s="34">
        <v>108234.65</v>
      </c>
      <c r="N90" s="34">
        <v>80000</v>
      </c>
      <c r="O90" s="34">
        <f>N90</f>
        <v>80000</v>
      </c>
      <c r="P90" s="35">
        <f t="shared" si="42"/>
        <v>0.73385828460038982</v>
      </c>
      <c r="Q90" s="26">
        <f t="shared" si="43"/>
        <v>-68265.350000000006</v>
      </c>
    </row>
    <row r="91" spans="1:17" s="36" customFormat="1" ht="13.8" x14ac:dyDescent="0.25">
      <c r="A91" s="51" t="s">
        <v>22</v>
      </c>
      <c r="B91" s="51"/>
      <c r="C91" s="51"/>
      <c r="D91" s="102" t="s">
        <v>154</v>
      </c>
      <c r="E91" s="103"/>
      <c r="F91" s="104"/>
      <c r="G91" s="25"/>
      <c r="H91" s="26">
        <f>H92</f>
        <v>11153991</v>
      </c>
      <c r="I91" s="26">
        <f>I92</f>
        <v>6795856</v>
      </c>
      <c r="J91" s="26">
        <f t="shared" ref="J91:K91" si="46">J92</f>
        <v>4358135</v>
      </c>
      <c r="K91" s="26">
        <f t="shared" si="46"/>
        <v>0</v>
      </c>
      <c r="L91" s="26">
        <f>L92</f>
        <v>4242276.6900000004</v>
      </c>
      <c r="M91" s="26">
        <f>M92</f>
        <v>4242276.6900000004</v>
      </c>
      <c r="N91" s="26"/>
      <c r="O91" s="26"/>
      <c r="P91" s="52">
        <f t="shared" si="42"/>
        <v>0.38033710893257849</v>
      </c>
      <c r="Q91" s="26">
        <f t="shared" si="43"/>
        <v>-6911714.3099999996</v>
      </c>
    </row>
    <row r="92" spans="1:17" s="29" customFormat="1" ht="13.8" x14ac:dyDescent="0.25">
      <c r="A92" s="51" t="s">
        <v>23</v>
      </c>
      <c r="B92" s="51"/>
      <c r="C92" s="51"/>
      <c r="D92" s="102" t="s">
        <v>154</v>
      </c>
      <c r="E92" s="103"/>
      <c r="F92" s="104"/>
      <c r="G92" s="25"/>
      <c r="H92" s="26">
        <f>SUM(H93:H100)</f>
        <v>11153991</v>
      </c>
      <c r="I92" s="26">
        <f>SUM(I93:I100)</f>
        <v>6795856</v>
      </c>
      <c r="J92" s="26">
        <f t="shared" ref="J92:K92" si="47">SUM(J93:J100)</f>
        <v>4358135</v>
      </c>
      <c r="K92" s="26">
        <f t="shared" si="47"/>
        <v>0</v>
      </c>
      <c r="L92" s="26">
        <f>SUM(L93:L99)</f>
        <v>4242276.6900000004</v>
      </c>
      <c r="M92" s="26">
        <f>SUM(M93:M100)</f>
        <v>4242276.6900000004</v>
      </c>
      <c r="N92" s="26">
        <f t="shared" ref="N92:O92" si="48">SUM(N93:N100)</f>
        <v>0</v>
      </c>
      <c r="O92" s="26">
        <f t="shared" si="48"/>
        <v>0</v>
      </c>
      <c r="P92" s="52">
        <f t="shared" si="42"/>
        <v>0.38033710893257849</v>
      </c>
      <c r="Q92" s="26">
        <f t="shared" si="43"/>
        <v>-6911714.3099999996</v>
      </c>
    </row>
    <row r="93" spans="1:17" s="29" customFormat="1" ht="41.4" x14ac:dyDescent="0.25">
      <c r="A93" s="30" t="s">
        <v>41</v>
      </c>
      <c r="B93" s="30" t="s">
        <v>42</v>
      </c>
      <c r="C93" s="30" t="s">
        <v>27</v>
      </c>
      <c r="D93" s="31" t="s">
        <v>43</v>
      </c>
      <c r="E93" s="31">
        <v>29</v>
      </c>
      <c r="F93" s="32" t="s">
        <v>169</v>
      </c>
      <c r="G93" s="33" t="s">
        <v>198</v>
      </c>
      <c r="H93" s="34">
        <f t="shared" ref="H93:H99" si="49">I93+J93</f>
        <v>994300</v>
      </c>
      <c r="I93" s="34">
        <f>1029300-35000</f>
        <v>994300</v>
      </c>
      <c r="J93" s="34"/>
      <c r="K93" s="34"/>
      <c r="L93" s="34">
        <f t="shared" si="41"/>
        <v>560816.80000000005</v>
      </c>
      <c r="M93" s="26">
        <v>560816.80000000005</v>
      </c>
      <c r="N93" s="26"/>
      <c r="O93" s="26"/>
      <c r="P93" s="35">
        <f t="shared" si="42"/>
        <v>0.56403178115256969</v>
      </c>
      <c r="Q93" s="26">
        <f t="shared" si="43"/>
        <v>-433483.19999999995</v>
      </c>
    </row>
    <row r="94" spans="1:17" s="36" customFormat="1" ht="41.4" x14ac:dyDescent="0.25">
      <c r="A94" s="30" t="s">
        <v>112</v>
      </c>
      <c r="B94" s="30" t="s">
        <v>113</v>
      </c>
      <c r="C94" s="30" t="s">
        <v>37</v>
      </c>
      <c r="D94" s="31" t="s">
        <v>114</v>
      </c>
      <c r="E94" s="31">
        <v>30</v>
      </c>
      <c r="F94" s="32" t="s">
        <v>160</v>
      </c>
      <c r="G94" s="33" t="s">
        <v>186</v>
      </c>
      <c r="H94" s="34">
        <f t="shared" si="49"/>
        <v>1498900</v>
      </c>
      <c r="I94" s="34">
        <v>1498900</v>
      </c>
      <c r="J94" s="34"/>
      <c r="K94" s="34"/>
      <c r="L94" s="34">
        <f t="shared" si="41"/>
        <v>834650.52</v>
      </c>
      <c r="M94" s="34">
        <v>834650.52</v>
      </c>
      <c r="N94" s="34"/>
      <c r="O94" s="34"/>
      <c r="P94" s="35">
        <f t="shared" si="42"/>
        <v>0.55684203082260331</v>
      </c>
      <c r="Q94" s="26">
        <f t="shared" si="43"/>
        <v>-664249.48</v>
      </c>
    </row>
    <row r="95" spans="1:17" s="36" customFormat="1" ht="41.4" x14ac:dyDescent="0.25">
      <c r="A95" s="30" t="s">
        <v>116</v>
      </c>
      <c r="B95" s="30" t="s">
        <v>115</v>
      </c>
      <c r="C95" s="30" t="s">
        <v>37</v>
      </c>
      <c r="D95" s="31" t="s">
        <v>117</v>
      </c>
      <c r="E95" s="31">
        <v>30</v>
      </c>
      <c r="F95" s="32" t="s">
        <v>160</v>
      </c>
      <c r="G95" s="33" t="s">
        <v>186</v>
      </c>
      <c r="H95" s="34">
        <f t="shared" si="49"/>
        <v>973600</v>
      </c>
      <c r="I95" s="34">
        <v>973600</v>
      </c>
      <c r="J95" s="34"/>
      <c r="K95" s="34"/>
      <c r="L95" s="34">
        <f t="shared" si="41"/>
        <v>684501.57</v>
      </c>
      <c r="M95" s="34">
        <v>684501.57</v>
      </c>
      <c r="N95" s="34"/>
      <c r="O95" s="34"/>
      <c r="P95" s="35">
        <f t="shared" si="42"/>
        <v>0.7030624178307312</v>
      </c>
      <c r="Q95" s="26">
        <f t="shared" si="43"/>
        <v>-289098.43000000005</v>
      </c>
    </row>
    <row r="96" spans="1:17" s="36" customFormat="1" ht="41.4" x14ac:dyDescent="0.25">
      <c r="A96" s="33">
        <v>1115049</v>
      </c>
      <c r="B96" s="33">
        <v>5049</v>
      </c>
      <c r="C96" s="33" t="s">
        <v>37</v>
      </c>
      <c r="D96" s="37" t="s">
        <v>343</v>
      </c>
      <c r="E96" s="31">
        <v>30</v>
      </c>
      <c r="F96" s="32" t="s">
        <v>160</v>
      </c>
      <c r="G96" s="33" t="s">
        <v>186</v>
      </c>
      <c r="H96" s="34">
        <f t="shared" si="49"/>
        <v>114192</v>
      </c>
      <c r="I96" s="34">
        <f>35136+79056</f>
        <v>114192</v>
      </c>
      <c r="J96" s="34"/>
      <c r="K96" s="34"/>
      <c r="L96" s="34">
        <f t="shared" si="41"/>
        <v>46848</v>
      </c>
      <c r="M96" s="34">
        <v>46848</v>
      </c>
      <c r="N96" s="34"/>
      <c r="O96" s="34"/>
      <c r="P96" s="35">
        <f t="shared" si="42"/>
        <v>0.41025641025641024</v>
      </c>
      <c r="Q96" s="26">
        <f t="shared" si="43"/>
        <v>-67344</v>
      </c>
    </row>
    <row r="97" spans="1:17" s="36" customFormat="1" ht="41.4" x14ac:dyDescent="0.25">
      <c r="A97" s="30" t="s">
        <v>35</v>
      </c>
      <c r="B97" s="30" t="s">
        <v>36</v>
      </c>
      <c r="C97" s="30" t="s">
        <v>37</v>
      </c>
      <c r="D97" s="43" t="s">
        <v>61</v>
      </c>
      <c r="E97" s="43">
        <v>30</v>
      </c>
      <c r="F97" s="32" t="s">
        <v>160</v>
      </c>
      <c r="G97" s="33" t="s">
        <v>186</v>
      </c>
      <c r="H97" s="34">
        <f t="shared" si="49"/>
        <v>2969864</v>
      </c>
      <c r="I97" s="34">
        <v>2969864</v>
      </c>
      <c r="J97" s="34"/>
      <c r="K97" s="34"/>
      <c r="L97" s="34">
        <f t="shared" si="41"/>
        <v>1971631.8</v>
      </c>
      <c r="M97" s="34">
        <v>1971631.8</v>
      </c>
      <c r="N97" s="34"/>
      <c r="O97" s="34"/>
      <c r="P97" s="35">
        <f t="shared" si="42"/>
        <v>0.66387949077802888</v>
      </c>
      <c r="Q97" s="26">
        <f t="shared" si="43"/>
        <v>-998232.2</v>
      </c>
    </row>
    <row r="98" spans="1:17" s="36" customFormat="1" ht="41.4" x14ac:dyDescent="0.25">
      <c r="A98" s="30" t="s">
        <v>363</v>
      </c>
      <c r="B98" s="30" t="s">
        <v>364</v>
      </c>
      <c r="C98" s="30" t="s">
        <v>37</v>
      </c>
      <c r="D98" s="62" t="s">
        <v>365</v>
      </c>
      <c r="E98" s="43">
        <v>30</v>
      </c>
      <c r="F98" s="32" t="s">
        <v>160</v>
      </c>
      <c r="G98" s="33" t="s">
        <v>186</v>
      </c>
      <c r="H98" s="34">
        <f t="shared" ref="H98" si="50">I98+J98</f>
        <v>180000</v>
      </c>
      <c r="I98" s="34">
        <v>180000</v>
      </c>
      <c r="J98" s="34"/>
      <c r="K98" s="34"/>
      <c r="L98" s="34">
        <f t="shared" ref="L98" si="51">M98+N98</f>
        <v>104368</v>
      </c>
      <c r="M98" s="34">
        <v>104368</v>
      </c>
      <c r="N98" s="34"/>
      <c r="O98" s="34"/>
      <c r="P98" s="35">
        <f t="shared" ref="P98" si="52">L98/H98</f>
        <v>0.57982222222222224</v>
      </c>
      <c r="Q98" s="26">
        <f t="shared" ref="Q98" si="53">L98-H98</f>
        <v>-75632</v>
      </c>
    </row>
    <row r="99" spans="1:17" s="36" customFormat="1" ht="41.4" x14ac:dyDescent="0.25">
      <c r="A99" s="30" t="s">
        <v>242</v>
      </c>
      <c r="B99" s="30" t="s">
        <v>229</v>
      </c>
      <c r="C99" s="30" t="s">
        <v>230</v>
      </c>
      <c r="D99" s="31" t="s">
        <v>259</v>
      </c>
      <c r="E99" s="31">
        <v>61</v>
      </c>
      <c r="F99" s="32" t="s">
        <v>258</v>
      </c>
      <c r="G99" s="33" t="s">
        <v>308</v>
      </c>
      <c r="H99" s="34">
        <f t="shared" si="49"/>
        <v>65000</v>
      </c>
      <c r="I99" s="34">
        <v>65000</v>
      </c>
      <c r="J99" s="34"/>
      <c r="K99" s="34"/>
      <c r="L99" s="34">
        <f t="shared" si="41"/>
        <v>39460</v>
      </c>
      <c r="M99" s="34">
        <v>39460</v>
      </c>
      <c r="N99" s="34"/>
      <c r="O99" s="34"/>
      <c r="P99" s="35">
        <f t="shared" si="42"/>
        <v>0.60707692307692307</v>
      </c>
      <c r="Q99" s="26">
        <f t="shared" si="43"/>
        <v>-25540</v>
      </c>
    </row>
    <row r="100" spans="1:17" s="36" customFormat="1" ht="82.8" x14ac:dyDescent="0.25">
      <c r="A100" s="30" t="s">
        <v>366</v>
      </c>
      <c r="B100" s="30" t="s">
        <v>290</v>
      </c>
      <c r="C100" s="41" t="s">
        <v>21</v>
      </c>
      <c r="D100" s="37" t="s">
        <v>292</v>
      </c>
      <c r="E100" s="43">
        <v>30</v>
      </c>
      <c r="F100" s="32" t="s">
        <v>160</v>
      </c>
      <c r="G100" s="33" t="s">
        <v>186</v>
      </c>
      <c r="H100" s="34">
        <f t="shared" ref="H100" si="54">I100+J100</f>
        <v>4358135</v>
      </c>
      <c r="I100" s="34"/>
      <c r="J100" s="34">
        <v>4358135</v>
      </c>
      <c r="K100" s="34"/>
      <c r="L100" s="34">
        <f t="shared" ref="L100" si="55">M100+N100</f>
        <v>0</v>
      </c>
      <c r="M100" s="34"/>
      <c r="N100" s="34"/>
      <c r="O100" s="34"/>
      <c r="P100" s="35">
        <f t="shared" ref="P100" si="56">L100/H100</f>
        <v>0</v>
      </c>
      <c r="Q100" s="26">
        <f t="shared" ref="Q100" si="57">L100-H100</f>
        <v>-4358135</v>
      </c>
    </row>
    <row r="101" spans="1:17" s="36" customFormat="1" ht="13.8" x14ac:dyDescent="0.25">
      <c r="A101" s="51" t="s">
        <v>12</v>
      </c>
      <c r="B101" s="51"/>
      <c r="C101" s="51"/>
      <c r="D101" s="102" t="s">
        <v>149</v>
      </c>
      <c r="E101" s="103"/>
      <c r="F101" s="104"/>
      <c r="G101" s="25"/>
      <c r="H101" s="26">
        <f t="shared" ref="H101:O101" si="58">H102</f>
        <v>212507901.05000001</v>
      </c>
      <c r="I101" s="26">
        <f t="shared" si="58"/>
        <v>185879368</v>
      </c>
      <c r="J101" s="26">
        <f t="shared" si="58"/>
        <v>26628533.050000001</v>
      </c>
      <c r="K101" s="26">
        <f t="shared" si="58"/>
        <v>24882046</v>
      </c>
      <c r="L101" s="26">
        <f t="shared" si="58"/>
        <v>148693118.20999998</v>
      </c>
      <c r="M101" s="26">
        <f t="shared" si="58"/>
        <v>134557826.88</v>
      </c>
      <c r="N101" s="26">
        <f t="shared" si="58"/>
        <v>14135291.33</v>
      </c>
      <c r="O101" s="26">
        <f t="shared" si="58"/>
        <v>13907539.140000001</v>
      </c>
      <c r="P101" s="52">
        <f t="shared" si="42"/>
        <v>0.69970630491999752</v>
      </c>
      <c r="Q101" s="26">
        <f t="shared" si="43"/>
        <v>-63814782.840000033</v>
      </c>
    </row>
    <row r="102" spans="1:17" s="29" customFormat="1" ht="13.8" x14ac:dyDescent="0.25">
      <c r="A102" s="51" t="s">
        <v>13</v>
      </c>
      <c r="B102" s="51"/>
      <c r="C102" s="51"/>
      <c r="D102" s="102" t="s">
        <v>149</v>
      </c>
      <c r="E102" s="103"/>
      <c r="F102" s="104"/>
      <c r="G102" s="25"/>
      <c r="H102" s="26">
        <f>SUM(H103:H124)</f>
        <v>212507901.05000001</v>
      </c>
      <c r="I102" s="26">
        <f t="shared" ref="I102:K102" si="59">SUM(I103:I124)</f>
        <v>185879368</v>
      </c>
      <c r="J102" s="26">
        <f t="shared" si="59"/>
        <v>26628533.050000001</v>
      </c>
      <c r="K102" s="26">
        <f t="shared" si="59"/>
        <v>24882046</v>
      </c>
      <c r="L102" s="26">
        <f>SUM(L103:L124)</f>
        <v>148693118.20999998</v>
      </c>
      <c r="M102" s="26">
        <f t="shared" ref="M102:O102" si="60">SUM(M103:M124)</f>
        <v>134557826.88</v>
      </c>
      <c r="N102" s="26">
        <f t="shared" si="60"/>
        <v>14135291.33</v>
      </c>
      <c r="O102" s="26">
        <f t="shared" si="60"/>
        <v>13907539.140000001</v>
      </c>
      <c r="P102" s="52">
        <f t="shared" si="42"/>
        <v>0.69970630491999752</v>
      </c>
      <c r="Q102" s="26">
        <f t="shared" si="43"/>
        <v>-63814782.840000033</v>
      </c>
    </row>
    <row r="103" spans="1:17" s="29" customFormat="1" ht="27.6" x14ac:dyDescent="0.25">
      <c r="A103" s="30" t="s">
        <v>232</v>
      </c>
      <c r="B103" s="30" t="s">
        <v>224</v>
      </c>
      <c r="C103" s="30" t="s">
        <v>225</v>
      </c>
      <c r="D103" s="44" t="s">
        <v>226</v>
      </c>
      <c r="E103" s="63">
        <v>53</v>
      </c>
      <c r="F103" s="61" t="s">
        <v>227</v>
      </c>
      <c r="G103" s="33" t="s">
        <v>228</v>
      </c>
      <c r="H103" s="34">
        <f t="shared" ref="H103:H108" si="61">I103+J103</f>
        <v>30000</v>
      </c>
      <c r="I103" s="34">
        <f>50000-20000</f>
        <v>30000</v>
      </c>
      <c r="J103" s="34"/>
      <c r="K103" s="26"/>
      <c r="L103" s="34">
        <f t="shared" si="41"/>
        <v>0</v>
      </c>
      <c r="M103" s="26"/>
      <c r="N103" s="26"/>
      <c r="O103" s="26"/>
      <c r="P103" s="35">
        <f t="shared" si="42"/>
        <v>0</v>
      </c>
      <c r="Q103" s="26">
        <f t="shared" si="43"/>
        <v>-30000</v>
      </c>
    </row>
    <row r="104" spans="1:17" s="29" customFormat="1" ht="69" x14ac:dyDescent="0.25">
      <c r="A104" s="30" t="s">
        <v>277</v>
      </c>
      <c r="B104" s="33">
        <v>6011</v>
      </c>
      <c r="C104" s="41" t="s">
        <v>278</v>
      </c>
      <c r="D104" s="37" t="s">
        <v>279</v>
      </c>
      <c r="E104" s="37">
        <v>40</v>
      </c>
      <c r="F104" s="32" t="s">
        <v>280</v>
      </c>
      <c r="G104" s="33" t="s">
        <v>311</v>
      </c>
      <c r="H104" s="34">
        <f>I104+J104</f>
        <v>3126769</v>
      </c>
      <c r="I104" s="34"/>
      <c r="J104" s="34">
        <v>3126769</v>
      </c>
      <c r="K104" s="34">
        <f>J104</f>
        <v>3126769</v>
      </c>
      <c r="L104" s="34">
        <f t="shared" si="41"/>
        <v>344191.36</v>
      </c>
      <c r="M104" s="26"/>
      <c r="N104" s="26">
        <v>344191.36</v>
      </c>
      <c r="O104" s="26">
        <f>N104</f>
        <v>344191.36</v>
      </c>
      <c r="P104" s="35">
        <f t="shared" si="42"/>
        <v>0.11007892172399047</v>
      </c>
      <c r="Q104" s="26">
        <f t="shared" si="43"/>
        <v>-2782577.64</v>
      </c>
    </row>
    <row r="105" spans="1:17" s="29" customFormat="1" ht="41.4" x14ac:dyDescent="0.25">
      <c r="A105" s="30" t="s">
        <v>277</v>
      </c>
      <c r="B105" s="33">
        <v>6011</v>
      </c>
      <c r="C105" s="41" t="s">
        <v>278</v>
      </c>
      <c r="D105" s="37" t="s">
        <v>279</v>
      </c>
      <c r="E105" s="37">
        <v>68</v>
      </c>
      <c r="F105" s="32" t="s">
        <v>256</v>
      </c>
      <c r="G105" s="33" t="s">
        <v>307</v>
      </c>
      <c r="H105" s="34">
        <f t="shared" si="61"/>
        <v>2464943.75</v>
      </c>
      <c r="I105" s="34">
        <v>227819</v>
      </c>
      <c r="J105" s="34">
        <v>2237124.75</v>
      </c>
      <c r="K105" s="34">
        <f>J105</f>
        <v>2237124.75</v>
      </c>
      <c r="L105" s="34">
        <f t="shared" si="41"/>
        <v>451475.13</v>
      </c>
      <c r="M105" s="26"/>
      <c r="N105" s="26">
        <v>451475.13</v>
      </c>
      <c r="O105" s="26">
        <f>N105</f>
        <v>451475.13</v>
      </c>
      <c r="P105" s="35">
        <f t="shared" si="42"/>
        <v>0.1831583905312241</v>
      </c>
      <c r="Q105" s="26">
        <f t="shared" si="43"/>
        <v>-2013468.62</v>
      </c>
    </row>
    <row r="106" spans="1:17" s="29" customFormat="1" ht="41.4" x14ac:dyDescent="0.25">
      <c r="A106" s="33">
        <v>1216013</v>
      </c>
      <c r="B106" s="33">
        <v>6013</v>
      </c>
      <c r="C106" s="41" t="s">
        <v>20</v>
      </c>
      <c r="D106" s="37" t="s">
        <v>367</v>
      </c>
      <c r="E106" s="37">
        <v>68</v>
      </c>
      <c r="F106" s="32" t="s">
        <v>256</v>
      </c>
      <c r="G106" s="33" t="s">
        <v>307</v>
      </c>
      <c r="H106" s="34">
        <f t="shared" ref="H106" si="62">I106+J106</f>
        <v>4148102</v>
      </c>
      <c r="I106" s="34">
        <v>4148102</v>
      </c>
      <c r="J106" s="34"/>
      <c r="K106" s="34">
        <f>J106</f>
        <v>0</v>
      </c>
      <c r="L106" s="34">
        <f t="shared" ref="L106" si="63">M106+N106</f>
        <v>0</v>
      </c>
      <c r="M106" s="26"/>
      <c r="N106" s="26"/>
      <c r="O106" s="26">
        <f>N106</f>
        <v>0</v>
      </c>
      <c r="P106" s="35">
        <f t="shared" ref="P106" si="64">L106/H106</f>
        <v>0</v>
      </c>
      <c r="Q106" s="26">
        <f t="shared" ref="Q106" si="65">L106-H106</f>
        <v>-4148102</v>
      </c>
    </row>
    <row r="107" spans="1:17" s="36" customFormat="1" ht="41.4" x14ac:dyDescent="0.25">
      <c r="A107" s="30" t="s">
        <v>118</v>
      </c>
      <c r="B107" s="30" t="s">
        <v>119</v>
      </c>
      <c r="C107" s="30" t="s">
        <v>20</v>
      </c>
      <c r="D107" s="43" t="s">
        <v>120</v>
      </c>
      <c r="E107" s="43">
        <v>9</v>
      </c>
      <c r="F107" s="32" t="s">
        <v>203</v>
      </c>
      <c r="G107" s="33" t="s">
        <v>201</v>
      </c>
      <c r="H107" s="34">
        <f t="shared" si="61"/>
        <v>5250356.25</v>
      </c>
      <c r="I107" s="34">
        <v>149899</v>
      </c>
      <c r="J107" s="34">
        <v>5100457.25</v>
      </c>
      <c r="K107" s="34">
        <v>5100457.25</v>
      </c>
      <c r="L107" s="34">
        <f t="shared" si="41"/>
        <v>5048609.3</v>
      </c>
      <c r="M107" s="34"/>
      <c r="N107" s="34">
        <v>5048609.3</v>
      </c>
      <c r="O107" s="34">
        <v>5048609.3</v>
      </c>
      <c r="P107" s="35">
        <f t="shared" si="42"/>
        <v>0.96157461696051572</v>
      </c>
      <c r="Q107" s="26">
        <f t="shared" si="43"/>
        <v>-201746.95000000019</v>
      </c>
    </row>
    <row r="108" spans="1:17" s="36" customFormat="1" ht="69" x14ac:dyDescent="0.25">
      <c r="A108" s="30" t="s">
        <v>118</v>
      </c>
      <c r="B108" s="30" t="s">
        <v>119</v>
      </c>
      <c r="C108" s="30" t="s">
        <v>20</v>
      </c>
      <c r="D108" s="43" t="s">
        <v>120</v>
      </c>
      <c r="E108" s="43">
        <v>40</v>
      </c>
      <c r="F108" s="32" t="s">
        <v>280</v>
      </c>
      <c r="G108" s="33" t="s">
        <v>311</v>
      </c>
      <c r="H108" s="34">
        <f t="shared" si="61"/>
        <v>1705579</v>
      </c>
      <c r="I108" s="34"/>
      <c r="J108" s="34">
        <v>1705579</v>
      </c>
      <c r="K108" s="34">
        <f>J108</f>
        <v>1705579</v>
      </c>
      <c r="L108" s="34">
        <f t="shared" si="41"/>
        <v>1705578.38</v>
      </c>
      <c r="M108" s="34"/>
      <c r="N108" s="34">
        <v>1705578.38</v>
      </c>
      <c r="O108" s="34">
        <f>N108</f>
        <v>1705578.38</v>
      </c>
      <c r="P108" s="35">
        <f t="shared" si="42"/>
        <v>0.99999963648708146</v>
      </c>
      <c r="Q108" s="26">
        <f t="shared" si="43"/>
        <v>-0.62000000011175871</v>
      </c>
    </row>
    <row r="109" spans="1:17" s="36" customFormat="1" ht="69" x14ac:dyDescent="0.25">
      <c r="A109" s="30" t="s">
        <v>31</v>
      </c>
      <c r="B109" s="30" t="s">
        <v>54</v>
      </c>
      <c r="C109" s="30" t="s">
        <v>20</v>
      </c>
      <c r="D109" s="31" t="s">
        <v>55</v>
      </c>
      <c r="E109" s="31">
        <v>60</v>
      </c>
      <c r="F109" s="32" t="s">
        <v>281</v>
      </c>
      <c r="G109" s="33" t="s">
        <v>282</v>
      </c>
      <c r="H109" s="34">
        <f>I109+J109</f>
        <v>1095000</v>
      </c>
      <c r="I109" s="34"/>
      <c r="J109" s="34">
        <v>1095000</v>
      </c>
      <c r="K109" s="34">
        <v>1095000</v>
      </c>
      <c r="L109" s="34">
        <f t="shared" si="41"/>
        <v>70017.3</v>
      </c>
      <c r="M109" s="34"/>
      <c r="N109" s="34">
        <v>70017.3</v>
      </c>
      <c r="O109" s="34">
        <v>70017.3</v>
      </c>
      <c r="P109" s="35">
        <f t="shared" si="42"/>
        <v>6.3942739726027403E-2</v>
      </c>
      <c r="Q109" s="26">
        <f t="shared" si="43"/>
        <v>-1024982.7</v>
      </c>
    </row>
    <row r="110" spans="1:17" s="36" customFormat="1" ht="41.4" x14ac:dyDescent="0.25">
      <c r="A110" s="30" t="s">
        <v>31</v>
      </c>
      <c r="B110" s="30" t="s">
        <v>54</v>
      </c>
      <c r="C110" s="30" t="s">
        <v>20</v>
      </c>
      <c r="D110" s="31" t="s">
        <v>55</v>
      </c>
      <c r="E110" s="31">
        <v>68</v>
      </c>
      <c r="F110" s="32" t="s">
        <v>256</v>
      </c>
      <c r="G110" s="33" t="s">
        <v>307</v>
      </c>
      <c r="H110" s="34">
        <f t="shared" ref="H110:H121" si="66">I110+J110</f>
        <v>2051830</v>
      </c>
      <c r="I110" s="34">
        <v>2051830</v>
      </c>
      <c r="J110" s="34"/>
      <c r="K110" s="34"/>
      <c r="L110" s="34">
        <f t="shared" si="41"/>
        <v>1304366.3700000001</v>
      </c>
      <c r="M110" s="34">
        <v>1304366.3700000001</v>
      </c>
      <c r="N110" s="34"/>
      <c r="O110" s="34"/>
      <c r="P110" s="35">
        <f t="shared" si="42"/>
        <v>0.63570879166402683</v>
      </c>
      <c r="Q110" s="26">
        <f t="shared" si="43"/>
        <v>-747463.62999999989</v>
      </c>
    </row>
    <row r="111" spans="1:17" s="36" customFormat="1" ht="41.4" x14ac:dyDescent="0.25">
      <c r="A111" s="30" t="s">
        <v>19</v>
      </c>
      <c r="B111" s="30" t="s">
        <v>53</v>
      </c>
      <c r="C111" s="30" t="s">
        <v>20</v>
      </c>
      <c r="D111" s="43" t="s">
        <v>30</v>
      </c>
      <c r="E111" s="43">
        <v>68</v>
      </c>
      <c r="F111" s="32" t="s">
        <v>256</v>
      </c>
      <c r="G111" s="33" t="s">
        <v>307</v>
      </c>
      <c r="H111" s="34">
        <f t="shared" si="66"/>
        <v>87863953</v>
      </c>
      <c r="I111" s="34">
        <f>43787453+20070000+22881000</f>
        <v>86738453</v>
      </c>
      <c r="J111" s="34">
        <f>873500+252000</f>
        <v>1125500</v>
      </c>
      <c r="K111" s="34">
        <v>1125500</v>
      </c>
      <c r="L111" s="34">
        <f t="shared" si="41"/>
        <v>60097816.560000002</v>
      </c>
      <c r="M111" s="34">
        <f>33204809.77+13902608.7+12704846.34</f>
        <v>59812264.810000002</v>
      </c>
      <c r="N111" s="34">
        <v>285551.75</v>
      </c>
      <c r="O111" s="34">
        <f>N111</f>
        <v>285551.75</v>
      </c>
      <c r="P111" s="35">
        <f t="shared" si="42"/>
        <v>0.68398717002864651</v>
      </c>
      <c r="Q111" s="26">
        <f t="shared" si="43"/>
        <v>-27766136.439999998</v>
      </c>
    </row>
    <row r="112" spans="1:17" s="36" customFormat="1" ht="41.4" x14ac:dyDescent="0.25">
      <c r="A112" s="33">
        <v>1216091</v>
      </c>
      <c r="B112" s="33">
        <v>6091</v>
      </c>
      <c r="C112" s="41" t="s">
        <v>236</v>
      </c>
      <c r="D112" s="37" t="s">
        <v>298</v>
      </c>
      <c r="E112" s="43">
        <v>68</v>
      </c>
      <c r="F112" s="32" t="s">
        <v>256</v>
      </c>
      <c r="G112" s="33" t="s">
        <v>307</v>
      </c>
      <c r="H112" s="34">
        <f t="shared" si="66"/>
        <v>6700000</v>
      </c>
      <c r="I112" s="34"/>
      <c r="J112" s="34">
        <v>6700000</v>
      </c>
      <c r="K112" s="34">
        <f>J112</f>
        <v>6700000</v>
      </c>
      <c r="L112" s="34">
        <f t="shared" si="41"/>
        <v>2929300.02</v>
      </c>
      <c r="M112" s="34"/>
      <c r="N112" s="34">
        <v>2929300.02</v>
      </c>
      <c r="O112" s="34">
        <f>N112</f>
        <v>2929300.02</v>
      </c>
      <c r="P112" s="35">
        <f t="shared" si="42"/>
        <v>0.43720895820895522</v>
      </c>
      <c r="Q112" s="26">
        <f t="shared" si="43"/>
        <v>-3770699.98</v>
      </c>
    </row>
    <row r="113" spans="1:17" s="36" customFormat="1" ht="69" x14ac:dyDescent="0.25">
      <c r="A113" s="33">
        <v>1216091</v>
      </c>
      <c r="B113" s="33">
        <v>6091</v>
      </c>
      <c r="C113" s="41" t="s">
        <v>236</v>
      </c>
      <c r="D113" s="37" t="s">
        <v>298</v>
      </c>
      <c r="E113" s="43">
        <v>40</v>
      </c>
      <c r="F113" s="32" t="s">
        <v>280</v>
      </c>
      <c r="G113" s="33" t="s">
        <v>311</v>
      </c>
      <c r="H113" s="34">
        <f t="shared" si="66"/>
        <v>159841</v>
      </c>
      <c r="I113" s="34"/>
      <c r="J113" s="34">
        <v>159841</v>
      </c>
      <c r="K113" s="34">
        <f>J113</f>
        <v>159841</v>
      </c>
      <c r="L113" s="34">
        <f t="shared" si="41"/>
        <v>0</v>
      </c>
      <c r="M113" s="34"/>
      <c r="N113" s="34"/>
      <c r="O113" s="34"/>
      <c r="P113" s="35">
        <f t="shared" si="42"/>
        <v>0</v>
      </c>
      <c r="Q113" s="26">
        <f t="shared" si="43"/>
        <v>-159841</v>
      </c>
    </row>
    <row r="114" spans="1:17" s="36" customFormat="1" ht="55.2" x14ac:dyDescent="0.25">
      <c r="A114" s="30" t="s">
        <v>287</v>
      </c>
      <c r="B114" s="30" t="s">
        <v>283</v>
      </c>
      <c r="C114" s="41" t="s">
        <v>236</v>
      </c>
      <c r="D114" s="37" t="s">
        <v>284</v>
      </c>
      <c r="E114" s="37">
        <v>17</v>
      </c>
      <c r="F114" s="32" t="s">
        <v>153</v>
      </c>
      <c r="G114" s="33" t="s">
        <v>173</v>
      </c>
      <c r="H114" s="34">
        <f t="shared" si="66"/>
        <v>37755</v>
      </c>
      <c r="I114" s="34">
        <v>37755</v>
      </c>
      <c r="J114" s="34"/>
      <c r="K114" s="34"/>
      <c r="L114" s="34">
        <f t="shared" si="41"/>
        <v>37754.870000000003</v>
      </c>
      <c r="M114" s="34">
        <v>37754.870000000003</v>
      </c>
      <c r="N114" s="34"/>
      <c r="O114" s="34"/>
      <c r="P114" s="35">
        <f t="shared" si="42"/>
        <v>0.99999655674745069</v>
      </c>
      <c r="Q114" s="26">
        <f t="shared" si="43"/>
        <v>-0.12999999999738066</v>
      </c>
    </row>
    <row r="115" spans="1:17" s="36" customFormat="1" ht="41.4" x14ac:dyDescent="0.25">
      <c r="A115" s="33">
        <v>1217130</v>
      </c>
      <c r="B115" s="33">
        <v>7130</v>
      </c>
      <c r="C115" s="41" t="s">
        <v>341</v>
      </c>
      <c r="D115" s="37" t="s">
        <v>342</v>
      </c>
      <c r="E115" s="37">
        <v>76</v>
      </c>
      <c r="F115" s="32" t="s">
        <v>338</v>
      </c>
      <c r="G115" s="33" t="s">
        <v>344</v>
      </c>
      <c r="H115" s="34">
        <f t="shared" si="66"/>
        <v>180000</v>
      </c>
      <c r="I115" s="34">
        <v>180000</v>
      </c>
      <c r="J115" s="34"/>
      <c r="K115" s="34"/>
      <c r="L115" s="34">
        <f t="shared" si="41"/>
        <v>0</v>
      </c>
      <c r="M115" s="34"/>
      <c r="N115" s="34"/>
      <c r="O115" s="34"/>
      <c r="P115" s="35">
        <f t="shared" si="42"/>
        <v>0</v>
      </c>
      <c r="Q115" s="26">
        <f t="shared" si="43"/>
        <v>-180000</v>
      </c>
    </row>
    <row r="116" spans="1:17" s="36" customFormat="1" ht="41.4" x14ac:dyDescent="0.25">
      <c r="A116" s="30" t="s">
        <v>288</v>
      </c>
      <c r="B116" s="30" t="s">
        <v>56</v>
      </c>
      <c r="C116" s="30" t="s">
        <v>32</v>
      </c>
      <c r="D116" s="31" t="s">
        <v>33</v>
      </c>
      <c r="E116" s="31">
        <v>68</v>
      </c>
      <c r="F116" s="32" t="s">
        <v>256</v>
      </c>
      <c r="G116" s="33" t="s">
        <v>307</v>
      </c>
      <c r="H116" s="34">
        <f t="shared" si="66"/>
        <v>30000000</v>
      </c>
      <c r="I116" s="34">
        <v>30000000</v>
      </c>
      <c r="J116" s="34"/>
      <c r="K116" s="34"/>
      <c r="L116" s="34">
        <f t="shared" si="41"/>
        <v>18917006.399999999</v>
      </c>
      <c r="M116" s="34">
        <v>18917006.399999999</v>
      </c>
      <c r="N116" s="34"/>
      <c r="O116" s="34"/>
      <c r="P116" s="35">
        <f t="shared" si="42"/>
        <v>0.63056687999999994</v>
      </c>
      <c r="Q116" s="26">
        <f t="shared" si="43"/>
        <v>-11082993.600000001</v>
      </c>
    </row>
    <row r="117" spans="1:17" s="36" customFormat="1" ht="41.4" x14ac:dyDescent="0.25">
      <c r="A117" s="30" t="s">
        <v>233</v>
      </c>
      <c r="B117" s="30" t="s">
        <v>229</v>
      </c>
      <c r="C117" s="30" t="s">
        <v>230</v>
      </c>
      <c r="D117" s="31" t="s">
        <v>259</v>
      </c>
      <c r="E117" s="31">
        <v>61</v>
      </c>
      <c r="F117" s="32" t="s">
        <v>258</v>
      </c>
      <c r="G117" s="33" t="s">
        <v>308</v>
      </c>
      <c r="H117" s="34">
        <f t="shared" si="66"/>
        <v>524300</v>
      </c>
      <c r="I117" s="34">
        <v>488300</v>
      </c>
      <c r="J117" s="34">
        <v>36000</v>
      </c>
      <c r="K117" s="34">
        <v>36000</v>
      </c>
      <c r="L117" s="34">
        <f t="shared" si="41"/>
        <v>12648</v>
      </c>
      <c r="M117" s="34">
        <v>12648</v>
      </c>
      <c r="N117" s="34"/>
      <c r="O117" s="34"/>
      <c r="P117" s="35">
        <f t="shared" si="42"/>
        <v>2.4123593362578678E-2</v>
      </c>
      <c r="Q117" s="26">
        <f t="shared" si="43"/>
        <v>-511652</v>
      </c>
    </row>
    <row r="118" spans="1:17" s="36" customFormat="1" ht="69" x14ac:dyDescent="0.25">
      <c r="A118" s="30" t="s">
        <v>348</v>
      </c>
      <c r="B118" s="30" t="s">
        <v>262</v>
      </c>
      <c r="C118" s="41" t="s">
        <v>21</v>
      </c>
      <c r="D118" s="37" t="s">
        <v>286</v>
      </c>
      <c r="E118" s="37">
        <v>40</v>
      </c>
      <c r="F118" s="32" t="s">
        <v>280</v>
      </c>
      <c r="G118" s="33" t="s">
        <v>311</v>
      </c>
      <c r="H118" s="34">
        <f t="shared" si="66"/>
        <v>522900</v>
      </c>
      <c r="I118" s="34"/>
      <c r="J118" s="34">
        <v>522900</v>
      </c>
      <c r="K118" s="34">
        <f>J118</f>
        <v>522900</v>
      </c>
      <c r="L118" s="34">
        <f t="shared" si="41"/>
        <v>0</v>
      </c>
      <c r="M118" s="34"/>
      <c r="N118" s="34"/>
      <c r="O118" s="34"/>
      <c r="P118" s="35">
        <f t="shared" si="42"/>
        <v>0</v>
      </c>
      <c r="Q118" s="26">
        <f t="shared" si="43"/>
        <v>-522900</v>
      </c>
    </row>
    <row r="119" spans="1:17" s="36" customFormat="1" ht="41.4" x14ac:dyDescent="0.25">
      <c r="A119" s="30" t="s">
        <v>289</v>
      </c>
      <c r="B119" s="41" t="s">
        <v>285</v>
      </c>
      <c r="C119" s="41" t="s">
        <v>21</v>
      </c>
      <c r="D119" s="37" t="s">
        <v>286</v>
      </c>
      <c r="E119" s="37">
        <v>67</v>
      </c>
      <c r="F119" s="32" t="s">
        <v>234</v>
      </c>
      <c r="G119" s="33" t="s">
        <v>312</v>
      </c>
      <c r="H119" s="34">
        <f t="shared" si="66"/>
        <v>2650510</v>
      </c>
      <c r="I119" s="34"/>
      <c r="J119" s="34">
        <f>1460000+600000+590510</f>
        <v>2650510</v>
      </c>
      <c r="K119" s="34">
        <f>2060000-9490+600000</f>
        <v>2650510</v>
      </c>
      <c r="L119" s="34">
        <f t="shared" si="41"/>
        <v>2650506.6</v>
      </c>
      <c r="M119" s="34"/>
      <c r="N119" s="34">
        <f>1459999.8+590506.8+600000</f>
        <v>2650506.6</v>
      </c>
      <c r="O119" s="34">
        <f>N119</f>
        <v>2650506.6</v>
      </c>
      <c r="P119" s="35">
        <f t="shared" si="42"/>
        <v>0.99999871722800526</v>
      </c>
      <c r="Q119" s="26">
        <f t="shared" si="43"/>
        <v>-3.3999999999068677</v>
      </c>
    </row>
    <row r="120" spans="1:17" s="36" customFormat="1" ht="82.8" x14ac:dyDescent="0.25">
      <c r="A120" s="41" t="s">
        <v>291</v>
      </c>
      <c r="B120" s="41" t="s">
        <v>290</v>
      </c>
      <c r="C120" s="41" t="s">
        <v>21</v>
      </c>
      <c r="D120" s="37" t="s">
        <v>292</v>
      </c>
      <c r="E120" s="37">
        <v>40</v>
      </c>
      <c r="F120" s="32" t="s">
        <v>280</v>
      </c>
      <c r="G120" s="33" t="s">
        <v>311</v>
      </c>
      <c r="H120" s="34">
        <f t="shared" si="66"/>
        <v>612787.05000000005</v>
      </c>
      <c r="I120" s="34"/>
      <c r="J120" s="34">
        <v>612787.05000000005</v>
      </c>
      <c r="K120" s="34"/>
      <c r="L120" s="34">
        <v>227752.19</v>
      </c>
      <c r="M120" s="34"/>
      <c r="N120" s="34">
        <v>227752.19</v>
      </c>
      <c r="O120" s="34"/>
      <c r="P120" s="35">
        <f t="shared" si="42"/>
        <v>0.3716661277355649</v>
      </c>
      <c r="Q120" s="26">
        <f t="shared" si="43"/>
        <v>-385034.86000000004</v>
      </c>
    </row>
    <row r="121" spans="1:17" s="36" customFormat="1" ht="41.4" x14ac:dyDescent="0.25">
      <c r="A121" s="30" t="s">
        <v>185</v>
      </c>
      <c r="B121" s="30" t="s">
        <v>34</v>
      </c>
      <c r="C121" s="30" t="s">
        <v>21</v>
      </c>
      <c r="D121" s="43" t="s">
        <v>51</v>
      </c>
      <c r="E121" s="43">
        <v>67</v>
      </c>
      <c r="F121" s="32" t="s">
        <v>234</v>
      </c>
      <c r="G121" s="33" t="s">
        <v>312</v>
      </c>
      <c r="H121" s="34">
        <f t="shared" si="66"/>
        <v>58708910</v>
      </c>
      <c r="I121" s="34">
        <v>58708910</v>
      </c>
      <c r="J121" s="34"/>
      <c r="K121" s="34"/>
      <c r="L121" s="34">
        <f t="shared" si="41"/>
        <v>53397030.560000002</v>
      </c>
      <c r="M121" s="34">
        <f>1877030.56+30000000+21520000</f>
        <v>53397030.560000002</v>
      </c>
      <c r="N121" s="34"/>
      <c r="O121" s="34"/>
      <c r="P121" s="35">
        <f t="shared" si="42"/>
        <v>0.90952174993540169</v>
      </c>
      <c r="Q121" s="26">
        <f t="shared" si="43"/>
        <v>-5311879.4399999976</v>
      </c>
    </row>
    <row r="122" spans="1:17" s="36" customFormat="1" ht="41.4" x14ac:dyDescent="0.25">
      <c r="A122" s="33">
        <v>1218110</v>
      </c>
      <c r="B122" s="33">
        <v>8110</v>
      </c>
      <c r="C122" s="41" t="s">
        <v>162</v>
      </c>
      <c r="D122" s="37" t="s">
        <v>163</v>
      </c>
      <c r="E122" s="37">
        <v>17</v>
      </c>
      <c r="F122" s="32" t="s">
        <v>153</v>
      </c>
      <c r="G122" s="33" t="s">
        <v>173</v>
      </c>
      <c r="H122" s="34">
        <f>I122+J122</f>
        <v>3446665</v>
      </c>
      <c r="I122" s="34">
        <f>2808300+310000</f>
        <v>3118300</v>
      </c>
      <c r="J122" s="34">
        <v>328365</v>
      </c>
      <c r="K122" s="34">
        <f>J122</f>
        <v>328365</v>
      </c>
      <c r="L122" s="34">
        <f t="shared" si="41"/>
        <v>1405120.1700000002</v>
      </c>
      <c r="M122" s="34">
        <f>883269.02+193486.85</f>
        <v>1076755.8700000001</v>
      </c>
      <c r="N122" s="34">
        <v>328364.3</v>
      </c>
      <c r="O122" s="34">
        <f>N122</f>
        <v>328364.3</v>
      </c>
      <c r="P122" s="35">
        <f t="shared" si="42"/>
        <v>0.40767529481397241</v>
      </c>
      <c r="Q122" s="26">
        <f t="shared" si="43"/>
        <v>-2041544.8299999998</v>
      </c>
    </row>
    <row r="123" spans="1:17" s="36" customFormat="1" ht="55.2" x14ac:dyDescent="0.25">
      <c r="A123" s="30" t="s">
        <v>306</v>
      </c>
      <c r="B123" s="30" t="s">
        <v>155</v>
      </c>
      <c r="C123" s="41" t="s">
        <v>83</v>
      </c>
      <c r="D123" s="37" t="s">
        <v>156</v>
      </c>
      <c r="E123" s="48">
        <v>66</v>
      </c>
      <c r="F123" s="49" t="s">
        <v>257</v>
      </c>
      <c r="G123" s="33" t="s">
        <v>309</v>
      </c>
      <c r="H123" s="34">
        <f>I123+J123</f>
        <v>94000</v>
      </c>
      <c r="I123" s="34"/>
      <c r="J123" s="34">
        <f>200000-106000</f>
        <v>94000</v>
      </c>
      <c r="K123" s="34">
        <f>200000-106000</f>
        <v>94000</v>
      </c>
      <c r="L123" s="34">
        <f t="shared" si="41"/>
        <v>93945</v>
      </c>
      <c r="M123" s="34"/>
      <c r="N123" s="34">
        <v>93945</v>
      </c>
      <c r="O123" s="34">
        <v>93945</v>
      </c>
      <c r="P123" s="35">
        <f t="shared" si="42"/>
        <v>0.99941489361702129</v>
      </c>
      <c r="Q123" s="26">
        <f t="shared" si="43"/>
        <v>-55</v>
      </c>
    </row>
    <row r="124" spans="1:17" s="36" customFormat="1" ht="55.2" x14ac:dyDescent="0.25">
      <c r="A124" s="30" t="s">
        <v>368</v>
      </c>
      <c r="B124" s="30" t="s">
        <v>86</v>
      </c>
      <c r="C124" s="30" t="s">
        <v>87</v>
      </c>
      <c r="D124" s="43" t="s">
        <v>88</v>
      </c>
      <c r="E124" s="50">
        <v>56</v>
      </c>
      <c r="F124" s="49" t="s">
        <v>214</v>
      </c>
      <c r="G124" s="33" t="s">
        <v>310</v>
      </c>
      <c r="H124" s="34">
        <f>I124+J124</f>
        <v>1133700</v>
      </c>
      <c r="I124" s="34"/>
      <c r="J124" s="34">
        <v>1133700</v>
      </c>
      <c r="K124" s="34"/>
      <c r="L124" s="34">
        <f t="shared" ref="L124" si="67">M124+N124</f>
        <v>0</v>
      </c>
      <c r="M124" s="34"/>
      <c r="N124" s="34"/>
      <c r="O124" s="34"/>
      <c r="P124" s="35">
        <f t="shared" ref="P124" si="68">L124/H124</f>
        <v>0</v>
      </c>
      <c r="Q124" s="26">
        <f t="shared" ref="Q124" si="69">L124-H124</f>
        <v>-1133700</v>
      </c>
    </row>
    <row r="125" spans="1:17" s="36" customFormat="1" ht="13.8" x14ac:dyDescent="0.25">
      <c r="A125" s="57" t="s">
        <v>238</v>
      </c>
      <c r="B125" s="57" t="s">
        <v>208</v>
      </c>
      <c r="C125" s="57" t="s">
        <v>208</v>
      </c>
      <c r="D125" s="99" t="s">
        <v>239</v>
      </c>
      <c r="E125" s="100"/>
      <c r="F125" s="101"/>
      <c r="G125" s="33"/>
      <c r="H125" s="26">
        <f>H126</f>
        <v>165232761.63</v>
      </c>
      <c r="I125" s="26">
        <f t="shared" ref="I125:O125" si="70">I126</f>
        <v>70300</v>
      </c>
      <c r="J125" s="26">
        <f t="shared" si="70"/>
        <v>165162461.63</v>
      </c>
      <c r="K125" s="26">
        <f t="shared" si="70"/>
        <v>165162461.63</v>
      </c>
      <c r="L125" s="26">
        <f>L126</f>
        <v>54941912.689999998</v>
      </c>
      <c r="M125" s="26">
        <f t="shared" si="70"/>
        <v>42509</v>
      </c>
      <c r="N125" s="26">
        <f t="shared" si="70"/>
        <v>54899403.689999998</v>
      </c>
      <c r="O125" s="26">
        <f t="shared" si="70"/>
        <v>54899403.689999998</v>
      </c>
      <c r="P125" s="52">
        <f t="shared" si="42"/>
        <v>0.33251222183787937</v>
      </c>
      <c r="Q125" s="26">
        <f t="shared" si="43"/>
        <v>-110290848.94</v>
      </c>
    </row>
    <row r="126" spans="1:17" s="36" customFormat="1" ht="13.8" x14ac:dyDescent="0.25">
      <c r="A126" s="57" t="s">
        <v>240</v>
      </c>
      <c r="B126" s="57" t="s">
        <v>208</v>
      </c>
      <c r="C126" s="57" t="s">
        <v>208</v>
      </c>
      <c r="D126" s="99" t="s">
        <v>239</v>
      </c>
      <c r="E126" s="100"/>
      <c r="F126" s="101"/>
      <c r="G126" s="33"/>
      <c r="H126" s="26">
        <f>SUM(H127:H134)</f>
        <v>165232761.63</v>
      </c>
      <c r="I126" s="26">
        <f t="shared" ref="I126:K126" si="71">SUM(I127:I134)</f>
        <v>70300</v>
      </c>
      <c r="J126" s="26">
        <f t="shared" si="71"/>
        <v>165162461.63</v>
      </c>
      <c r="K126" s="26">
        <f t="shared" si="71"/>
        <v>165162461.63</v>
      </c>
      <c r="L126" s="26">
        <f>SUM(L127:L134)</f>
        <v>54941912.689999998</v>
      </c>
      <c r="M126" s="26">
        <f t="shared" ref="M126:O126" si="72">SUM(M127:M134)</f>
        <v>42509</v>
      </c>
      <c r="N126" s="26">
        <f t="shared" si="72"/>
        <v>54899403.689999998</v>
      </c>
      <c r="O126" s="26">
        <f t="shared" si="72"/>
        <v>54899403.689999998</v>
      </c>
      <c r="P126" s="52">
        <f t="shared" si="42"/>
        <v>0.33251222183787937</v>
      </c>
      <c r="Q126" s="26">
        <f t="shared" si="43"/>
        <v>-110290848.94</v>
      </c>
    </row>
    <row r="127" spans="1:17" s="36" customFormat="1" ht="41.4" x14ac:dyDescent="0.25">
      <c r="A127" s="33">
        <v>1511300</v>
      </c>
      <c r="B127" s="41" t="s">
        <v>293</v>
      </c>
      <c r="C127" s="41" t="s">
        <v>275</v>
      </c>
      <c r="D127" s="37" t="s">
        <v>294</v>
      </c>
      <c r="E127" s="37">
        <v>17</v>
      </c>
      <c r="F127" s="32" t="s">
        <v>153</v>
      </c>
      <c r="G127" s="33" t="s">
        <v>173</v>
      </c>
      <c r="H127" s="34">
        <f t="shared" ref="H127:H132" si="73">I127+J127</f>
        <v>92684716</v>
      </c>
      <c r="I127" s="26"/>
      <c r="J127" s="34">
        <v>92684716</v>
      </c>
      <c r="K127" s="34">
        <f>J127</f>
        <v>92684716</v>
      </c>
      <c r="L127" s="34">
        <f t="shared" si="41"/>
        <v>23168287.52</v>
      </c>
      <c r="M127" s="34"/>
      <c r="N127" s="34">
        <v>23168287.52</v>
      </c>
      <c r="O127" s="34">
        <f>N127</f>
        <v>23168287.52</v>
      </c>
      <c r="P127" s="35">
        <f t="shared" si="42"/>
        <v>0.24996880305486396</v>
      </c>
      <c r="Q127" s="26">
        <f t="shared" si="43"/>
        <v>-69516428.480000004</v>
      </c>
    </row>
    <row r="128" spans="1:17" s="36" customFormat="1" ht="41.4" x14ac:dyDescent="0.25">
      <c r="A128" s="33">
        <v>1512171</v>
      </c>
      <c r="B128" s="41" t="s">
        <v>295</v>
      </c>
      <c r="C128" s="41" t="s">
        <v>72</v>
      </c>
      <c r="D128" s="37" t="s">
        <v>296</v>
      </c>
      <c r="E128" s="37">
        <v>17</v>
      </c>
      <c r="F128" s="32" t="s">
        <v>153</v>
      </c>
      <c r="G128" s="33" t="s">
        <v>173</v>
      </c>
      <c r="H128" s="34">
        <f t="shared" si="73"/>
        <v>7550000</v>
      </c>
      <c r="I128" s="26"/>
      <c r="J128" s="34">
        <v>7550000</v>
      </c>
      <c r="K128" s="34">
        <f>J128</f>
        <v>7550000</v>
      </c>
      <c r="L128" s="34">
        <f t="shared" si="41"/>
        <v>499270.91</v>
      </c>
      <c r="M128" s="34"/>
      <c r="N128" s="34">
        <v>499270.91</v>
      </c>
      <c r="O128" s="34">
        <v>499270.91</v>
      </c>
      <c r="P128" s="35">
        <f t="shared" si="42"/>
        <v>6.6128597350993371E-2</v>
      </c>
      <c r="Q128" s="26">
        <f t="shared" si="43"/>
        <v>-7050729.0899999999</v>
      </c>
    </row>
    <row r="129" spans="1:17" s="36" customFormat="1" ht="55.2" x14ac:dyDescent="0.25">
      <c r="A129" s="33">
        <v>1516015</v>
      </c>
      <c r="B129" s="41" t="s">
        <v>119</v>
      </c>
      <c r="C129" s="41" t="s">
        <v>20</v>
      </c>
      <c r="D129" s="37" t="s">
        <v>120</v>
      </c>
      <c r="E129" s="58">
        <v>20</v>
      </c>
      <c r="F129" s="59" t="s">
        <v>303</v>
      </c>
      <c r="G129" s="33" t="s">
        <v>304</v>
      </c>
      <c r="H129" s="34">
        <f t="shared" si="73"/>
        <v>1122000</v>
      </c>
      <c r="I129" s="26"/>
      <c r="J129" s="34">
        <v>1122000</v>
      </c>
      <c r="K129" s="34">
        <f>J129</f>
        <v>1122000</v>
      </c>
      <c r="L129" s="34">
        <f t="shared" si="41"/>
        <v>1122000</v>
      </c>
      <c r="M129" s="34"/>
      <c r="N129" s="34">
        <v>1122000</v>
      </c>
      <c r="O129" s="34">
        <f>N129</f>
        <v>1122000</v>
      </c>
      <c r="P129" s="35">
        <f t="shared" si="42"/>
        <v>1</v>
      </c>
      <c r="Q129" s="26">
        <f t="shared" si="43"/>
        <v>0</v>
      </c>
    </row>
    <row r="130" spans="1:17" s="36" customFormat="1" ht="41.4" x14ac:dyDescent="0.25">
      <c r="A130" s="33">
        <v>1516091</v>
      </c>
      <c r="B130" s="41" t="s">
        <v>297</v>
      </c>
      <c r="C130" s="41" t="s">
        <v>236</v>
      </c>
      <c r="D130" s="37" t="s">
        <v>298</v>
      </c>
      <c r="E130" s="37">
        <v>68</v>
      </c>
      <c r="F130" s="32" t="s">
        <v>256</v>
      </c>
      <c r="G130" s="33" t="s">
        <v>307</v>
      </c>
      <c r="H130" s="34">
        <f t="shared" si="73"/>
        <v>26078130.010000002</v>
      </c>
      <c r="I130" s="26"/>
      <c r="J130" s="34">
        <v>26078130.010000002</v>
      </c>
      <c r="K130" s="34">
        <f>J130</f>
        <v>26078130.010000002</v>
      </c>
      <c r="L130" s="34">
        <f t="shared" si="41"/>
        <v>5070219.79</v>
      </c>
      <c r="M130" s="34"/>
      <c r="N130" s="34">
        <f>926968.8+4143250.99</f>
        <v>5070219.79</v>
      </c>
      <c r="O130" s="34">
        <f>N130</f>
        <v>5070219.79</v>
      </c>
      <c r="P130" s="35">
        <f t="shared" si="42"/>
        <v>0.19442420863979731</v>
      </c>
      <c r="Q130" s="26">
        <f t="shared" si="43"/>
        <v>-21007910.220000003</v>
      </c>
    </row>
    <row r="131" spans="1:17" s="36" customFormat="1" ht="41.4" x14ac:dyDescent="0.25">
      <c r="A131" s="33">
        <v>1517368</v>
      </c>
      <c r="B131" s="41" t="s">
        <v>299</v>
      </c>
      <c r="C131" s="41" t="s">
        <v>21</v>
      </c>
      <c r="D131" s="37" t="s">
        <v>300</v>
      </c>
      <c r="E131" s="37">
        <v>17</v>
      </c>
      <c r="F131" s="32" t="s">
        <v>153</v>
      </c>
      <c r="G131" s="33" t="s">
        <v>173</v>
      </c>
      <c r="H131" s="34">
        <f t="shared" si="73"/>
        <v>15815727.619999999</v>
      </c>
      <c r="I131" s="26"/>
      <c r="J131" s="34">
        <v>15815727.619999999</v>
      </c>
      <c r="K131" s="34">
        <v>15815727.619999999</v>
      </c>
      <c r="L131" s="34">
        <f t="shared" si="41"/>
        <v>15806403.9</v>
      </c>
      <c r="M131" s="34"/>
      <c r="N131" s="34">
        <v>15806403.9</v>
      </c>
      <c r="O131" s="34">
        <f>N131</f>
        <v>15806403.9</v>
      </c>
      <c r="P131" s="35">
        <f t="shared" si="42"/>
        <v>0.99941047796067195</v>
      </c>
      <c r="Q131" s="26">
        <f t="shared" si="43"/>
        <v>-9323.7199999988079</v>
      </c>
    </row>
    <row r="132" spans="1:17" s="36" customFormat="1" ht="55.2" x14ac:dyDescent="0.25">
      <c r="A132" s="33">
        <v>1517370</v>
      </c>
      <c r="B132" s="41" t="s">
        <v>301</v>
      </c>
      <c r="C132" s="41" t="s">
        <v>21</v>
      </c>
      <c r="D132" s="37" t="s">
        <v>302</v>
      </c>
      <c r="E132" s="58">
        <v>20</v>
      </c>
      <c r="F132" s="59" t="s">
        <v>303</v>
      </c>
      <c r="G132" s="33" t="s">
        <v>304</v>
      </c>
      <c r="H132" s="34">
        <f t="shared" si="73"/>
        <v>19920588</v>
      </c>
      <c r="I132" s="26"/>
      <c r="J132" s="34">
        <v>19920588</v>
      </c>
      <c r="K132" s="34">
        <v>19920588</v>
      </c>
      <c r="L132" s="34">
        <f t="shared" si="41"/>
        <v>7865688.2199999997</v>
      </c>
      <c r="M132" s="34"/>
      <c r="N132" s="34">
        <v>7865688.2199999997</v>
      </c>
      <c r="O132" s="34">
        <v>7865688.2199999997</v>
      </c>
      <c r="P132" s="35">
        <f t="shared" si="42"/>
        <v>0.39485221118975</v>
      </c>
      <c r="Q132" s="26">
        <f t="shared" si="43"/>
        <v>-12054899.780000001</v>
      </c>
    </row>
    <row r="133" spans="1:17" s="36" customFormat="1" ht="41.4" x14ac:dyDescent="0.25">
      <c r="A133" s="33">
        <v>1517520</v>
      </c>
      <c r="B133" s="33">
        <v>7520</v>
      </c>
      <c r="C133" s="33">
        <v>460</v>
      </c>
      <c r="D133" s="31" t="s">
        <v>259</v>
      </c>
      <c r="E133" s="31">
        <v>61</v>
      </c>
      <c r="F133" s="32" t="s">
        <v>258</v>
      </c>
      <c r="G133" s="33" t="s">
        <v>308</v>
      </c>
      <c r="H133" s="34">
        <f t="shared" ref="H133:H134" si="74">I133+J133</f>
        <v>70300</v>
      </c>
      <c r="I133" s="34">
        <f>46300+24000</f>
        <v>70300</v>
      </c>
      <c r="J133" s="34"/>
      <c r="K133" s="34"/>
      <c r="L133" s="34">
        <f t="shared" si="41"/>
        <v>42509</v>
      </c>
      <c r="M133" s="34">
        <v>42509</v>
      </c>
      <c r="N133" s="34"/>
      <c r="O133" s="34"/>
      <c r="P133" s="35">
        <f t="shared" si="42"/>
        <v>0.60467994310099571</v>
      </c>
      <c r="Q133" s="26">
        <f t="shared" si="43"/>
        <v>-27791</v>
      </c>
    </row>
    <row r="134" spans="1:17" s="36" customFormat="1" ht="41.4" x14ac:dyDescent="0.25">
      <c r="A134" s="41" t="s">
        <v>305</v>
      </c>
      <c r="B134" s="41" t="s">
        <v>249</v>
      </c>
      <c r="C134" s="41" t="s">
        <v>162</v>
      </c>
      <c r="D134" s="37" t="s">
        <v>163</v>
      </c>
      <c r="E134" s="37">
        <v>17</v>
      </c>
      <c r="F134" s="32" t="s">
        <v>153</v>
      </c>
      <c r="G134" s="33" t="s">
        <v>173</v>
      </c>
      <c r="H134" s="34">
        <f t="shared" si="74"/>
        <v>1991300</v>
      </c>
      <c r="I134" s="34"/>
      <c r="J134" s="34">
        <v>1991300</v>
      </c>
      <c r="K134" s="34">
        <f>J134</f>
        <v>1991300</v>
      </c>
      <c r="L134" s="34">
        <f t="shared" si="41"/>
        <v>1367533.35</v>
      </c>
      <c r="M134" s="34"/>
      <c r="N134" s="34">
        <v>1367533.35</v>
      </c>
      <c r="O134" s="34">
        <f>N134</f>
        <v>1367533.35</v>
      </c>
      <c r="P134" s="35">
        <f t="shared" si="42"/>
        <v>0.68675405513985843</v>
      </c>
      <c r="Q134" s="26">
        <f t="shared" si="43"/>
        <v>-623766.64999999991</v>
      </c>
    </row>
    <row r="135" spans="1:17" s="36" customFormat="1" ht="33" customHeight="1" x14ac:dyDescent="0.25">
      <c r="A135" s="51" t="s">
        <v>38</v>
      </c>
      <c r="B135" s="51"/>
      <c r="C135" s="51"/>
      <c r="D135" s="102" t="s">
        <v>150</v>
      </c>
      <c r="E135" s="103"/>
      <c r="F135" s="104"/>
      <c r="G135" s="25"/>
      <c r="H135" s="26">
        <f t="shared" ref="H135:O135" si="75">H136</f>
        <v>23012700</v>
      </c>
      <c r="I135" s="26">
        <f t="shared" si="75"/>
        <v>23012700</v>
      </c>
      <c r="J135" s="26">
        <f t="shared" si="75"/>
        <v>0</v>
      </c>
      <c r="K135" s="26">
        <f t="shared" si="75"/>
        <v>0</v>
      </c>
      <c r="L135" s="26">
        <f t="shared" si="75"/>
        <v>15125113.940000001</v>
      </c>
      <c r="M135" s="26">
        <f t="shared" si="75"/>
        <v>15125113.940000001</v>
      </c>
      <c r="N135" s="26">
        <f t="shared" si="75"/>
        <v>0</v>
      </c>
      <c r="O135" s="26">
        <f t="shared" si="75"/>
        <v>0</v>
      </c>
      <c r="P135" s="52">
        <f t="shared" si="42"/>
        <v>0.6572507328562055</v>
      </c>
      <c r="Q135" s="26">
        <f t="shared" si="43"/>
        <v>-7887586.0599999987</v>
      </c>
    </row>
    <row r="136" spans="1:17" s="29" customFormat="1" ht="33" customHeight="1" x14ac:dyDescent="0.25">
      <c r="A136" s="51" t="s">
        <v>39</v>
      </c>
      <c r="B136" s="51"/>
      <c r="C136" s="51"/>
      <c r="D136" s="102" t="s">
        <v>150</v>
      </c>
      <c r="E136" s="103"/>
      <c r="F136" s="104"/>
      <c r="G136" s="25"/>
      <c r="H136" s="26">
        <f>SUM(H137:H141)</f>
        <v>23012700</v>
      </c>
      <c r="I136" s="26">
        <f>SUM(I137:I141)</f>
        <v>23012700</v>
      </c>
      <c r="J136" s="26">
        <f>SUM(J140:J141)</f>
        <v>0</v>
      </c>
      <c r="K136" s="26">
        <f>SUM(K140:K141)</f>
        <v>0</v>
      </c>
      <c r="L136" s="26">
        <f>SUM(L137:L141)</f>
        <v>15125113.940000001</v>
      </c>
      <c r="M136" s="26">
        <f>SUM(M137:M141)</f>
        <v>15125113.940000001</v>
      </c>
      <c r="N136" s="26">
        <f>SUM(N140:N141)</f>
        <v>0</v>
      </c>
      <c r="O136" s="26">
        <f>SUM(O140:O141)</f>
        <v>0</v>
      </c>
      <c r="P136" s="52">
        <f t="shared" si="42"/>
        <v>0.6572507328562055</v>
      </c>
      <c r="Q136" s="26">
        <f t="shared" si="43"/>
        <v>-7887586.0599999987</v>
      </c>
    </row>
    <row r="137" spans="1:17" s="29" customFormat="1" ht="82.8" x14ac:dyDescent="0.25">
      <c r="A137" s="41" t="s">
        <v>235</v>
      </c>
      <c r="B137" s="33">
        <v>6090</v>
      </c>
      <c r="C137" s="41" t="s">
        <v>236</v>
      </c>
      <c r="D137" s="37" t="s">
        <v>237</v>
      </c>
      <c r="E137" s="37">
        <v>45</v>
      </c>
      <c r="F137" s="37" t="s">
        <v>202</v>
      </c>
      <c r="G137" s="64" t="s">
        <v>205</v>
      </c>
      <c r="H137" s="34">
        <f t="shared" ref="H137:H139" si="76">I137+J137</f>
        <v>1500000</v>
      </c>
      <c r="I137" s="34">
        <v>1500000</v>
      </c>
      <c r="J137" s="26"/>
      <c r="K137" s="26"/>
      <c r="L137" s="34">
        <f t="shared" si="41"/>
        <v>1106230</v>
      </c>
      <c r="M137" s="34">
        <v>1106230</v>
      </c>
      <c r="N137" s="26"/>
      <c r="O137" s="26"/>
      <c r="P137" s="35">
        <f t="shared" si="42"/>
        <v>0.73748666666666662</v>
      </c>
      <c r="Q137" s="26">
        <f t="shared" si="43"/>
        <v>-393770</v>
      </c>
    </row>
    <row r="138" spans="1:17" s="29" customFormat="1" ht="41.4" x14ac:dyDescent="0.25">
      <c r="A138" s="33" t="s">
        <v>339</v>
      </c>
      <c r="B138" s="33" t="s">
        <v>340</v>
      </c>
      <c r="C138" s="33" t="s">
        <v>341</v>
      </c>
      <c r="D138" s="37" t="s">
        <v>342</v>
      </c>
      <c r="E138" s="37">
        <v>76</v>
      </c>
      <c r="F138" s="32" t="s">
        <v>338</v>
      </c>
      <c r="G138" s="33" t="s">
        <v>344</v>
      </c>
      <c r="H138" s="34">
        <f t="shared" si="76"/>
        <v>960000</v>
      </c>
      <c r="I138" s="34">
        <v>960000</v>
      </c>
      <c r="J138" s="26"/>
      <c r="K138" s="26"/>
      <c r="L138" s="34">
        <f t="shared" si="41"/>
        <v>199909.8</v>
      </c>
      <c r="M138" s="34">
        <v>199909.8</v>
      </c>
      <c r="N138" s="26"/>
      <c r="O138" s="26"/>
      <c r="P138" s="35">
        <f t="shared" si="42"/>
        <v>0.20823937499999998</v>
      </c>
      <c r="Q138" s="26">
        <f t="shared" si="43"/>
        <v>-760090.2</v>
      </c>
    </row>
    <row r="139" spans="1:17" s="29" customFormat="1" ht="41.4" x14ac:dyDescent="0.25">
      <c r="A139" s="33">
        <v>3117520</v>
      </c>
      <c r="B139" s="33">
        <v>7520</v>
      </c>
      <c r="C139" s="33">
        <v>460</v>
      </c>
      <c r="D139" s="31" t="s">
        <v>259</v>
      </c>
      <c r="E139" s="31">
        <v>61</v>
      </c>
      <c r="F139" s="32" t="s">
        <v>258</v>
      </c>
      <c r="G139" s="33" t="s">
        <v>308</v>
      </c>
      <c r="H139" s="34">
        <f t="shared" si="76"/>
        <v>48600</v>
      </c>
      <c r="I139" s="34">
        <f>8600+40000</f>
        <v>48600</v>
      </c>
      <c r="J139" s="26"/>
      <c r="K139" s="26"/>
      <c r="L139" s="34">
        <f t="shared" si="41"/>
        <v>44686</v>
      </c>
      <c r="M139" s="34">
        <v>44686</v>
      </c>
      <c r="N139" s="26"/>
      <c r="O139" s="26"/>
      <c r="P139" s="35">
        <f t="shared" si="42"/>
        <v>0.91946502057613166</v>
      </c>
      <c r="Q139" s="26">
        <f t="shared" si="43"/>
        <v>-3914</v>
      </c>
    </row>
    <row r="140" spans="1:17" s="29" customFormat="1" ht="41.4" x14ac:dyDescent="0.25">
      <c r="A140" s="30" t="s">
        <v>40</v>
      </c>
      <c r="B140" s="30" t="s">
        <v>34</v>
      </c>
      <c r="C140" s="30" t="s">
        <v>21</v>
      </c>
      <c r="D140" s="43" t="s">
        <v>51</v>
      </c>
      <c r="E140" s="43">
        <v>67</v>
      </c>
      <c r="F140" s="32" t="s">
        <v>234</v>
      </c>
      <c r="G140" s="33" t="s">
        <v>312</v>
      </c>
      <c r="H140" s="34">
        <f>I140+J140</f>
        <v>20359100</v>
      </c>
      <c r="I140" s="34">
        <f>3459100+16900000</f>
        <v>20359100</v>
      </c>
      <c r="J140" s="34"/>
      <c r="K140" s="34"/>
      <c r="L140" s="34">
        <f t="shared" si="41"/>
        <v>13695427.610000001</v>
      </c>
      <c r="M140" s="34">
        <f>1774659.73+11920767.88</f>
        <v>13695427.610000001</v>
      </c>
      <c r="N140" s="26"/>
      <c r="O140" s="26"/>
      <c r="P140" s="35">
        <f t="shared" si="42"/>
        <v>0.67269317455093802</v>
      </c>
      <c r="Q140" s="26">
        <f t="shared" si="43"/>
        <v>-6663672.3899999987</v>
      </c>
    </row>
    <row r="141" spans="1:17" s="36" customFormat="1" ht="55.2" x14ac:dyDescent="0.25">
      <c r="A141" s="30" t="s">
        <v>188</v>
      </c>
      <c r="B141" s="30" t="s">
        <v>155</v>
      </c>
      <c r="C141" s="30" t="s">
        <v>83</v>
      </c>
      <c r="D141" s="43" t="s">
        <v>156</v>
      </c>
      <c r="E141" s="50">
        <v>66</v>
      </c>
      <c r="F141" s="49" t="s">
        <v>253</v>
      </c>
      <c r="G141" s="33" t="s">
        <v>309</v>
      </c>
      <c r="H141" s="34">
        <f>I141+J141</f>
        <v>145000</v>
      </c>
      <c r="I141" s="34">
        <v>145000</v>
      </c>
      <c r="J141" s="34"/>
      <c r="K141" s="34"/>
      <c r="L141" s="34">
        <f t="shared" si="41"/>
        <v>78860.53</v>
      </c>
      <c r="M141" s="34">
        <v>78860.53</v>
      </c>
      <c r="N141" s="34"/>
      <c r="O141" s="34"/>
      <c r="P141" s="35">
        <f t="shared" si="42"/>
        <v>0.54386572413793099</v>
      </c>
      <c r="Q141" s="26">
        <f t="shared" si="43"/>
        <v>-66139.47</v>
      </c>
    </row>
    <row r="142" spans="1:17" s="36" customFormat="1" ht="13.8" x14ac:dyDescent="0.25">
      <c r="A142" s="51" t="s">
        <v>191</v>
      </c>
      <c r="B142" s="51"/>
      <c r="C142" s="51"/>
      <c r="D142" s="102" t="s">
        <v>189</v>
      </c>
      <c r="E142" s="103"/>
      <c r="F142" s="104"/>
      <c r="G142" s="33"/>
      <c r="H142" s="26">
        <f t="shared" ref="H142:O142" si="77">H143</f>
        <v>113880012</v>
      </c>
      <c r="I142" s="26">
        <f t="shared" si="77"/>
        <v>72224230</v>
      </c>
      <c r="J142" s="26">
        <f t="shared" si="77"/>
        <v>41655782</v>
      </c>
      <c r="K142" s="26">
        <f t="shared" si="77"/>
        <v>41655782</v>
      </c>
      <c r="L142" s="26">
        <f t="shared" si="77"/>
        <v>87116080</v>
      </c>
      <c r="M142" s="26">
        <f t="shared" si="77"/>
        <v>51098936</v>
      </c>
      <c r="N142" s="26">
        <f t="shared" si="77"/>
        <v>36017144</v>
      </c>
      <c r="O142" s="26">
        <f t="shared" si="77"/>
        <v>36017144</v>
      </c>
      <c r="P142" s="52">
        <f t="shared" si="42"/>
        <v>0.7649813033036913</v>
      </c>
      <c r="Q142" s="26">
        <f t="shared" si="43"/>
        <v>-26763932</v>
      </c>
    </row>
    <row r="143" spans="1:17" s="36" customFormat="1" ht="13.8" x14ac:dyDescent="0.25">
      <c r="A143" s="51" t="s">
        <v>190</v>
      </c>
      <c r="B143" s="51"/>
      <c r="C143" s="51"/>
      <c r="D143" s="102" t="s">
        <v>189</v>
      </c>
      <c r="E143" s="103"/>
      <c r="F143" s="104"/>
      <c r="G143" s="33"/>
      <c r="H143" s="26">
        <f>SUM(H144:H156)</f>
        <v>113880012</v>
      </c>
      <c r="I143" s="26">
        <f t="shared" ref="I143:K143" si="78">SUM(I144:I156)</f>
        <v>72224230</v>
      </c>
      <c r="J143" s="26">
        <f t="shared" si="78"/>
        <v>41655782</v>
      </c>
      <c r="K143" s="26">
        <f t="shared" si="78"/>
        <v>41655782</v>
      </c>
      <c r="L143" s="26">
        <f>SUM(L144:L156)</f>
        <v>87116080</v>
      </c>
      <c r="M143" s="26">
        <f t="shared" ref="M143:O143" si="79">SUM(M144:M156)</f>
        <v>51098936</v>
      </c>
      <c r="N143" s="26">
        <f t="shared" si="79"/>
        <v>36017144</v>
      </c>
      <c r="O143" s="26">
        <f t="shared" si="79"/>
        <v>36017144</v>
      </c>
      <c r="P143" s="52">
        <f t="shared" si="42"/>
        <v>0.7649813033036913</v>
      </c>
      <c r="Q143" s="26">
        <f t="shared" si="43"/>
        <v>-26763932</v>
      </c>
    </row>
    <row r="144" spans="1:17" s="36" customFormat="1" ht="27.6" x14ac:dyDescent="0.25">
      <c r="A144" s="33">
        <v>3717520</v>
      </c>
      <c r="B144" s="33">
        <v>7520</v>
      </c>
      <c r="C144" s="33">
        <v>460</v>
      </c>
      <c r="D144" s="31" t="s">
        <v>259</v>
      </c>
      <c r="E144" s="31">
        <v>61</v>
      </c>
      <c r="F144" s="32" t="s">
        <v>258</v>
      </c>
      <c r="G144" s="33" t="s">
        <v>231</v>
      </c>
      <c r="H144" s="34">
        <f t="shared" ref="H144:H151" si="80">I144+J144</f>
        <v>92500</v>
      </c>
      <c r="I144" s="34">
        <v>92500</v>
      </c>
      <c r="J144" s="26"/>
      <c r="K144" s="26"/>
      <c r="L144" s="34">
        <f t="shared" si="41"/>
        <v>50283</v>
      </c>
      <c r="M144" s="34">
        <v>50283</v>
      </c>
      <c r="N144" s="34"/>
      <c r="O144" s="34"/>
      <c r="P144" s="35">
        <f t="shared" si="42"/>
        <v>0.54359999999999997</v>
      </c>
      <c r="Q144" s="26">
        <f t="shared" si="43"/>
        <v>-42217</v>
      </c>
    </row>
    <row r="145" spans="1:18" s="36" customFormat="1" ht="41.4" x14ac:dyDescent="0.25">
      <c r="A145" s="33">
        <v>3719770</v>
      </c>
      <c r="B145" s="65">
        <v>9770</v>
      </c>
      <c r="C145" s="41" t="s">
        <v>129</v>
      </c>
      <c r="D145" s="66" t="s">
        <v>192</v>
      </c>
      <c r="E145" s="66">
        <v>14</v>
      </c>
      <c r="F145" s="32" t="s">
        <v>76</v>
      </c>
      <c r="G145" s="33" t="s">
        <v>172</v>
      </c>
      <c r="H145" s="34">
        <f t="shared" si="80"/>
        <v>2241100</v>
      </c>
      <c r="I145" s="34">
        <f>2251200-10100</f>
        <v>2241100</v>
      </c>
      <c r="J145" s="34"/>
      <c r="K145" s="34"/>
      <c r="L145" s="34">
        <f t="shared" si="41"/>
        <v>1691800</v>
      </c>
      <c r="M145" s="34">
        <v>1691800</v>
      </c>
      <c r="N145" s="34"/>
      <c r="O145" s="34"/>
      <c r="P145" s="35">
        <f t="shared" si="42"/>
        <v>0.75489714872160996</v>
      </c>
      <c r="Q145" s="26">
        <f t="shared" si="43"/>
        <v>-549300</v>
      </c>
    </row>
    <row r="146" spans="1:18" s="36" customFormat="1" ht="69" x14ac:dyDescent="0.25">
      <c r="A146" s="33">
        <v>3719770</v>
      </c>
      <c r="B146" s="65">
        <v>9770</v>
      </c>
      <c r="C146" s="41" t="s">
        <v>129</v>
      </c>
      <c r="D146" s="66" t="s">
        <v>192</v>
      </c>
      <c r="E146" s="66">
        <v>70</v>
      </c>
      <c r="F146" s="32" t="s">
        <v>222</v>
      </c>
      <c r="G146" s="33" t="s">
        <v>267</v>
      </c>
      <c r="H146" s="34">
        <f>I146+J146</f>
        <v>2053700</v>
      </c>
      <c r="I146" s="34">
        <v>2053700</v>
      </c>
      <c r="J146" s="34"/>
      <c r="K146" s="34"/>
      <c r="L146" s="34">
        <f t="shared" si="41"/>
        <v>2053700</v>
      </c>
      <c r="M146" s="34">
        <v>2053700</v>
      </c>
      <c r="N146" s="34"/>
      <c r="O146" s="34"/>
      <c r="P146" s="35">
        <f t="shared" si="42"/>
        <v>1</v>
      </c>
      <c r="Q146" s="26">
        <f t="shared" si="43"/>
        <v>0</v>
      </c>
    </row>
    <row r="147" spans="1:18" s="36" customFormat="1" ht="27.6" x14ac:dyDescent="0.25">
      <c r="A147" s="33">
        <v>3719770</v>
      </c>
      <c r="B147" s="65">
        <v>9770</v>
      </c>
      <c r="C147" s="41" t="s">
        <v>129</v>
      </c>
      <c r="D147" s="66" t="s">
        <v>192</v>
      </c>
      <c r="E147" s="66">
        <v>71</v>
      </c>
      <c r="F147" s="37" t="s">
        <v>223</v>
      </c>
      <c r="G147" s="33" t="s">
        <v>268</v>
      </c>
      <c r="H147" s="34">
        <f t="shared" si="80"/>
        <v>500000</v>
      </c>
      <c r="I147" s="34">
        <v>500000</v>
      </c>
      <c r="J147" s="34"/>
      <c r="K147" s="34"/>
      <c r="L147" s="34">
        <f t="shared" si="41"/>
        <v>500000</v>
      </c>
      <c r="M147" s="34">
        <v>500000</v>
      </c>
      <c r="N147" s="34"/>
      <c r="O147" s="34"/>
      <c r="P147" s="35">
        <f t="shared" si="42"/>
        <v>1</v>
      </c>
      <c r="Q147" s="26">
        <f t="shared" si="43"/>
        <v>0</v>
      </c>
    </row>
    <row r="148" spans="1:18" s="36" customFormat="1" ht="55.2" x14ac:dyDescent="0.25">
      <c r="A148" s="33">
        <v>3719770</v>
      </c>
      <c r="B148" s="65">
        <v>9770</v>
      </c>
      <c r="C148" s="41" t="s">
        <v>129</v>
      </c>
      <c r="D148" s="66" t="s">
        <v>192</v>
      </c>
      <c r="E148" s="67">
        <v>66</v>
      </c>
      <c r="F148" s="32" t="s">
        <v>270</v>
      </c>
      <c r="G148" s="33" t="s">
        <v>309</v>
      </c>
      <c r="H148" s="34">
        <f t="shared" si="80"/>
        <v>12370300</v>
      </c>
      <c r="I148" s="34">
        <v>12370300</v>
      </c>
      <c r="J148" s="34"/>
      <c r="K148" s="34"/>
      <c r="L148" s="34">
        <f t="shared" si="41"/>
        <v>10000000</v>
      </c>
      <c r="M148" s="34">
        <v>10000000</v>
      </c>
      <c r="N148" s="34"/>
      <c r="O148" s="34"/>
      <c r="P148" s="35">
        <f t="shared" si="42"/>
        <v>0.80838783214635057</v>
      </c>
      <c r="Q148" s="26">
        <f t="shared" si="43"/>
        <v>-2370300</v>
      </c>
    </row>
    <row r="149" spans="1:18" s="36" customFormat="1" ht="96.6" x14ac:dyDescent="0.25">
      <c r="A149" s="33">
        <v>3719770</v>
      </c>
      <c r="B149" s="65">
        <v>9770</v>
      </c>
      <c r="C149" s="41" t="s">
        <v>129</v>
      </c>
      <c r="D149" s="66" t="s">
        <v>192</v>
      </c>
      <c r="E149" s="37">
        <v>77</v>
      </c>
      <c r="F149" s="32" t="s">
        <v>369</v>
      </c>
      <c r="G149" s="33" t="s">
        <v>370</v>
      </c>
      <c r="H149" s="34">
        <f t="shared" ref="H149" si="81">I149+J149</f>
        <v>231812</v>
      </c>
      <c r="I149" s="34">
        <v>231812</v>
      </c>
      <c r="J149" s="34"/>
      <c r="K149" s="34"/>
      <c r="L149" s="34">
        <f t="shared" ref="L149" si="82">M149+N149</f>
        <v>231812</v>
      </c>
      <c r="M149" s="34">
        <v>231812</v>
      </c>
      <c r="N149" s="34"/>
      <c r="O149" s="34"/>
      <c r="P149" s="35">
        <f t="shared" ref="P149" si="83">L149/H149</f>
        <v>1</v>
      </c>
      <c r="Q149" s="26">
        <f t="shared" ref="Q149" si="84">L149-H149</f>
        <v>0</v>
      </c>
    </row>
    <row r="150" spans="1:18" s="36" customFormat="1" ht="41.4" x14ac:dyDescent="0.25">
      <c r="A150" s="33">
        <v>3719770</v>
      </c>
      <c r="B150" s="65">
        <v>9770</v>
      </c>
      <c r="C150" s="41" t="s">
        <v>129</v>
      </c>
      <c r="D150" s="66" t="s">
        <v>192</v>
      </c>
      <c r="E150" s="31">
        <v>68</v>
      </c>
      <c r="F150" s="32" t="s">
        <v>256</v>
      </c>
      <c r="G150" s="33" t="s">
        <v>307</v>
      </c>
      <c r="H150" s="34">
        <f t="shared" ref="H150" si="85">I150+J150</f>
        <v>1041300</v>
      </c>
      <c r="I150" s="34"/>
      <c r="J150" s="34">
        <v>1041300</v>
      </c>
      <c r="K150" s="34">
        <f>J150</f>
        <v>1041300</v>
      </c>
      <c r="L150" s="34">
        <f t="shared" ref="L150" si="86">M150+N150</f>
        <v>1041300</v>
      </c>
      <c r="M150" s="34"/>
      <c r="N150" s="34">
        <v>1041300</v>
      </c>
      <c r="O150" s="34">
        <f>N150</f>
        <v>1041300</v>
      </c>
      <c r="P150" s="35">
        <f t="shared" ref="P150" si="87">L150/H150</f>
        <v>1</v>
      </c>
      <c r="Q150" s="26">
        <f t="shared" ref="Q150" si="88">L150-H150</f>
        <v>0</v>
      </c>
    </row>
    <row r="151" spans="1:18" s="36" customFormat="1" ht="41.4" x14ac:dyDescent="0.25">
      <c r="A151" s="33">
        <v>3719800</v>
      </c>
      <c r="B151" s="65">
        <v>9800</v>
      </c>
      <c r="C151" s="41" t="s">
        <v>129</v>
      </c>
      <c r="D151" s="67" t="s">
        <v>271</v>
      </c>
      <c r="E151" s="37">
        <v>15</v>
      </c>
      <c r="F151" s="32" t="s">
        <v>219</v>
      </c>
      <c r="G151" s="33" t="s">
        <v>170</v>
      </c>
      <c r="H151" s="34">
        <f t="shared" si="80"/>
        <v>200000</v>
      </c>
      <c r="I151" s="34">
        <v>200000</v>
      </c>
      <c r="J151" s="34"/>
      <c r="K151" s="34"/>
      <c r="L151" s="34">
        <f t="shared" si="41"/>
        <v>200000</v>
      </c>
      <c r="M151" s="34">
        <v>200000</v>
      </c>
      <c r="N151" s="34"/>
      <c r="O151" s="34"/>
      <c r="P151" s="35">
        <f t="shared" si="42"/>
        <v>1</v>
      </c>
      <c r="Q151" s="26">
        <f t="shared" si="43"/>
        <v>0</v>
      </c>
    </row>
    <row r="152" spans="1:18" s="36" customFormat="1" ht="55.2" x14ac:dyDescent="0.25">
      <c r="A152" s="33">
        <v>3719800</v>
      </c>
      <c r="B152" s="65">
        <v>9800</v>
      </c>
      <c r="C152" s="41" t="s">
        <v>129</v>
      </c>
      <c r="D152" s="67" t="s">
        <v>271</v>
      </c>
      <c r="E152" s="67">
        <v>66</v>
      </c>
      <c r="F152" s="32" t="s">
        <v>270</v>
      </c>
      <c r="G152" s="33" t="s">
        <v>309</v>
      </c>
      <c r="H152" s="34">
        <f t="shared" ref="H152:H155" si="89">I152+J152</f>
        <v>87629700</v>
      </c>
      <c r="I152" s="34">
        <v>50440218</v>
      </c>
      <c r="J152" s="34">
        <v>37189482</v>
      </c>
      <c r="K152" s="34">
        <f>J152</f>
        <v>37189482</v>
      </c>
      <c r="L152" s="34">
        <f t="shared" si="41"/>
        <v>63880823</v>
      </c>
      <c r="M152" s="34">
        <v>32276741</v>
      </c>
      <c r="N152" s="34">
        <v>31604082</v>
      </c>
      <c r="O152" s="34">
        <f>N152</f>
        <v>31604082</v>
      </c>
      <c r="P152" s="35">
        <f t="shared" si="42"/>
        <v>0.72898598306282003</v>
      </c>
      <c r="Q152" s="26">
        <f t="shared" si="43"/>
        <v>-23748877</v>
      </c>
    </row>
    <row r="153" spans="1:18" s="36" customFormat="1" ht="27.6" x14ac:dyDescent="0.25">
      <c r="A153" s="33">
        <v>3719800</v>
      </c>
      <c r="B153" s="65">
        <v>9800</v>
      </c>
      <c r="C153" s="41" t="s">
        <v>129</v>
      </c>
      <c r="D153" s="37" t="s">
        <v>271</v>
      </c>
      <c r="E153" s="37">
        <v>72</v>
      </c>
      <c r="F153" s="32" t="s">
        <v>269</v>
      </c>
      <c r="G153" s="33" t="s">
        <v>313</v>
      </c>
      <c r="H153" s="34">
        <f t="shared" si="89"/>
        <v>3000000</v>
      </c>
      <c r="I153" s="34">
        <f>2000000-130000+100000</f>
        <v>1970000</v>
      </c>
      <c r="J153" s="34">
        <f>1000000+130000-100000</f>
        <v>1030000</v>
      </c>
      <c r="K153" s="34">
        <f>1000000+130000-100000</f>
        <v>1030000</v>
      </c>
      <c r="L153" s="34">
        <f t="shared" si="41"/>
        <v>2999900</v>
      </c>
      <c r="M153" s="34">
        <v>1970000</v>
      </c>
      <c r="N153" s="34">
        <v>1029900</v>
      </c>
      <c r="O153" s="34">
        <f>N153</f>
        <v>1029900</v>
      </c>
      <c r="P153" s="35">
        <f t="shared" si="42"/>
        <v>0.99996666666666667</v>
      </c>
      <c r="Q153" s="26">
        <f t="shared" si="43"/>
        <v>-100</v>
      </c>
    </row>
    <row r="154" spans="1:18" s="36" customFormat="1" ht="41.4" x14ac:dyDescent="0.25">
      <c r="A154" s="33">
        <v>3719800</v>
      </c>
      <c r="B154" s="65">
        <v>9800</v>
      </c>
      <c r="C154" s="41" t="s">
        <v>129</v>
      </c>
      <c r="D154" s="37" t="s">
        <v>271</v>
      </c>
      <c r="E154" s="37">
        <v>74</v>
      </c>
      <c r="F154" s="32" t="s">
        <v>325</v>
      </c>
      <c r="G154" s="33" t="s">
        <v>328</v>
      </c>
      <c r="H154" s="34">
        <f t="shared" si="89"/>
        <v>2000000</v>
      </c>
      <c r="I154" s="34">
        <v>2000000</v>
      </c>
      <c r="J154" s="34"/>
      <c r="K154" s="34"/>
      <c r="L154" s="34">
        <f t="shared" si="41"/>
        <v>2000000</v>
      </c>
      <c r="M154" s="34">
        <v>2000000</v>
      </c>
      <c r="N154" s="34"/>
      <c r="O154" s="34"/>
      <c r="P154" s="35">
        <f t="shared" ref="P154:P191" si="90">L154/H154</f>
        <v>1</v>
      </c>
      <c r="Q154" s="26">
        <f t="shared" si="43"/>
        <v>0</v>
      </c>
    </row>
    <row r="155" spans="1:18" s="36" customFormat="1" ht="27.6" x14ac:dyDescent="0.25">
      <c r="A155" s="33">
        <v>3719800</v>
      </c>
      <c r="B155" s="65">
        <v>9800</v>
      </c>
      <c r="C155" s="41" t="s">
        <v>129</v>
      </c>
      <c r="D155" s="37" t="s">
        <v>271</v>
      </c>
      <c r="E155" s="37">
        <v>75</v>
      </c>
      <c r="F155" s="32" t="s">
        <v>326</v>
      </c>
      <c r="G155" s="33" t="s">
        <v>329</v>
      </c>
      <c r="H155" s="34">
        <f t="shared" si="89"/>
        <v>1419600</v>
      </c>
      <c r="I155" s="34">
        <v>124600</v>
      </c>
      <c r="J155" s="34">
        <v>1295000</v>
      </c>
      <c r="K155" s="34">
        <v>1295000</v>
      </c>
      <c r="L155" s="34">
        <f t="shared" ref="L155" si="91">M155+N155</f>
        <v>1366462</v>
      </c>
      <c r="M155" s="34">
        <v>124600</v>
      </c>
      <c r="N155" s="34">
        <v>1241862</v>
      </c>
      <c r="O155" s="34">
        <f>N155</f>
        <v>1241862</v>
      </c>
      <c r="P155" s="35">
        <f t="shared" si="90"/>
        <v>0.96256832910679069</v>
      </c>
      <c r="Q155" s="26">
        <f t="shared" ref="Q155:Q194" si="92">L155-H155</f>
        <v>-53138</v>
      </c>
    </row>
    <row r="156" spans="1:18" s="36" customFormat="1" ht="55.2" x14ac:dyDescent="0.25">
      <c r="A156" s="33">
        <v>3719800</v>
      </c>
      <c r="B156" s="65">
        <v>9800</v>
      </c>
      <c r="C156" s="41" t="s">
        <v>129</v>
      </c>
      <c r="D156" s="37" t="s">
        <v>271</v>
      </c>
      <c r="E156" s="37">
        <v>64</v>
      </c>
      <c r="F156" s="32" t="s">
        <v>371</v>
      </c>
      <c r="G156" s="33" t="s">
        <v>372</v>
      </c>
      <c r="H156" s="34">
        <f t="shared" ref="H156" si="93">I156+J156</f>
        <v>1100000</v>
      </c>
      <c r="I156" s="34"/>
      <c r="J156" s="34">
        <v>1100000</v>
      </c>
      <c r="K156" s="34">
        <f>J156</f>
        <v>1100000</v>
      </c>
      <c r="L156" s="34">
        <f t="shared" ref="L156" si="94">M156+N156</f>
        <v>1100000</v>
      </c>
      <c r="M156" s="34"/>
      <c r="N156" s="34">
        <v>1100000</v>
      </c>
      <c r="O156" s="34">
        <f>N156</f>
        <v>1100000</v>
      </c>
      <c r="P156" s="35">
        <f t="shared" ref="P156" si="95">L156/H156</f>
        <v>1</v>
      </c>
      <c r="Q156" s="26">
        <f t="shared" ref="Q156" si="96">L156-H156</f>
        <v>0</v>
      </c>
    </row>
    <row r="157" spans="1:18" s="36" customFormat="1" ht="13.8" x14ac:dyDescent="0.25">
      <c r="A157" s="25"/>
      <c r="B157" s="25"/>
      <c r="C157" s="25"/>
      <c r="D157" s="105" t="s">
        <v>220</v>
      </c>
      <c r="E157" s="105"/>
      <c r="F157" s="105"/>
      <c r="G157" s="25"/>
      <c r="H157" s="26">
        <f t="shared" ref="H157:O157" si="97">H15+H38+H61+H77+H82+H91+H101+H135+H142+H126</f>
        <v>798160471.21999991</v>
      </c>
      <c r="I157" s="26">
        <f t="shared" si="97"/>
        <v>495886752.31999999</v>
      </c>
      <c r="J157" s="26">
        <f t="shared" si="97"/>
        <v>302273718.89999998</v>
      </c>
      <c r="K157" s="26">
        <f t="shared" si="97"/>
        <v>278297641.63</v>
      </c>
      <c r="L157" s="26">
        <f t="shared" si="97"/>
        <v>453997805.50999999</v>
      </c>
      <c r="M157" s="26">
        <f t="shared" si="97"/>
        <v>327043711.5</v>
      </c>
      <c r="N157" s="26">
        <f t="shared" si="97"/>
        <v>126954094.00999999</v>
      </c>
      <c r="O157" s="26">
        <f t="shared" si="97"/>
        <v>119679878.28999999</v>
      </c>
      <c r="P157" s="52">
        <f t="shared" si="90"/>
        <v>0.56880517374664985</v>
      </c>
      <c r="Q157" s="26">
        <f t="shared" si="92"/>
        <v>-344162665.70999992</v>
      </c>
      <c r="R157" s="68"/>
    </row>
    <row r="158" spans="1:18" s="29" customFormat="1" ht="41.4" x14ac:dyDescent="0.25">
      <c r="A158" s="33">
        <v>1</v>
      </c>
      <c r="B158" s="21"/>
      <c r="C158" s="21"/>
      <c r="D158" s="69"/>
      <c r="E158" s="69">
        <v>1</v>
      </c>
      <c r="F158" s="32" t="s">
        <v>28</v>
      </c>
      <c r="G158" s="33" t="s">
        <v>179</v>
      </c>
      <c r="H158" s="34">
        <f>H56</f>
        <v>300000</v>
      </c>
      <c r="I158" s="34">
        <f>I56</f>
        <v>300000</v>
      </c>
      <c r="J158" s="34"/>
      <c r="K158" s="34"/>
      <c r="L158" s="34">
        <f>L56</f>
        <v>217850.2</v>
      </c>
      <c r="M158" s="34">
        <f>M56</f>
        <v>217850.2</v>
      </c>
      <c r="N158" s="34"/>
      <c r="O158" s="34"/>
      <c r="P158" s="35">
        <f t="shared" si="90"/>
        <v>0.72616733333333339</v>
      </c>
      <c r="Q158" s="26">
        <f t="shared" si="92"/>
        <v>-82149.799999999988</v>
      </c>
    </row>
    <row r="159" spans="1:18" s="36" customFormat="1" ht="52.5" customHeight="1" x14ac:dyDescent="0.25">
      <c r="A159" s="33">
        <v>2</v>
      </c>
      <c r="B159" s="21"/>
      <c r="C159" s="21"/>
      <c r="D159" s="69"/>
      <c r="E159" s="69">
        <v>9</v>
      </c>
      <c r="F159" s="32" t="s">
        <v>203</v>
      </c>
      <c r="G159" s="33" t="s">
        <v>201</v>
      </c>
      <c r="H159" s="34">
        <f t="shared" ref="H159:O159" si="98">H107</f>
        <v>5250356.25</v>
      </c>
      <c r="I159" s="34">
        <f t="shared" si="98"/>
        <v>149899</v>
      </c>
      <c r="J159" s="34">
        <f t="shared" si="98"/>
        <v>5100457.25</v>
      </c>
      <c r="K159" s="34">
        <f t="shared" si="98"/>
        <v>5100457.25</v>
      </c>
      <c r="L159" s="34">
        <f t="shared" si="98"/>
        <v>5048609.3</v>
      </c>
      <c r="M159" s="34">
        <f t="shared" si="98"/>
        <v>0</v>
      </c>
      <c r="N159" s="34">
        <f t="shared" si="98"/>
        <v>5048609.3</v>
      </c>
      <c r="O159" s="34">
        <f t="shared" si="98"/>
        <v>5048609.3</v>
      </c>
      <c r="P159" s="35">
        <f t="shared" si="90"/>
        <v>0.96157461696051572</v>
      </c>
      <c r="Q159" s="26">
        <f t="shared" si="92"/>
        <v>-201746.95000000019</v>
      </c>
    </row>
    <row r="160" spans="1:18" s="36" customFormat="1" ht="55.2" x14ac:dyDescent="0.25">
      <c r="A160" s="33">
        <v>3</v>
      </c>
      <c r="B160" s="21"/>
      <c r="C160" s="21"/>
      <c r="D160" s="69"/>
      <c r="E160" s="69">
        <v>13</v>
      </c>
      <c r="F160" s="32" t="s">
        <v>93</v>
      </c>
      <c r="G160" s="33" t="s">
        <v>180</v>
      </c>
      <c r="H160" s="34">
        <f t="shared" ref="H160:O160" si="99">H24+H63+H66+H74+H40</f>
        <v>23358825</v>
      </c>
      <c r="I160" s="34">
        <f t="shared" si="99"/>
        <v>22367200</v>
      </c>
      <c r="J160" s="34">
        <f t="shared" si="99"/>
        <v>991625</v>
      </c>
      <c r="K160" s="34">
        <f t="shared" si="99"/>
        <v>991625</v>
      </c>
      <c r="L160" s="34">
        <f t="shared" si="99"/>
        <v>13302957.220000001</v>
      </c>
      <c r="M160" s="34">
        <f t="shared" si="99"/>
        <v>12824931</v>
      </c>
      <c r="N160" s="34">
        <f t="shared" si="99"/>
        <v>478026.22</v>
      </c>
      <c r="O160" s="34">
        <f t="shared" si="99"/>
        <v>478026.22</v>
      </c>
      <c r="P160" s="35">
        <f t="shared" si="90"/>
        <v>0.56950455427445523</v>
      </c>
      <c r="Q160" s="26">
        <f>L160-H160</f>
        <v>-10055867.779999999</v>
      </c>
    </row>
    <row r="161" spans="1:17" s="36" customFormat="1" ht="53.25" customHeight="1" x14ac:dyDescent="0.25">
      <c r="A161" s="33">
        <v>4</v>
      </c>
      <c r="B161" s="21"/>
      <c r="C161" s="21"/>
      <c r="D161" s="69"/>
      <c r="E161" s="69">
        <v>14</v>
      </c>
      <c r="F161" s="32" t="s">
        <v>76</v>
      </c>
      <c r="G161" s="33" t="s">
        <v>172</v>
      </c>
      <c r="H161" s="34">
        <f t="shared" ref="H161:O161" si="100">H23+H57+H64+H65+H67+H69+H70+H71+H72+H73+H75+H79+H145</f>
        <v>55572400</v>
      </c>
      <c r="I161" s="34">
        <f t="shared" si="100"/>
        <v>55572400</v>
      </c>
      <c r="J161" s="34">
        <f t="shared" si="100"/>
        <v>0</v>
      </c>
      <c r="K161" s="34">
        <f t="shared" si="100"/>
        <v>0</v>
      </c>
      <c r="L161" s="34">
        <f t="shared" si="100"/>
        <v>34289669.310000002</v>
      </c>
      <c r="M161" s="34">
        <f t="shared" si="100"/>
        <v>34289669.310000002</v>
      </c>
      <c r="N161" s="34">
        <f t="shared" si="100"/>
        <v>0</v>
      </c>
      <c r="O161" s="34">
        <f t="shared" si="100"/>
        <v>0</v>
      </c>
      <c r="P161" s="35">
        <f t="shared" si="90"/>
        <v>0.61702696500421073</v>
      </c>
      <c r="Q161" s="26">
        <f t="shared" si="92"/>
        <v>-21282730.689999998</v>
      </c>
    </row>
    <row r="162" spans="1:17" s="36" customFormat="1" ht="49.5" customHeight="1" x14ac:dyDescent="0.25">
      <c r="A162" s="33">
        <v>5</v>
      </c>
      <c r="B162" s="21"/>
      <c r="C162" s="21"/>
      <c r="D162" s="70"/>
      <c r="E162" s="47">
        <v>15</v>
      </c>
      <c r="F162" s="32" t="s">
        <v>219</v>
      </c>
      <c r="G162" s="33" t="s">
        <v>170</v>
      </c>
      <c r="H162" s="34">
        <f>H17+H18+H19+H20+H30+H151+H22+H26+H31</f>
        <v>82957605.219999999</v>
      </c>
      <c r="I162" s="34">
        <f>I17+I18+I19+I20+I30+I151+I22+I26</f>
        <v>65737240</v>
      </c>
      <c r="J162" s="34">
        <f>J17+J18+J19+J20+J30+J151+J22+J26+J31</f>
        <v>17220365.219999999</v>
      </c>
      <c r="K162" s="34">
        <f>K17+K18+K19+K20+K30+K151+K22+K26</f>
        <v>15146210</v>
      </c>
      <c r="L162" s="34">
        <f>L17+L18+L19+L20+L30+L151+L22+L26+L31</f>
        <v>41690914.689999998</v>
      </c>
      <c r="M162" s="34">
        <f>M17+M18+M19+M20+M30+M151</f>
        <v>38618755.469999999</v>
      </c>
      <c r="N162" s="34">
        <f>N17+N18+N19+N20+N30+N151+N22+N26</f>
        <v>3072159.2199999997</v>
      </c>
      <c r="O162" s="34">
        <f>O17+O18+O19+O20+O30+O151+O22+O26</f>
        <v>3072159.2199999997</v>
      </c>
      <c r="P162" s="35">
        <f t="shared" si="90"/>
        <v>0.5025568732298562</v>
      </c>
      <c r="Q162" s="26">
        <f t="shared" si="92"/>
        <v>-41266690.530000001</v>
      </c>
    </row>
    <row r="163" spans="1:17" s="36" customFormat="1" ht="41.4" x14ac:dyDescent="0.25">
      <c r="A163" s="33">
        <v>6</v>
      </c>
      <c r="B163" s="21"/>
      <c r="C163" s="21"/>
      <c r="D163" s="70"/>
      <c r="E163" s="47">
        <v>16</v>
      </c>
      <c r="F163" s="32" t="s">
        <v>121</v>
      </c>
      <c r="G163" s="33" t="s">
        <v>174</v>
      </c>
      <c r="H163" s="34">
        <f>H41+H42+H45+H46+H47+H48+H49+H50+H51+H58+H53+H54</f>
        <v>60523145</v>
      </c>
      <c r="I163" s="34">
        <f>I41+I42+I45+I46+I47+I48+I49+I50+I51+I58+I53+I54</f>
        <v>32989812</v>
      </c>
      <c r="J163" s="34">
        <f>J41+J42+J45+J46+J47+J48+J49+J50+J51+J58+J53+J54</f>
        <v>27533333</v>
      </c>
      <c r="K163" s="34">
        <f t="shared" ref="K163:O163" si="101">K41+K42+K45+K46+K47+K48+K49+K50+K51+K58+K53+K54</f>
        <v>12911033</v>
      </c>
      <c r="L163" s="34">
        <f t="shared" si="101"/>
        <v>25700121.609999999</v>
      </c>
      <c r="M163" s="34">
        <f t="shared" si="101"/>
        <v>13037648.02</v>
      </c>
      <c r="N163" s="34">
        <f t="shared" si="101"/>
        <v>12662473.59</v>
      </c>
      <c r="O163" s="34">
        <f t="shared" si="101"/>
        <v>5752592.0599999996</v>
      </c>
      <c r="P163" s="35">
        <f t="shared" si="90"/>
        <v>0.42463295008876356</v>
      </c>
      <c r="Q163" s="26">
        <f t="shared" si="92"/>
        <v>-34823023.390000001</v>
      </c>
    </row>
    <row r="164" spans="1:17" s="36" customFormat="1" ht="41.4" x14ac:dyDescent="0.25">
      <c r="A164" s="33">
        <v>7</v>
      </c>
      <c r="B164" s="21"/>
      <c r="C164" s="21"/>
      <c r="D164" s="69"/>
      <c r="E164" s="69">
        <v>17</v>
      </c>
      <c r="F164" s="32" t="s">
        <v>161</v>
      </c>
      <c r="G164" s="33" t="s">
        <v>173</v>
      </c>
      <c r="H164" s="34">
        <f t="shared" ref="H164:O164" si="102">H32+H52+H114+H122+H60+H127+H128+H131+H134</f>
        <v>133014322.62</v>
      </c>
      <c r="I164" s="34">
        <f t="shared" si="102"/>
        <v>3832670</v>
      </c>
      <c r="J164" s="34">
        <f t="shared" si="102"/>
        <v>129181652.62</v>
      </c>
      <c r="K164" s="34">
        <f t="shared" si="102"/>
        <v>129181652.62</v>
      </c>
      <c r="L164" s="34">
        <f t="shared" si="102"/>
        <v>45666560.230000004</v>
      </c>
      <c r="M164" s="34">
        <f t="shared" si="102"/>
        <v>1167474.2200000002</v>
      </c>
      <c r="N164" s="34">
        <f t="shared" si="102"/>
        <v>44499086.010000005</v>
      </c>
      <c r="O164" s="34">
        <f t="shared" si="102"/>
        <v>44499086.010000005</v>
      </c>
      <c r="P164" s="35">
        <f t="shared" si="90"/>
        <v>0.34332062390350127</v>
      </c>
      <c r="Q164" s="26">
        <f t="shared" si="92"/>
        <v>-87347762.390000001</v>
      </c>
    </row>
    <row r="165" spans="1:17" s="36" customFormat="1" ht="110.4" x14ac:dyDescent="0.25">
      <c r="A165" s="33">
        <v>8</v>
      </c>
      <c r="B165" s="21"/>
      <c r="C165" s="21"/>
      <c r="D165" s="69"/>
      <c r="E165" s="71">
        <v>18</v>
      </c>
      <c r="F165" s="49" t="s">
        <v>195</v>
      </c>
      <c r="G165" s="33" t="s">
        <v>196</v>
      </c>
      <c r="H165" s="34">
        <f t="shared" ref="H165:O165" si="103">H33</f>
        <v>2083400</v>
      </c>
      <c r="I165" s="34">
        <f t="shared" si="103"/>
        <v>2083400</v>
      </c>
      <c r="J165" s="34">
        <f t="shared" si="103"/>
        <v>0</v>
      </c>
      <c r="K165" s="34">
        <f t="shared" si="103"/>
        <v>0</v>
      </c>
      <c r="L165" s="34">
        <f t="shared" si="103"/>
        <v>207360</v>
      </c>
      <c r="M165" s="34">
        <f t="shared" si="103"/>
        <v>207360</v>
      </c>
      <c r="N165" s="34">
        <f t="shared" si="103"/>
        <v>0</v>
      </c>
      <c r="O165" s="34">
        <f t="shared" si="103"/>
        <v>0</v>
      </c>
      <c r="P165" s="35">
        <f t="shared" si="90"/>
        <v>9.9529615052318332E-2</v>
      </c>
      <c r="Q165" s="26">
        <f t="shared" si="92"/>
        <v>-1876040</v>
      </c>
    </row>
    <row r="166" spans="1:17" s="36" customFormat="1" ht="55.2" x14ac:dyDescent="0.25">
      <c r="A166" s="33">
        <v>9</v>
      </c>
      <c r="B166" s="21"/>
      <c r="C166" s="21"/>
      <c r="D166" s="69"/>
      <c r="E166" s="72">
        <v>20</v>
      </c>
      <c r="F166" s="59" t="s">
        <v>303</v>
      </c>
      <c r="G166" s="33" t="s">
        <v>304</v>
      </c>
      <c r="H166" s="34">
        <f t="shared" ref="H166:O166" si="104">H129+H132</f>
        <v>21042588</v>
      </c>
      <c r="I166" s="34">
        <f t="shared" si="104"/>
        <v>0</v>
      </c>
      <c r="J166" s="34">
        <f t="shared" si="104"/>
        <v>21042588</v>
      </c>
      <c r="K166" s="34">
        <f t="shared" si="104"/>
        <v>21042588</v>
      </c>
      <c r="L166" s="34">
        <f t="shared" si="104"/>
        <v>8987688.2199999988</v>
      </c>
      <c r="M166" s="34">
        <f t="shared" si="104"/>
        <v>0</v>
      </c>
      <c r="N166" s="34">
        <f t="shared" si="104"/>
        <v>8987688.2199999988</v>
      </c>
      <c r="O166" s="34">
        <f t="shared" si="104"/>
        <v>8987688.2199999988</v>
      </c>
      <c r="P166" s="35">
        <f t="shared" si="90"/>
        <v>0.42711895609038197</v>
      </c>
      <c r="Q166" s="26">
        <f t="shared" si="92"/>
        <v>-12054899.780000001</v>
      </c>
    </row>
    <row r="167" spans="1:17" s="36" customFormat="1" ht="41.4" x14ac:dyDescent="0.25">
      <c r="A167" s="33">
        <v>10</v>
      </c>
      <c r="B167" s="21"/>
      <c r="C167" s="21"/>
      <c r="D167" s="69"/>
      <c r="E167" s="71">
        <v>23</v>
      </c>
      <c r="F167" s="49" t="s">
        <v>157</v>
      </c>
      <c r="G167" s="33" t="s">
        <v>159</v>
      </c>
      <c r="H167" s="34">
        <f>H43</f>
        <v>200000</v>
      </c>
      <c r="I167" s="34">
        <f>I43</f>
        <v>200000</v>
      </c>
      <c r="J167" s="34"/>
      <c r="K167" s="34"/>
      <c r="L167" s="34">
        <f>L43</f>
        <v>0</v>
      </c>
      <c r="M167" s="34">
        <f>M43</f>
        <v>0</v>
      </c>
      <c r="N167" s="34"/>
      <c r="O167" s="34"/>
      <c r="P167" s="35">
        <f t="shared" si="90"/>
        <v>0</v>
      </c>
      <c r="Q167" s="26">
        <f t="shared" si="92"/>
        <v>-200000</v>
      </c>
    </row>
    <row r="168" spans="1:17" s="36" customFormat="1" ht="41.4" x14ac:dyDescent="0.25">
      <c r="A168" s="33">
        <v>11</v>
      </c>
      <c r="B168" s="21"/>
      <c r="C168" s="21"/>
      <c r="D168" s="69"/>
      <c r="E168" s="69">
        <v>25</v>
      </c>
      <c r="F168" s="32" t="s">
        <v>182</v>
      </c>
      <c r="G168" s="33" t="s">
        <v>206</v>
      </c>
      <c r="H168" s="34">
        <f t="shared" ref="H168:O168" si="105">H55+H85</f>
        <v>2439165.3199999998</v>
      </c>
      <c r="I168" s="34">
        <f t="shared" si="105"/>
        <v>2439165.3199999998</v>
      </c>
      <c r="J168" s="34">
        <f t="shared" si="105"/>
        <v>0</v>
      </c>
      <c r="K168" s="34">
        <f t="shared" si="105"/>
        <v>0</v>
      </c>
      <c r="L168" s="34">
        <f t="shared" si="105"/>
        <v>2333958.2000000002</v>
      </c>
      <c r="M168" s="34">
        <f t="shared" si="105"/>
        <v>2333958.2000000002</v>
      </c>
      <c r="N168" s="34">
        <f t="shared" si="105"/>
        <v>0</v>
      </c>
      <c r="O168" s="34">
        <f t="shared" si="105"/>
        <v>0</v>
      </c>
      <c r="P168" s="35">
        <f t="shared" si="90"/>
        <v>0.95686757304338865</v>
      </c>
      <c r="Q168" s="26">
        <f>L168-H168</f>
        <v>-105207.11999999965</v>
      </c>
    </row>
    <row r="169" spans="1:17" s="36" customFormat="1" ht="41.4" x14ac:dyDescent="0.25">
      <c r="A169" s="33">
        <v>12</v>
      </c>
      <c r="B169" s="21"/>
      <c r="C169" s="21"/>
      <c r="D169" s="69"/>
      <c r="E169" s="69">
        <v>28</v>
      </c>
      <c r="F169" s="32" t="s">
        <v>148</v>
      </c>
      <c r="G169" s="53" t="s">
        <v>197</v>
      </c>
      <c r="H169" s="34">
        <f>H84+H86+H87+H88+H89</f>
        <v>4440926</v>
      </c>
      <c r="I169" s="34">
        <f>I84+I86+I87+I88+I89</f>
        <v>3745826</v>
      </c>
      <c r="J169" s="34">
        <f>J84+J86+J87+J88+J89</f>
        <v>695100</v>
      </c>
      <c r="K169" s="34">
        <f>K84+K86+K87+K88</f>
        <v>420100</v>
      </c>
      <c r="L169" s="34">
        <f>L84+L86+L87+L88+L89</f>
        <v>2763920.46</v>
      </c>
      <c r="M169" s="34">
        <f>M84+M86+M87+M88+M89</f>
        <v>2207276.46</v>
      </c>
      <c r="N169" s="34">
        <f>N84+N86+N87+N88+N89</f>
        <v>556644</v>
      </c>
      <c r="O169" s="34">
        <f>O84+O86+O87+O88</f>
        <v>420062</v>
      </c>
      <c r="P169" s="35">
        <f t="shared" si="90"/>
        <v>0.62237480651557808</v>
      </c>
      <c r="Q169" s="26">
        <f>L169-H169</f>
        <v>-1677005.54</v>
      </c>
    </row>
    <row r="170" spans="1:17" s="36" customFormat="1" ht="41.4" x14ac:dyDescent="0.25">
      <c r="A170" s="33">
        <v>13</v>
      </c>
      <c r="B170" s="21"/>
      <c r="C170" s="21"/>
      <c r="D170" s="69"/>
      <c r="E170" s="69">
        <v>29</v>
      </c>
      <c r="F170" s="32" t="s">
        <v>169</v>
      </c>
      <c r="G170" s="33" t="s">
        <v>198</v>
      </c>
      <c r="H170" s="34">
        <f t="shared" ref="H170:O170" si="106">H68+H93</f>
        <v>1414500</v>
      </c>
      <c r="I170" s="34">
        <f t="shared" si="106"/>
        <v>1414500</v>
      </c>
      <c r="J170" s="34">
        <f t="shared" si="106"/>
        <v>0</v>
      </c>
      <c r="K170" s="34">
        <f t="shared" si="106"/>
        <v>0</v>
      </c>
      <c r="L170" s="34">
        <f t="shared" si="106"/>
        <v>905517.62000000011</v>
      </c>
      <c r="M170" s="34">
        <f t="shared" si="106"/>
        <v>905517.62000000011</v>
      </c>
      <c r="N170" s="34">
        <f t="shared" si="106"/>
        <v>0</v>
      </c>
      <c r="O170" s="34">
        <f t="shared" si="106"/>
        <v>0</v>
      </c>
      <c r="P170" s="35">
        <f t="shared" si="90"/>
        <v>0.6401679886885826</v>
      </c>
      <c r="Q170" s="26">
        <f t="shared" si="92"/>
        <v>-508982.37999999989</v>
      </c>
    </row>
    <row r="171" spans="1:17" s="36" customFormat="1" ht="41.4" x14ac:dyDescent="0.25">
      <c r="A171" s="33">
        <v>14</v>
      </c>
      <c r="B171" s="21"/>
      <c r="C171" s="21"/>
      <c r="D171" s="69"/>
      <c r="E171" s="69">
        <v>30</v>
      </c>
      <c r="F171" s="32" t="s">
        <v>160</v>
      </c>
      <c r="G171" s="33" t="s">
        <v>186</v>
      </c>
      <c r="H171" s="34">
        <f>H94+H95+H96+H97+H98+H100</f>
        <v>10094691</v>
      </c>
      <c r="I171" s="34">
        <f>I94+I95+I96+I97+I98+I100</f>
        <v>5736556</v>
      </c>
      <c r="J171" s="34">
        <f t="shared" ref="J171:O171" si="107">J94+J95+J96+J97+J98+J100</f>
        <v>4358135</v>
      </c>
      <c r="K171" s="34">
        <f t="shared" si="107"/>
        <v>0</v>
      </c>
      <c r="L171" s="34">
        <f t="shared" si="107"/>
        <v>3641999.8899999997</v>
      </c>
      <c r="M171" s="34">
        <f t="shared" si="107"/>
        <v>3641999.8899999997</v>
      </c>
      <c r="N171" s="34">
        <f t="shared" si="107"/>
        <v>0</v>
      </c>
      <c r="O171" s="34">
        <f t="shared" si="107"/>
        <v>0</v>
      </c>
      <c r="P171" s="35">
        <f t="shared" si="90"/>
        <v>0.36078369214075001</v>
      </c>
      <c r="Q171" s="26">
        <f t="shared" si="92"/>
        <v>-6452691.1100000003</v>
      </c>
    </row>
    <row r="172" spans="1:17" s="36" customFormat="1" ht="41.4" x14ac:dyDescent="0.25">
      <c r="A172" s="33">
        <v>15</v>
      </c>
      <c r="B172" s="21"/>
      <c r="C172" s="21"/>
      <c r="D172" s="69"/>
      <c r="E172" s="69">
        <v>32</v>
      </c>
      <c r="F172" s="32" t="s">
        <v>184</v>
      </c>
      <c r="G172" s="33" t="s">
        <v>183</v>
      </c>
      <c r="H172" s="34">
        <f t="shared" ref="H172:O172" si="108">H44</f>
        <v>15000</v>
      </c>
      <c r="I172" s="34">
        <f t="shared" si="108"/>
        <v>15000</v>
      </c>
      <c r="J172" s="34">
        <f t="shared" si="108"/>
        <v>0</v>
      </c>
      <c r="K172" s="34">
        <f t="shared" si="108"/>
        <v>0</v>
      </c>
      <c r="L172" s="34">
        <f t="shared" si="108"/>
        <v>12000</v>
      </c>
      <c r="M172" s="34">
        <f t="shared" si="108"/>
        <v>12000</v>
      </c>
      <c r="N172" s="34">
        <f t="shared" si="108"/>
        <v>0</v>
      </c>
      <c r="O172" s="34">
        <f t="shared" si="108"/>
        <v>0</v>
      </c>
      <c r="P172" s="35">
        <f t="shared" si="90"/>
        <v>0.8</v>
      </c>
      <c r="Q172" s="26">
        <f t="shared" si="92"/>
        <v>-3000</v>
      </c>
    </row>
    <row r="173" spans="1:17" s="36" customFormat="1" ht="41.4" x14ac:dyDescent="0.25">
      <c r="A173" s="33">
        <v>16</v>
      </c>
      <c r="B173" s="21"/>
      <c r="C173" s="21"/>
      <c r="D173" s="69"/>
      <c r="E173" s="71">
        <v>36</v>
      </c>
      <c r="F173" s="49" t="s">
        <v>187</v>
      </c>
      <c r="G173" s="33" t="s">
        <v>199</v>
      </c>
      <c r="H173" s="34">
        <f t="shared" ref="H173:O173" si="109">H34</f>
        <v>3292140</v>
      </c>
      <c r="I173" s="34">
        <f t="shared" si="109"/>
        <v>2270000</v>
      </c>
      <c r="J173" s="34">
        <f t="shared" si="109"/>
        <v>1022140</v>
      </c>
      <c r="K173" s="34">
        <f t="shared" si="109"/>
        <v>1022140</v>
      </c>
      <c r="L173" s="34">
        <f t="shared" si="109"/>
        <v>2346231</v>
      </c>
      <c r="M173" s="34">
        <f t="shared" si="109"/>
        <v>1525494</v>
      </c>
      <c r="N173" s="34">
        <f t="shared" si="109"/>
        <v>820737</v>
      </c>
      <c r="O173" s="34">
        <f t="shared" si="109"/>
        <v>820737</v>
      </c>
      <c r="P173" s="35">
        <f t="shared" si="90"/>
        <v>0.71267655689004716</v>
      </c>
      <c r="Q173" s="26">
        <f t="shared" si="92"/>
        <v>-945909</v>
      </c>
    </row>
    <row r="174" spans="1:17" s="36" customFormat="1" ht="69" x14ac:dyDescent="0.25">
      <c r="A174" s="33">
        <v>17</v>
      </c>
      <c r="B174" s="21"/>
      <c r="C174" s="21"/>
      <c r="D174" s="69"/>
      <c r="E174" s="69">
        <v>40</v>
      </c>
      <c r="F174" s="32" t="s">
        <v>280</v>
      </c>
      <c r="G174" s="33" t="s">
        <v>311</v>
      </c>
      <c r="H174" s="34">
        <f t="shared" ref="H174:O174" si="110">H104+H108+H113+H118+H120</f>
        <v>6127876.0499999998</v>
      </c>
      <c r="I174" s="34">
        <f t="shared" si="110"/>
        <v>0</v>
      </c>
      <c r="J174" s="34">
        <f t="shared" si="110"/>
        <v>6127876.0499999998</v>
      </c>
      <c r="K174" s="34">
        <f t="shared" si="110"/>
        <v>5515089</v>
      </c>
      <c r="L174" s="34">
        <f t="shared" si="110"/>
        <v>2277521.9299999997</v>
      </c>
      <c r="M174" s="34">
        <f t="shared" si="110"/>
        <v>0</v>
      </c>
      <c r="N174" s="34">
        <f t="shared" si="110"/>
        <v>2277521.9299999997</v>
      </c>
      <c r="O174" s="34">
        <f t="shared" si="110"/>
        <v>2049769.7399999998</v>
      </c>
      <c r="P174" s="35">
        <f t="shared" si="90"/>
        <v>0.37166579601426497</v>
      </c>
      <c r="Q174" s="26">
        <f t="shared" si="92"/>
        <v>-3850354.12</v>
      </c>
    </row>
    <row r="175" spans="1:17" s="36" customFormat="1" ht="82.8" x14ac:dyDescent="0.25">
      <c r="A175" s="33">
        <v>18</v>
      </c>
      <c r="B175" s="21"/>
      <c r="C175" s="21"/>
      <c r="D175" s="69"/>
      <c r="E175" s="69">
        <v>45</v>
      </c>
      <c r="F175" s="37" t="s">
        <v>202</v>
      </c>
      <c r="G175" s="64" t="s">
        <v>260</v>
      </c>
      <c r="H175" s="34">
        <f>H137</f>
        <v>1500000</v>
      </c>
      <c r="I175" s="34">
        <f>I137</f>
        <v>1500000</v>
      </c>
      <c r="J175" s="34">
        <f>K175</f>
        <v>0</v>
      </c>
      <c r="K175" s="34"/>
      <c r="L175" s="34">
        <f>L137</f>
        <v>1106230</v>
      </c>
      <c r="M175" s="34">
        <f>M137</f>
        <v>1106230</v>
      </c>
      <c r="N175" s="34">
        <f>O175</f>
        <v>0</v>
      </c>
      <c r="O175" s="34"/>
      <c r="P175" s="35">
        <f t="shared" si="90"/>
        <v>0.73748666666666662</v>
      </c>
      <c r="Q175" s="26">
        <f t="shared" si="92"/>
        <v>-393770</v>
      </c>
    </row>
    <row r="176" spans="1:17" s="36" customFormat="1" ht="27.6" x14ac:dyDescent="0.25">
      <c r="A176" s="33">
        <v>19</v>
      </c>
      <c r="B176" s="21"/>
      <c r="C176" s="21"/>
      <c r="D176" s="69"/>
      <c r="E176" s="69">
        <v>53</v>
      </c>
      <c r="F176" s="32" t="s">
        <v>227</v>
      </c>
      <c r="G176" s="33" t="s">
        <v>228</v>
      </c>
      <c r="H176" s="34">
        <f>H103</f>
        <v>30000</v>
      </c>
      <c r="I176" s="34">
        <f>I103</f>
        <v>30000</v>
      </c>
      <c r="J176" s="34"/>
      <c r="K176" s="34"/>
      <c r="L176" s="34">
        <f>L103</f>
        <v>0</v>
      </c>
      <c r="M176" s="34">
        <f>M103</f>
        <v>0</v>
      </c>
      <c r="N176" s="34"/>
      <c r="O176" s="34"/>
      <c r="P176" s="35">
        <f t="shared" si="90"/>
        <v>0</v>
      </c>
      <c r="Q176" s="26">
        <f t="shared" si="92"/>
        <v>-30000</v>
      </c>
    </row>
    <row r="177" spans="1:17" s="36" customFormat="1" ht="55.2" x14ac:dyDescent="0.25">
      <c r="A177" s="33">
        <v>20</v>
      </c>
      <c r="B177" s="73"/>
      <c r="C177" s="21"/>
      <c r="D177" s="69"/>
      <c r="E177" s="69">
        <v>56</v>
      </c>
      <c r="F177" s="32" t="s">
        <v>214</v>
      </c>
      <c r="G177" s="33" t="s">
        <v>310</v>
      </c>
      <c r="H177" s="74">
        <f>H37+H124</f>
        <v>2033700</v>
      </c>
      <c r="I177" s="74">
        <f>I37+I124</f>
        <v>0</v>
      </c>
      <c r="J177" s="74">
        <f>J37+J124</f>
        <v>2033700</v>
      </c>
      <c r="K177" s="74">
        <f t="shared" ref="K177:O177" si="111">K37+K124</f>
        <v>0</v>
      </c>
      <c r="L177" s="74">
        <f t="shared" si="111"/>
        <v>0</v>
      </c>
      <c r="M177" s="74">
        <f t="shared" si="111"/>
        <v>0</v>
      </c>
      <c r="N177" s="74">
        <f t="shared" si="111"/>
        <v>0</v>
      </c>
      <c r="O177" s="74">
        <f t="shared" si="111"/>
        <v>0</v>
      </c>
      <c r="P177" s="35">
        <f t="shared" si="90"/>
        <v>0</v>
      </c>
      <c r="Q177" s="26">
        <f t="shared" si="92"/>
        <v>-2033700</v>
      </c>
    </row>
    <row r="178" spans="1:17" s="36" customFormat="1" ht="69" x14ac:dyDescent="0.25">
      <c r="A178" s="53">
        <v>21</v>
      </c>
      <c r="B178" s="73"/>
      <c r="C178" s="73"/>
      <c r="D178" s="75"/>
      <c r="E178" s="75">
        <v>60</v>
      </c>
      <c r="F178" s="61" t="s">
        <v>281</v>
      </c>
      <c r="G178" s="53" t="s">
        <v>282</v>
      </c>
      <c r="H178" s="74">
        <f t="shared" ref="H178:O178" si="112">H109</f>
        <v>1095000</v>
      </c>
      <c r="I178" s="74">
        <f t="shared" si="112"/>
        <v>0</v>
      </c>
      <c r="J178" s="74">
        <f t="shared" si="112"/>
        <v>1095000</v>
      </c>
      <c r="K178" s="74">
        <f t="shared" si="112"/>
        <v>1095000</v>
      </c>
      <c r="L178" s="74">
        <f t="shared" si="112"/>
        <v>70017.3</v>
      </c>
      <c r="M178" s="74">
        <f t="shared" si="112"/>
        <v>0</v>
      </c>
      <c r="N178" s="74">
        <f t="shared" si="112"/>
        <v>70017.3</v>
      </c>
      <c r="O178" s="74">
        <f t="shared" si="112"/>
        <v>70017.3</v>
      </c>
      <c r="P178" s="35">
        <f t="shared" si="90"/>
        <v>6.3942739726027403E-2</v>
      </c>
      <c r="Q178" s="26">
        <f t="shared" si="92"/>
        <v>-1024982.7</v>
      </c>
    </row>
    <row r="179" spans="1:17" s="36" customFormat="1" ht="41.4" x14ac:dyDescent="0.25">
      <c r="A179" s="33">
        <v>22</v>
      </c>
      <c r="B179" s="21"/>
      <c r="C179" s="21"/>
      <c r="D179" s="69"/>
      <c r="E179" s="69">
        <v>61</v>
      </c>
      <c r="F179" s="32" t="s">
        <v>258</v>
      </c>
      <c r="G179" s="33" t="s">
        <v>308</v>
      </c>
      <c r="H179" s="34">
        <f>I179+J179</f>
        <v>5441240</v>
      </c>
      <c r="I179" s="34">
        <f>I29+I59+I76+I81+I90+I99+I117+I133+I139+I144</f>
        <v>4370640</v>
      </c>
      <c r="J179" s="34">
        <f>J29+J59+J76+J81+J90+J99+J117+J133+J139+J144</f>
        <v>1070600</v>
      </c>
      <c r="K179" s="34">
        <f>K29+K59+K76+K81+K90+K99+K117+K133+K139+K144</f>
        <v>1070600</v>
      </c>
      <c r="L179" s="34">
        <f>M179+N179</f>
        <v>3315610.71</v>
      </c>
      <c r="M179" s="34">
        <f>M29+M59+M76+M81+M90+M99+M117+M133+M139+M144</f>
        <v>2672610.71</v>
      </c>
      <c r="N179" s="34">
        <f>N29+N59+N76+N81+N90+N99+N117+N133+N139+N144</f>
        <v>643000</v>
      </c>
      <c r="O179" s="34">
        <f>O29+O59+O76+O81+O90+O99+O117+O133+O139+O144</f>
        <v>643000</v>
      </c>
      <c r="P179" s="35">
        <f t="shared" si="90"/>
        <v>0.60934836728392794</v>
      </c>
      <c r="Q179" s="26">
        <f t="shared" si="92"/>
        <v>-2125629.29</v>
      </c>
    </row>
    <row r="180" spans="1:17" s="36" customFormat="1" ht="55.2" x14ac:dyDescent="0.25">
      <c r="A180" s="64">
        <v>23</v>
      </c>
      <c r="B180" s="76"/>
      <c r="C180" s="76"/>
      <c r="D180" s="71"/>
      <c r="E180" s="71">
        <v>65</v>
      </c>
      <c r="F180" s="49" t="s">
        <v>252</v>
      </c>
      <c r="G180" s="64" t="s">
        <v>265</v>
      </c>
      <c r="H180" s="77">
        <f>H80</f>
        <v>14400</v>
      </c>
      <c r="I180" s="77">
        <f>I80</f>
        <v>14400</v>
      </c>
      <c r="J180" s="77"/>
      <c r="K180" s="77"/>
      <c r="L180" s="77">
        <f>L80</f>
        <v>7990</v>
      </c>
      <c r="M180" s="77">
        <f>M80</f>
        <v>7990</v>
      </c>
      <c r="N180" s="77"/>
      <c r="O180" s="77"/>
      <c r="P180" s="35">
        <f t="shared" si="90"/>
        <v>0.55486111111111114</v>
      </c>
      <c r="Q180" s="26">
        <f t="shared" si="92"/>
        <v>-6410</v>
      </c>
    </row>
    <row r="181" spans="1:17" s="36" customFormat="1" ht="55.2" x14ac:dyDescent="0.25">
      <c r="A181" s="33">
        <v>24</v>
      </c>
      <c r="B181" s="21"/>
      <c r="C181" s="21"/>
      <c r="D181" s="69"/>
      <c r="E181" s="71">
        <v>66</v>
      </c>
      <c r="F181" s="49" t="s">
        <v>257</v>
      </c>
      <c r="G181" s="33" t="s">
        <v>309</v>
      </c>
      <c r="H181" s="34">
        <f t="shared" ref="H181:O181" si="113">H35+H36+H123+H141+H148+H152</f>
        <v>102484200</v>
      </c>
      <c r="I181" s="34">
        <f t="shared" si="113"/>
        <v>65144018</v>
      </c>
      <c r="J181" s="34">
        <f t="shared" si="113"/>
        <v>37340182</v>
      </c>
      <c r="K181" s="34">
        <f t="shared" si="113"/>
        <v>37340182</v>
      </c>
      <c r="L181" s="34">
        <f t="shared" si="113"/>
        <v>76291072.129999995</v>
      </c>
      <c r="M181" s="34">
        <f t="shared" si="113"/>
        <v>44536389.530000001</v>
      </c>
      <c r="N181" s="34">
        <f t="shared" si="113"/>
        <v>31754682.600000001</v>
      </c>
      <c r="O181" s="34">
        <f t="shared" si="113"/>
        <v>31754682.600000001</v>
      </c>
      <c r="P181" s="35">
        <f t="shared" si="90"/>
        <v>0.74441789202628306</v>
      </c>
      <c r="Q181" s="26">
        <f t="shared" si="92"/>
        <v>-26193127.870000005</v>
      </c>
    </row>
    <row r="182" spans="1:17" s="36" customFormat="1" ht="41.4" x14ac:dyDescent="0.25">
      <c r="A182" s="33">
        <v>25</v>
      </c>
      <c r="B182" s="21"/>
      <c r="C182" s="21"/>
      <c r="D182" s="69"/>
      <c r="E182" s="69">
        <v>67</v>
      </c>
      <c r="F182" s="32" t="s">
        <v>234</v>
      </c>
      <c r="G182" s="33" t="s">
        <v>312</v>
      </c>
      <c r="H182" s="34">
        <f t="shared" ref="H182:O182" si="114">H119+H121+H140</f>
        <v>81718520</v>
      </c>
      <c r="I182" s="34">
        <f t="shared" si="114"/>
        <v>79068010</v>
      </c>
      <c r="J182" s="34">
        <f t="shared" si="114"/>
        <v>2650510</v>
      </c>
      <c r="K182" s="34">
        <f t="shared" si="114"/>
        <v>2650510</v>
      </c>
      <c r="L182" s="34">
        <f t="shared" si="114"/>
        <v>69742964.770000011</v>
      </c>
      <c r="M182" s="34">
        <f t="shared" si="114"/>
        <v>67092458.170000002</v>
      </c>
      <c r="N182" s="34">
        <f t="shared" si="114"/>
        <v>2650506.6</v>
      </c>
      <c r="O182" s="34">
        <f t="shared" si="114"/>
        <v>2650506.6</v>
      </c>
      <c r="P182" s="35">
        <f t="shared" si="90"/>
        <v>0.85345359619826711</v>
      </c>
      <c r="Q182" s="26">
        <f t="shared" si="92"/>
        <v>-11975555.229999989</v>
      </c>
    </row>
    <row r="183" spans="1:17" s="36" customFormat="1" ht="41.4" x14ac:dyDescent="0.25">
      <c r="A183" s="33">
        <v>26</v>
      </c>
      <c r="B183" s="21"/>
      <c r="C183" s="21"/>
      <c r="D183" s="69"/>
      <c r="E183" s="69">
        <v>68</v>
      </c>
      <c r="F183" s="32" t="s">
        <v>256</v>
      </c>
      <c r="G183" s="33" t="s">
        <v>307</v>
      </c>
      <c r="H183" s="34">
        <f>H25+H105+H106+H110+H111+H112+H116+H130+H150</f>
        <v>175487958.75999999</v>
      </c>
      <c r="I183" s="34">
        <f>I25+I105+I106+I110+I111+I112+I116+I130+I150</f>
        <v>138305904</v>
      </c>
      <c r="J183" s="34">
        <f>J25+J105+J106+J110+J111+J112+J116+J130+J150</f>
        <v>37182054.760000005</v>
      </c>
      <c r="K183" s="34">
        <f t="shared" ref="K183:O183" si="115">K25+K105+K106+K110+K111+K112+K116+K130+K150</f>
        <v>37182054.760000005</v>
      </c>
      <c r="L183" s="34">
        <f t="shared" si="115"/>
        <v>102857923.59000002</v>
      </c>
      <c r="M183" s="34">
        <f t="shared" si="115"/>
        <v>93080076.900000006</v>
      </c>
      <c r="N183" s="34">
        <f t="shared" si="115"/>
        <v>9777846.6899999995</v>
      </c>
      <c r="O183" s="34">
        <f t="shared" si="115"/>
        <v>9777846.6899999995</v>
      </c>
      <c r="P183" s="35">
        <f t="shared" si="90"/>
        <v>0.58612524937206711</v>
      </c>
      <c r="Q183" s="26">
        <f t="shared" si="92"/>
        <v>-72630035.169999972</v>
      </c>
    </row>
    <row r="184" spans="1:17" s="36" customFormat="1" ht="41.4" x14ac:dyDescent="0.25">
      <c r="A184" s="33">
        <v>27</v>
      </c>
      <c r="B184" s="21"/>
      <c r="C184" s="21"/>
      <c r="D184" s="69"/>
      <c r="E184" s="78">
        <v>69</v>
      </c>
      <c r="F184" s="40" t="s">
        <v>255</v>
      </c>
      <c r="G184" s="33" t="s">
        <v>266</v>
      </c>
      <c r="H184" s="34">
        <f t="shared" ref="H184:O184" si="116">H21</f>
        <v>500000</v>
      </c>
      <c r="I184" s="34">
        <f t="shared" si="116"/>
        <v>500000</v>
      </c>
      <c r="J184" s="34">
        <f t="shared" si="116"/>
        <v>0</v>
      </c>
      <c r="K184" s="34">
        <f t="shared" si="116"/>
        <v>0</v>
      </c>
      <c r="L184" s="34">
        <f t="shared" si="116"/>
        <v>478000</v>
      </c>
      <c r="M184" s="34">
        <f t="shared" si="116"/>
        <v>478000</v>
      </c>
      <c r="N184" s="34">
        <f t="shared" si="116"/>
        <v>0</v>
      </c>
      <c r="O184" s="34">
        <f t="shared" si="116"/>
        <v>0</v>
      </c>
      <c r="P184" s="35">
        <f t="shared" si="90"/>
        <v>0.95599999999999996</v>
      </c>
      <c r="Q184" s="26">
        <f t="shared" si="92"/>
        <v>-22000</v>
      </c>
    </row>
    <row r="185" spans="1:17" s="36" customFormat="1" ht="69" x14ac:dyDescent="0.25">
      <c r="A185" s="33">
        <v>28</v>
      </c>
      <c r="B185" s="21"/>
      <c r="C185" s="21"/>
      <c r="D185" s="69"/>
      <c r="E185" s="69">
        <v>70</v>
      </c>
      <c r="F185" s="32" t="s">
        <v>222</v>
      </c>
      <c r="G185" s="33" t="s">
        <v>267</v>
      </c>
      <c r="H185" s="34">
        <f t="shared" ref="H185:O186" si="117">H146</f>
        <v>2053700</v>
      </c>
      <c r="I185" s="34">
        <f t="shared" si="117"/>
        <v>2053700</v>
      </c>
      <c r="J185" s="34">
        <f t="shared" si="117"/>
        <v>0</v>
      </c>
      <c r="K185" s="34">
        <f t="shared" si="117"/>
        <v>0</v>
      </c>
      <c r="L185" s="34">
        <f t="shared" si="117"/>
        <v>2053700</v>
      </c>
      <c r="M185" s="34">
        <f t="shared" si="117"/>
        <v>2053700</v>
      </c>
      <c r="N185" s="34">
        <f t="shared" si="117"/>
        <v>0</v>
      </c>
      <c r="O185" s="34">
        <f t="shared" si="117"/>
        <v>0</v>
      </c>
      <c r="P185" s="35">
        <f t="shared" si="90"/>
        <v>1</v>
      </c>
      <c r="Q185" s="26">
        <f t="shared" si="92"/>
        <v>0</v>
      </c>
    </row>
    <row r="186" spans="1:17" s="36" customFormat="1" ht="27.6" x14ac:dyDescent="0.25">
      <c r="A186" s="33">
        <v>29</v>
      </c>
      <c r="B186" s="21"/>
      <c r="C186" s="21"/>
      <c r="D186" s="69"/>
      <c r="E186" s="69">
        <v>71</v>
      </c>
      <c r="F186" s="37" t="s">
        <v>241</v>
      </c>
      <c r="G186" s="33" t="s">
        <v>268</v>
      </c>
      <c r="H186" s="34">
        <f t="shared" si="117"/>
        <v>500000</v>
      </c>
      <c r="I186" s="34">
        <f t="shared" si="117"/>
        <v>500000</v>
      </c>
      <c r="J186" s="34">
        <f t="shared" si="117"/>
        <v>0</v>
      </c>
      <c r="K186" s="34">
        <f t="shared" si="117"/>
        <v>0</v>
      </c>
      <c r="L186" s="34">
        <f t="shared" si="117"/>
        <v>500000</v>
      </c>
      <c r="M186" s="34">
        <f t="shared" si="117"/>
        <v>500000</v>
      </c>
      <c r="N186" s="34">
        <f t="shared" si="117"/>
        <v>0</v>
      </c>
      <c r="O186" s="34">
        <f t="shared" si="117"/>
        <v>0</v>
      </c>
      <c r="P186" s="35">
        <f t="shared" si="90"/>
        <v>1</v>
      </c>
      <c r="Q186" s="26">
        <f t="shared" si="92"/>
        <v>0</v>
      </c>
    </row>
    <row r="187" spans="1:17" s="36" customFormat="1" ht="27.6" x14ac:dyDescent="0.25">
      <c r="A187" s="33">
        <v>30</v>
      </c>
      <c r="B187" s="21"/>
      <c r="C187" s="21"/>
      <c r="D187" s="69"/>
      <c r="E187" s="69">
        <v>72</v>
      </c>
      <c r="F187" s="37" t="s">
        <v>269</v>
      </c>
      <c r="G187" s="33" t="s">
        <v>313</v>
      </c>
      <c r="H187" s="34">
        <f t="shared" ref="H187:O187" si="118">H153</f>
        <v>3000000</v>
      </c>
      <c r="I187" s="34">
        <f t="shared" si="118"/>
        <v>1970000</v>
      </c>
      <c r="J187" s="34">
        <f t="shared" si="118"/>
        <v>1030000</v>
      </c>
      <c r="K187" s="34">
        <f t="shared" si="118"/>
        <v>1030000</v>
      </c>
      <c r="L187" s="34">
        <f t="shared" si="118"/>
        <v>2999900</v>
      </c>
      <c r="M187" s="34">
        <f t="shared" si="118"/>
        <v>1970000</v>
      </c>
      <c r="N187" s="34">
        <f t="shared" si="118"/>
        <v>1029900</v>
      </c>
      <c r="O187" s="34">
        <f t="shared" si="118"/>
        <v>1029900</v>
      </c>
      <c r="P187" s="35">
        <f t="shared" si="90"/>
        <v>0.99996666666666667</v>
      </c>
      <c r="Q187" s="26">
        <f t="shared" si="92"/>
        <v>-100</v>
      </c>
    </row>
    <row r="188" spans="1:17" s="36" customFormat="1" ht="41.4" x14ac:dyDescent="0.25">
      <c r="A188" s="33">
        <v>31</v>
      </c>
      <c r="B188" s="21"/>
      <c r="C188" s="21"/>
      <c r="D188" s="69"/>
      <c r="E188" s="37">
        <v>73</v>
      </c>
      <c r="F188" s="32" t="s">
        <v>327</v>
      </c>
      <c r="G188" s="33" t="s">
        <v>330</v>
      </c>
      <c r="H188" s="34">
        <f t="shared" ref="H188:O188" si="119">H27+H28</f>
        <v>4283400</v>
      </c>
      <c r="I188" s="34">
        <f t="shared" si="119"/>
        <v>80000</v>
      </c>
      <c r="J188" s="34">
        <f t="shared" si="119"/>
        <v>4203400</v>
      </c>
      <c r="K188" s="34">
        <f t="shared" si="119"/>
        <v>4203400</v>
      </c>
      <c r="L188" s="34">
        <f t="shared" si="119"/>
        <v>283333.33</v>
      </c>
      <c r="M188" s="34">
        <f t="shared" si="119"/>
        <v>0</v>
      </c>
      <c r="N188" s="34">
        <f t="shared" si="119"/>
        <v>283333.33</v>
      </c>
      <c r="O188" s="34">
        <f t="shared" si="119"/>
        <v>283333.33</v>
      </c>
      <c r="P188" s="35">
        <f t="shared" si="90"/>
        <v>6.6146829621328854E-2</v>
      </c>
      <c r="Q188" s="26">
        <f>L188-H188</f>
        <v>-4000066.67</v>
      </c>
    </row>
    <row r="189" spans="1:17" s="36" customFormat="1" ht="41.4" x14ac:dyDescent="0.25">
      <c r="A189" s="33">
        <v>32</v>
      </c>
      <c r="B189" s="21"/>
      <c r="C189" s="21"/>
      <c r="D189" s="69"/>
      <c r="E189" s="37">
        <v>74</v>
      </c>
      <c r="F189" s="32" t="s">
        <v>325</v>
      </c>
      <c r="G189" s="33" t="s">
        <v>328</v>
      </c>
      <c r="H189" s="34">
        <f t="shared" ref="H189:O190" si="120">H154</f>
        <v>2000000</v>
      </c>
      <c r="I189" s="34">
        <f t="shared" si="120"/>
        <v>2000000</v>
      </c>
      <c r="J189" s="34">
        <f t="shared" si="120"/>
        <v>0</v>
      </c>
      <c r="K189" s="34">
        <f t="shared" si="120"/>
        <v>0</v>
      </c>
      <c r="L189" s="34">
        <f t="shared" si="120"/>
        <v>2000000</v>
      </c>
      <c r="M189" s="34">
        <f t="shared" si="120"/>
        <v>2000000</v>
      </c>
      <c r="N189" s="34">
        <f t="shared" si="120"/>
        <v>0</v>
      </c>
      <c r="O189" s="34">
        <f t="shared" si="120"/>
        <v>0</v>
      </c>
      <c r="P189" s="35">
        <f t="shared" si="90"/>
        <v>1</v>
      </c>
      <c r="Q189" s="26">
        <f t="shared" si="92"/>
        <v>0</v>
      </c>
    </row>
    <row r="190" spans="1:17" s="36" customFormat="1" ht="27.6" x14ac:dyDescent="0.25">
      <c r="A190" s="33">
        <v>33</v>
      </c>
      <c r="B190" s="21"/>
      <c r="C190" s="21"/>
      <c r="D190" s="69"/>
      <c r="E190" s="37">
        <v>75</v>
      </c>
      <c r="F190" s="32" t="s">
        <v>326</v>
      </c>
      <c r="G190" s="33" t="s">
        <v>329</v>
      </c>
      <c r="H190" s="34">
        <f t="shared" si="120"/>
        <v>1419600</v>
      </c>
      <c r="I190" s="34">
        <f t="shared" si="120"/>
        <v>124600</v>
      </c>
      <c r="J190" s="34">
        <f t="shared" si="120"/>
        <v>1295000</v>
      </c>
      <c r="K190" s="34">
        <f t="shared" si="120"/>
        <v>1295000</v>
      </c>
      <c r="L190" s="34">
        <f t="shared" si="120"/>
        <v>1366462</v>
      </c>
      <c r="M190" s="34">
        <f t="shared" si="120"/>
        <v>124600</v>
      </c>
      <c r="N190" s="34">
        <f t="shared" si="120"/>
        <v>1241862</v>
      </c>
      <c r="O190" s="34">
        <f t="shared" si="120"/>
        <v>1241862</v>
      </c>
      <c r="P190" s="35">
        <f t="shared" si="90"/>
        <v>0.96256832910679069</v>
      </c>
      <c r="Q190" s="26">
        <f t="shared" si="92"/>
        <v>-53138</v>
      </c>
    </row>
    <row r="191" spans="1:17" s="36" customFormat="1" ht="57" customHeight="1" x14ac:dyDescent="0.25">
      <c r="A191" s="33">
        <v>34</v>
      </c>
      <c r="B191" s="21"/>
      <c r="C191" s="21"/>
      <c r="D191" s="69"/>
      <c r="E191" s="37">
        <v>76</v>
      </c>
      <c r="F191" s="32" t="s">
        <v>338</v>
      </c>
      <c r="G191" s="33" t="s">
        <v>344</v>
      </c>
      <c r="H191" s="34">
        <f t="shared" ref="H191:O191" si="121">H115+H138</f>
        <v>1140000</v>
      </c>
      <c r="I191" s="34">
        <f t="shared" si="121"/>
        <v>1140000</v>
      </c>
      <c r="J191" s="34">
        <f t="shared" si="121"/>
        <v>0</v>
      </c>
      <c r="K191" s="34">
        <f t="shared" si="121"/>
        <v>0</v>
      </c>
      <c r="L191" s="34">
        <f t="shared" si="121"/>
        <v>199909.8</v>
      </c>
      <c r="M191" s="34">
        <f t="shared" si="121"/>
        <v>199909.8</v>
      </c>
      <c r="N191" s="34">
        <f t="shared" si="121"/>
        <v>0</v>
      </c>
      <c r="O191" s="34">
        <f t="shared" si="121"/>
        <v>0</v>
      </c>
      <c r="P191" s="35">
        <f t="shared" si="90"/>
        <v>0.17535947368421051</v>
      </c>
      <c r="Q191" s="26">
        <f t="shared" si="92"/>
        <v>-940090.2</v>
      </c>
    </row>
    <row r="192" spans="1:17" s="36" customFormat="1" ht="111" customHeight="1" x14ac:dyDescent="0.25">
      <c r="A192" s="33">
        <v>35</v>
      </c>
      <c r="B192" s="21"/>
      <c r="C192" s="21"/>
      <c r="D192" s="69"/>
      <c r="E192" s="37"/>
      <c r="F192" s="32" t="s">
        <v>369</v>
      </c>
      <c r="G192" s="33" t="s">
        <v>370</v>
      </c>
      <c r="H192" s="34">
        <f>H149</f>
        <v>231812</v>
      </c>
      <c r="I192" s="34">
        <f t="shared" ref="I192:O192" si="122">I149</f>
        <v>231812</v>
      </c>
      <c r="J192" s="34">
        <f t="shared" si="122"/>
        <v>0</v>
      </c>
      <c r="K192" s="34">
        <f t="shared" si="122"/>
        <v>0</v>
      </c>
      <c r="L192" s="34">
        <f t="shared" si="122"/>
        <v>231812</v>
      </c>
      <c r="M192" s="34">
        <f t="shared" si="122"/>
        <v>231812</v>
      </c>
      <c r="N192" s="34">
        <f t="shared" si="122"/>
        <v>0</v>
      </c>
      <c r="O192" s="34">
        <f t="shared" si="122"/>
        <v>0</v>
      </c>
      <c r="P192" s="35">
        <f t="shared" ref="P192:P193" si="123">L192/H192</f>
        <v>1</v>
      </c>
      <c r="Q192" s="26">
        <f t="shared" ref="Q192" si="124">L192-H192</f>
        <v>0</v>
      </c>
    </row>
    <row r="193" spans="1:17" s="36" customFormat="1" ht="66" customHeight="1" x14ac:dyDescent="0.25">
      <c r="A193" s="33">
        <v>36</v>
      </c>
      <c r="B193" s="21"/>
      <c r="C193" s="21"/>
      <c r="D193" s="69"/>
      <c r="E193" s="37"/>
      <c r="F193" s="32" t="s">
        <v>371</v>
      </c>
      <c r="G193" s="33" t="s">
        <v>372</v>
      </c>
      <c r="H193" s="34">
        <f>H156</f>
        <v>1100000</v>
      </c>
      <c r="I193" s="34">
        <f t="shared" ref="I193:O193" si="125">I156</f>
        <v>0</v>
      </c>
      <c r="J193" s="34">
        <f t="shared" si="125"/>
        <v>1100000</v>
      </c>
      <c r="K193" s="34">
        <f t="shared" si="125"/>
        <v>1100000</v>
      </c>
      <c r="L193" s="34">
        <f>L156</f>
        <v>1100000</v>
      </c>
      <c r="M193" s="34">
        <f t="shared" si="125"/>
        <v>0</v>
      </c>
      <c r="N193" s="34">
        <f t="shared" si="125"/>
        <v>1100000</v>
      </c>
      <c r="O193" s="34">
        <f t="shared" si="125"/>
        <v>1100000</v>
      </c>
      <c r="P193" s="35">
        <f t="shared" si="123"/>
        <v>1</v>
      </c>
      <c r="Q193" s="26">
        <f>L193-H193</f>
        <v>0</v>
      </c>
    </row>
    <row r="194" spans="1:17" s="29" customFormat="1" ht="13.8" x14ac:dyDescent="0.25">
      <c r="A194" s="91" t="s">
        <v>221</v>
      </c>
      <c r="B194" s="91"/>
      <c r="C194" s="91"/>
      <c r="D194" s="91"/>
      <c r="E194" s="91"/>
      <c r="F194" s="91"/>
      <c r="G194" s="91"/>
      <c r="H194" s="26">
        <f>I194+J194</f>
        <v>798160471.22000003</v>
      </c>
      <c r="I194" s="26">
        <f>SUM(I158:I193)</f>
        <v>495886752.31999999</v>
      </c>
      <c r="J194" s="26">
        <f t="shared" ref="J194:K194" si="126">SUM(J158:J193)</f>
        <v>302273718.90000004</v>
      </c>
      <c r="K194" s="26">
        <f t="shared" si="126"/>
        <v>278297641.63</v>
      </c>
      <c r="L194" s="26">
        <f>M194+N194</f>
        <v>453997805.51000005</v>
      </c>
      <c r="M194" s="26">
        <f>SUM(M158:M193)</f>
        <v>327043711.50000006</v>
      </c>
      <c r="N194" s="26">
        <f>SUM(N158:N193)</f>
        <v>126954094.01000001</v>
      </c>
      <c r="O194" s="26">
        <f>SUM(O158:O193)</f>
        <v>119679878.28999998</v>
      </c>
      <c r="P194" s="27">
        <f t="shared" ref="P194" si="127">L194/H194</f>
        <v>0.56880517374664985</v>
      </c>
      <c r="Q194" s="28">
        <f t="shared" si="92"/>
        <v>-344162665.70999998</v>
      </c>
    </row>
    <row r="195" spans="1:17" s="36" customFormat="1" ht="7.2" customHeight="1" x14ac:dyDescent="0.25">
      <c r="A195" s="79"/>
      <c r="B195" s="79"/>
      <c r="C195" s="79"/>
      <c r="D195" s="7"/>
      <c r="E195" s="79"/>
      <c r="F195" s="80"/>
      <c r="G195" s="81"/>
      <c r="H195" s="82"/>
      <c r="I195" s="82"/>
      <c r="J195" s="82"/>
      <c r="K195" s="82"/>
    </row>
    <row r="196" spans="1:17" s="36" customFormat="1" ht="13.8" x14ac:dyDescent="0.25">
      <c r="A196" s="83"/>
      <c r="B196" s="79"/>
      <c r="C196" s="83"/>
      <c r="D196" s="36" t="s">
        <v>212</v>
      </c>
      <c r="E196" s="79"/>
      <c r="F196" s="84"/>
      <c r="G196" s="79" t="s">
        <v>213</v>
      </c>
      <c r="H196" s="79"/>
      <c r="I196" s="79"/>
      <c r="J196" s="79"/>
      <c r="K196" s="79"/>
    </row>
    <row r="197" spans="1:17" s="36" customFormat="1" x14ac:dyDescent="0.3">
      <c r="A197" s="3"/>
      <c r="B197" s="4"/>
      <c r="C197" s="3"/>
      <c r="D197" s="5"/>
      <c r="E197" s="4"/>
      <c r="F197" s="84"/>
      <c r="G197" s="4"/>
      <c r="H197" s="1"/>
      <c r="I197" s="1"/>
      <c r="J197" s="1">
        <f>J157-J194</f>
        <v>0</v>
      </c>
      <c r="K197" s="1">
        <f>K157-K194</f>
        <v>0</v>
      </c>
    </row>
    <row r="198" spans="1:17" x14ac:dyDescent="0.3">
      <c r="F198" s="84"/>
      <c r="H198" s="85"/>
      <c r="I198" s="85"/>
      <c r="J198" s="85"/>
      <c r="K198" s="85"/>
    </row>
    <row r="199" spans="1:17" x14ac:dyDescent="0.3">
      <c r="B199" s="3"/>
    </row>
    <row r="200" spans="1:17" x14ac:dyDescent="0.3">
      <c r="F200" s="84"/>
      <c r="H200" s="86"/>
      <c r="I200" s="86"/>
      <c r="J200" s="86"/>
      <c r="K200" s="86"/>
    </row>
    <row r="201" spans="1:17" x14ac:dyDescent="0.3">
      <c r="H201" s="85"/>
      <c r="I201" s="85"/>
      <c r="J201" s="85"/>
      <c r="K201" s="85"/>
    </row>
    <row r="202" spans="1:17" x14ac:dyDescent="0.3">
      <c r="H202" s="86"/>
      <c r="I202" s="86"/>
      <c r="J202" s="86"/>
      <c r="K202" s="86"/>
    </row>
    <row r="204" spans="1:17" x14ac:dyDescent="0.3">
      <c r="H204" s="86"/>
      <c r="I204" s="86"/>
      <c r="J204" s="86"/>
      <c r="K204" s="86"/>
    </row>
    <row r="205" spans="1:17" x14ac:dyDescent="0.3">
      <c r="H205" s="86"/>
      <c r="I205" s="86"/>
      <c r="J205" s="86"/>
      <c r="K205" s="86"/>
    </row>
  </sheetData>
  <autoFilter ref="A6:K194">
    <filterColumn colId="8" showButton="0"/>
    <filterColumn colId="9" showButton="0"/>
  </autoFilter>
  <mergeCells count="45">
    <mergeCell ref="P12:Q12"/>
    <mergeCell ref="D38:F38"/>
    <mergeCell ref="D15:F15"/>
    <mergeCell ref="L12:L13"/>
    <mergeCell ref="M12:M13"/>
    <mergeCell ref="N12:O12"/>
    <mergeCell ref="D157:F157"/>
    <mergeCell ref="D143:F143"/>
    <mergeCell ref="D136:F136"/>
    <mergeCell ref="D135:F135"/>
    <mergeCell ref="D142:F142"/>
    <mergeCell ref="D126:F126"/>
    <mergeCell ref="D39:F39"/>
    <mergeCell ref="D61:F61"/>
    <mergeCell ref="D62:F62"/>
    <mergeCell ref="D101:F101"/>
    <mergeCell ref="D92:F92"/>
    <mergeCell ref="D102:F102"/>
    <mergeCell ref="D77:F77"/>
    <mergeCell ref="D78:F78"/>
    <mergeCell ref="D82:F82"/>
    <mergeCell ref="D83:F83"/>
    <mergeCell ref="D91:F91"/>
    <mergeCell ref="A194:G194"/>
    <mergeCell ref="I7:K7"/>
    <mergeCell ref="I8:K8"/>
    <mergeCell ref="I9:K9"/>
    <mergeCell ref="G12:G13"/>
    <mergeCell ref="H12:H13"/>
    <mergeCell ref="I12:I13"/>
    <mergeCell ref="J12:K12"/>
    <mergeCell ref="A10:K10"/>
    <mergeCell ref="F12:F13"/>
    <mergeCell ref="A12:A13"/>
    <mergeCell ref="B12:B13"/>
    <mergeCell ref="C12:C13"/>
    <mergeCell ref="D12:D13"/>
    <mergeCell ref="D16:F16"/>
    <mergeCell ref="D125:F125"/>
    <mergeCell ref="O1:P1"/>
    <mergeCell ref="A6:P6"/>
    <mergeCell ref="I1:K1"/>
    <mergeCell ref="I2:K2"/>
    <mergeCell ref="I3:K3"/>
    <mergeCell ref="I4:K4"/>
  </mergeCells>
  <pageMargins left="0.39370078740157483" right="0.39370078740157483" top="0.19685039370078741" bottom="0.19685039370078741" header="0.51181102362204722" footer="0.51181102362204722"/>
  <pageSetup paperSize="9" scale="37" fitToHeight="15" orientation="landscape" r:id="rId1"/>
  <headerFooter differentFirst="1">
    <oddHeader>&amp;C&amp;P</oddHeader>
  </headerFooter>
  <rowBreaks count="1" manualBreakCount="1">
    <brk id="100"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2025</vt:lpstr>
      <vt:lpstr>'2025'!Заголовки_для_друку</vt:lpstr>
      <vt:lpstr>'2025'!Область_друку</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2025-10-31T14:06:44Z</dcterms:modified>
</cp:coreProperties>
</file>