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12_НАСТУПНЕ\на сайт рада\"/>
    </mc:Choice>
  </mc:AlternateContent>
  <xr:revisionPtr revIDLastSave="0" documentId="13_ncr:1_{5B052E3B-3259-4D77-A3E1-3C995018A372}" xr6:coauthVersionLast="37" xr6:coauthVersionMax="37" xr10:uidLastSave="{00000000-0000-0000-0000-000000000000}"/>
  <bookViews>
    <workbookView xWindow="0" yWindow="0" windowWidth="20490" windowHeight="7155" tabRatio="500" xr2:uid="{00000000-000D-0000-FFFF-FFFF00000000}"/>
  </bookViews>
  <sheets>
    <sheet name="2025" sheetId="1" r:id="rId1"/>
  </sheets>
  <definedNames>
    <definedName name="_xlnm.Print_Titles" localSheetId="0">'2025'!$3:$5</definedName>
    <definedName name="_xlnm.Print_Area" localSheetId="0">'2025'!$A$1:$K$97</definedName>
  </definedNames>
  <calcPr calcId="179021"/>
</workbook>
</file>

<file path=xl/calcChain.xml><?xml version="1.0" encoding="utf-8"?>
<calcChain xmlns="http://schemas.openxmlformats.org/spreadsheetml/2006/main">
  <c r="H39" i="1" l="1"/>
  <c r="D88" i="1" l="1"/>
  <c r="D91" i="1"/>
  <c r="D48" i="1"/>
  <c r="E72" i="1"/>
  <c r="D56" i="1"/>
  <c r="D55" i="1"/>
  <c r="D54" i="1"/>
  <c r="D52" i="1"/>
  <c r="D51" i="1"/>
  <c r="D47" i="1"/>
  <c r="J47" i="1" s="1"/>
  <c r="D45" i="1"/>
  <c r="D37" i="1"/>
  <c r="D36" i="1"/>
  <c r="D34" i="1"/>
  <c r="D30" i="1"/>
  <c r="D29" i="1"/>
  <c r="D27" i="1"/>
  <c r="D24" i="1"/>
  <c r="D20" i="1"/>
  <c r="D19" i="1"/>
  <c r="D17" i="1"/>
  <c r="D15" i="1"/>
  <c r="D12" i="1"/>
  <c r="D8" i="1"/>
  <c r="H76" i="1" l="1"/>
  <c r="G76" i="1"/>
  <c r="K77" i="1"/>
  <c r="J77" i="1"/>
  <c r="F77" i="1"/>
  <c r="C77" i="1"/>
  <c r="I77" i="1" l="1"/>
  <c r="D85" i="1"/>
  <c r="C79" i="1"/>
  <c r="C80" i="1"/>
  <c r="C81" i="1"/>
  <c r="E78" i="1"/>
  <c r="E76" i="1" s="1"/>
  <c r="D59" i="1"/>
  <c r="D44" i="1"/>
  <c r="D35" i="1"/>
  <c r="D26" i="1"/>
  <c r="D10" i="1"/>
  <c r="H41" i="1" l="1"/>
  <c r="G41" i="1"/>
  <c r="E41" i="1"/>
  <c r="J42" i="1"/>
  <c r="K42" i="1"/>
  <c r="C42" i="1"/>
  <c r="K79" i="1"/>
  <c r="K80" i="1"/>
  <c r="K81" i="1"/>
  <c r="K82" i="1"/>
  <c r="J80" i="1"/>
  <c r="I80" i="1" s="1"/>
  <c r="J81" i="1"/>
  <c r="J82" i="1"/>
  <c r="F82" i="1"/>
  <c r="I82" i="1" l="1"/>
  <c r="I81" i="1"/>
  <c r="I42" i="1"/>
  <c r="C82" i="1"/>
  <c r="D90" i="1"/>
  <c r="D78" i="1"/>
  <c r="D76" i="1" l="1"/>
  <c r="C76" i="1" s="1"/>
  <c r="C78" i="1"/>
  <c r="F76" i="1"/>
  <c r="D43" i="1"/>
  <c r="D41" i="1" s="1"/>
  <c r="C41" i="1" s="1"/>
  <c r="D46" i="1"/>
  <c r="C90" i="1" l="1"/>
  <c r="J84" i="1"/>
  <c r="E83" i="1"/>
  <c r="D83" i="1"/>
  <c r="D75" i="1" s="1"/>
  <c r="C84" i="1"/>
  <c r="C83" i="1" l="1"/>
  <c r="G83" i="1" l="1"/>
  <c r="F84" i="1"/>
  <c r="K87" i="1"/>
  <c r="K84" i="1"/>
  <c r="I84" i="1" l="1"/>
  <c r="J90" i="1"/>
  <c r="F90" i="1"/>
  <c r="I90" i="1" l="1"/>
  <c r="C89" i="1"/>
  <c r="F89" i="1" l="1"/>
  <c r="J89" i="1" l="1"/>
  <c r="I89" i="1" s="1"/>
  <c r="J88" i="1"/>
  <c r="C47" i="1" l="1"/>
  <c r="C86" i="1"/>
  <c r="C87" i="1"/>
  <c r="H83" i="1" l="1"/>
  <c r="F83" i="1" s="1"/>
  <c r="F91" i="1" l="1"/>
  <c r="G58" i="1" l="1"/>
  <c r="G57" i="1" s="1"/>
  <c r="H58" i="1"/>
  <c r="K63" i="1"/>
  <c r="J63" i="1"/>
  <c r="J62" i="1"/>
  <c r="F63" i="1"/>
  <c r="C63" i="1"/>
  <c r="E57" i="1"/>
  <c r="C59" i="1"/>
  <c r="D58" i="1"/>
  <c r="D57" i="1" s="1"/>
  <c r="E58" i="1"/>
  <c r="F81" i="1"/>
  <c r="F80" i="1"/>
  <c r="F79" i="1"/>
  <c r="F78" i="1"/>
  <c r="J79" i="1"/>
  <c r="I79" i="1" s="1"/>
  <c r="J78" i="1"/>
  <c r="I63" i="1" l="1"/>
  <c r="C57" i="1"/>
  <c r="J76" i="1"/>
  <c r="C58" i="1"/>
  <c r="D74" i="1"/>
  <c r="F58" i="1"/>
  <c r="H57" i="1"/>
  <c r="F57" i="1" s="1"/>
  <c r="F67" i="1" l="1"/>
  <c r="G65" i="1"/>
  <c r="J64" i="1"/>
  <c r="J65" i="1"/>
  <c r="K64" i="1"/>
  <c r="I64" i="1" s="1"/>
  <c r="H66" i="1"/>
  <c r="F66" i="1" s="1"/>
  <c r="K67" i="1"/>
  <c r="I67" i="1" s="1"/>
  <c r="E66" i="1"/>
  <c r="C66" i="1" s="1"/>
  <c r="D66" i="1"/>
  <c r="D65" i="1" s="1"/>
  <c r="C67" i="1"/>
  <c r="F47" i="1"/>
  <c r="K47" i="1"/>
  <c r="I47" i="1" s="1"/>
  <c r="D28" i="1"/>
  <c r="K66" i="1" l="1"/>
  <c r="J60" i="1"/>
  <c r="K60" i="1"/>
  <c r="F60" i="1"/>
  <c r="I66" i="1" l="1"/>
  <c r="I60" i="1"/>
  <c r="J37" i="1"/>
  <c r="J36" i="1"/>
  <c r="G33" i="1"/>
  <c r="H28" i="1"/>
  <c r="G28" i="1"/>
  <c r="H50" i="1"/>
  <c r="H49" i="1" s="1"/>
  <c r="G50" i="1"/>
  <c r="G49" i="1" s="1"/>
  <c r="G40" i="1" l="1"/>
  <c r="F49" i="1"/>
  <c r="F50" i="1"/>
  <c r="H40" i="1"/>
  <c r="J91" i="1" l="1"/>
  <c r="J93" i="1"/>
  <c r="K88" i="1"/>
  <c r="K91" i="1"/>
  <c r="K93" i="1"/>
  <c r="G92" i="1"/>
  <c r="J92" i="1" s="1"/>
  <c r="H92" i="1"/>
  <c r="C92" i="1"/>
  <c r="F92" i="1" l="1"/>
  <c r="K92" i="1"/>
  <c r="I92" i="1" s="1"/>
  <c r="H75" i="1"/>
  <c r="H74" i="1" s="1"/>
  <c r="F87" i="1"/>
  <c r="I87" i="1" l="1"/>
  <c r="G75" i="1"/>
  <c r="G74" i="1" s="1"/>
  <c r="J86" i="1"/>
  <c r="K86" i="1"/>
  <c r="F86" i="1"/>
  <c r="F75" i="1" l="1"/>
  <c r="I86" i="1"/>
  <c r="F74" i="1"/>
  <c r="K70" i="1" l="1"/>
  <c r="K69" i="1" s="1"/>
  <c r="K68" i="1" s="1"/>
  <c r="K65" i="1" s="1"/>
  <c r="I65" i="1" s="1"/>
  <c r="K39" i="1" l="1"/>
  <c r="F35" i="1" l="1"/>
  <c r="F34" i="1"/>
  <c r="K78" i="1"/>
  <c r="K76" i="1" l="1"/>
  <c r="I76" i="1" s="1"/>
  <c r="I78" i="1"/>
  <c r="F33" i="1"/>
  <c r="K61" i="1"/>
  <c r="J59" i="1"/>
  <c r="K59" i="1"/>
  <c r="J56" i="1" l="1"/>
  <c r="J8" i="1"/>
  <c r="D9" i="1"/>
  <c r="D7" i="1" s="1"/>
  <c r="E11" i="1"/>
  <c r="D11" i="1"/>
  <c r="E13" i="1"/>
  <c r="D14" i="1"/>
  <c r="D16" i="1"/>
  <c r="D18" i="1"/>
  <c r="E18" i="1"/>
  <c r="E23" i="1"/>
  <c r="D23" i="1"/>
  <c r="E28" i="1"/>
  <c r="D33" i="1"/>
  <c r="E38" i="1"/>
  <c r="E6" i="1" s="1"/>
  <c r="E50" i="1"/>
  <c r="E49" i="1" s="1"/>
  <c r="E40" i="1" s="1"/>
  <c r="D50" i="1"/>
  <c r="D49" i="1" s="1"/>
  <c r="K56" i="1"/>
  <c r="E69" i="1"/>
  <c r="C64" i="1"/>
  <c r="D71" i="1"/>
  <c r="E71" i="1"/>
  <c r="J10" i="1"/>
  <c r="C88" i="1"/>
  <c r="C70" i="1"/>
  <c r="C54" i="1"/>
  <c r="C48" i="1"/>
  <c r="C35" i="1"/>
  <c r="C34" i="1"/>
  <c r="C27" i="1"/>
  <c r="C26" i="1"/>
  <c r="C10" i="1"/>
  <c r="C85" i="1"/>
  <c r="C45" i="1"/>
  <c r="C37" i="1"/>
  <c r="C31" i="1"/>
  <c r="C30" i="1"/>
  <c r="C29" i="1"/>
  <c r="C61" i="1"/>
  <c r="C55" i="1"/>
  <c r="C53" i="1"/>
  <c r="C52" i="1"/>
  <c r="C51" i="1"/>
  <c r="C46" i="1"/>
  <c r="C44" i="1"/>
  <c r="C43" i="1"/>
  <c r="C36" i="1"/>
  <c r="C32" i="1"/>
  <c r="C25" i="1"/>
  <c r="C24" i="1"/>
  <c r="C20" i="1"/>
  <c r="C19" i="1"/>
  <c r="C15" i="1"/>
  <c r="C12" i="1"/>
  <c r="C8" i="1"/>
  <c r="F12" i="1"/>
  <c r="I56" i="1" l="1"/>
  <c r="D40" i="1"/>
  <c r="E68" i="1"/>
  <c r="E65" i="1" s="1"/>
  <c r="C69" i="1"/>
  <c r="C11" i="1"/>
  <c r="E22" i="1"/>
  <c r="E21" i="1" s="1"/>
  <c r="C71" i="1"/>
  <c r="E75" i="1"/>
  <c r="E74" i="1" s="1"/>
  <c r="C28" i="1"/>
  <c r="D22" i="1"/>
  <c r="D21" i="1" s="1"/>
  <c r="D13" i="1"/>
  <c r="C18" i="1"/>
  <c r="C23" i="1"/>
  <c r="C9" i="1"/>
  <c r="C72" i="1"/>
  <c r="C56" i="1"/>
  <c r="C62" i="1"/>
  <c r="C33" i="1"/>
  <c r="C16" i="1"/>
  <c r="C7" i="1"/>
  <c r="C38" i="1"/>
  <c r="C14" i="1"/>
  <c r="C17" i="1"/>
  <c r="C91" i="1"/>
  <c r="C39" i="1"/>
  <c r="C50" i="1"/>
  <c r="G18" i="1"/>
  <c r="J18" i="1" s="1"/>
  <c r="C68" i="1" l="1"/>
  <c r="C65" i="1"/>
  <c r="C49" i="1"/>
  <c r="E73" i="1"/>
  <c r="E94" i="1" s="1"/>
  <c r="C40" i="1"/>
  <c r="D6" i="1"/>
  <c r="D73" i="1" s="1"/>
  <c r="C13" i="1"/>
  <c r="C22" i="1"/>
  <c r="C21" i="1"/>
  <c r="F44" i="1" l="1"/>
  <c r="C6" i="1" l="1"/>
  <c r="J44" i="1"/>
  <c r="I44" i="1" s="1"/>
  <c r="C73" i="1" l="1"/>
  <c r="H18" i="1" l="1"/>
  <c r="K18" i="1" s="1"/>
  <c r="I18" i="1" s="1"/>
  <c r="F19" i="1" l="1"/>
  <c r="F20" i="1"/>
  <c r="J20" i="1"/>
  <c r="I20" i="1" s="1"/>
  <c r="J19" i="1"/>
  <c r="I19" i="1" s="1"/>
  <c r="F18" i="1" l="1"/>
  <c r="K72" i="1"/>
  <c r="I91" i="1" l="1"/>
  <c r="I69" i="1"/>
  <c r="J61" i="1" l="1"/>
  <c r="J58" i="1" s="1"/>
  <c r="K62" i="1"/>
  <c r="K58" i="1" s="1"/>
  <c r="K57" i="1" s="1"/>
  <c r="F62" i="1"/>
  <c r="F59" i="1"/>
  <c r="I58" i="1" l="1"/>
  <c r="J57" i="1"/>
  <c r="I57" i="1" s="1"/>
  <c r="I62" i="1"/>
  <c r="J85" i="1"/>
  <c r="J83" i="1" s="1"/>
  <c r="J75" i="1" s="1"/>
  <c r="K8" i="1" l="1"/>
  <c r="I8" i="1" s="1"/>
  <c r="K10" i="1"/>
  <c r="J9" i="1"/>
  <c r="J7" i="1" s="1"/>
  <c r="K12" i="1"/>
  <c r="K11" i="1" s="1"/>
  <c r="J12" i="1"/>
  <c r="K15" i="1"/>
  <c r="J15" i="1"/>
  <c r="J14" i="1" s="1"/>
  <c r="K17" i="1"/>
  <c r="K16" i="1" s="1"/>
  <c r="J17" i="1"/>
  <c r="J16" i="1" s="1"/>
  <c r="J24" i="1"/>
  <c r="K24" i="1"/>
  <c r="J25" i="1"/>
  <c r="K25" i="1"/>
  <c r="J26" i="1"/>
  <c r="K26" i="1"/>
  <c r="K27" i="1"/>
  <c r="J27" i="1"/>
  <c r="K32" i="1"/>
  <c r="J32" i="1"/>
  <c r="K31" i="1"/>
  <c r="J31" i="1"/>
  <c r="K30" i="1"/>
  <c r="J30" i="1"/>
  <c r="K29" i="1"/>
  <c r="J29" i="1"/>
  <c r="K35" i="1"/>
  <c r="J35" i="1"/>
  <c r="K34" i="1"/>
  <c r="J34" i="1"/>
  <c r="K36" i="1"/>
  <c r="K37" i="1"/>
  <c r="J39" i="1"/>
  <c r="K48" i="1"/>
  <c r="J48" i="1"/>
  <c r="K46" i="1"/>
  <c r="J46" i="1"/>
  <c r="K45" i="1"/>
  <c r="J45" i="1"/>
  <c r="K43" i="1"/>
  <c r="K41" i="1" s="1"/>
  <c r="J43" i="1"/>
  <c r="J41" i="1" s="1"/>
  <c r="K55" i="1"/>
  <c r="J55" i="1"/>
  <c r="K54" i="1"/>
  <c r="J54" i="1"/>
  <c r="K53" i="1"/>
  <c r="J53" i="1"/>
  <c r="K52" i="1"/>
  <c r="J52" i="1"/>
  <c r="K51" i="1"/>
  <c r="J51" i="1"/>
  <c r="I61" i="1"/>
  <c r="J70" i="1"/>
  <c r="J72" i="1"/>
  <c r="J71" i="1" s="1"/>
  <c r="K85" i="1"/>
  <c r="K83" i="1" s="1"/>
  <c r="F88" i="1"/>
  <c r="F85" i="1"/>
  <c r="F8" i="1"/>
  <c r="G9" i="1"/>
  <c r="G7" i="1" s="1"/>
  <c r="F10" i="1"/>
  <c r="G11" i="1"/>
  <c r="F11" i="1" s="1"/>
  <c r="G14" i="1"/>
  <c r="F15" i="1"/>
  <c r="G16" i="1"/>
  <c r="F16" i="1" s="1"/>
  <c r="F17" i="1"/>
  <c r="G23" i="1"/>
  <c r="F24" i="1"/>
  <c r="F25" i="1"/>
  <c r="F26" i="1"/>
  <c r="F27" i="1"/>
  <c r="F29" i="1"/>
  <c r="F30" i="1"/>
  <c r="F31" i="1"/>
  <c r="F32" i="1"/>
  <c r="F36" i="1"/>
  <c r="F37" i="1"/>
  <c r="H38" i="1"/>
  <c r="H6" i="1" s="1"/>
  <c r="F39" i="1"/>
  <c r="F43" i="1"/>
  <c r="F45" i="1"/>
  <c r="F46" i="1"/>
  <c r="F48" i="1"/>
  <c r="F51" i="1"/>
  <c r="F52" i="1"/>
  <c r="F53" i="1"/>
  <c r="F54" i="1"/>
  <c r="F55" i="1"/>
  <c r="F56" i="1"/>
  <c r="F61" i="1"/>
  <c r="F64" i="1"/>
  <c r="H69" i="1"/>
  <c r="F70" i="1"/>
  <c r="G71" i="1"/>
  <c r="H71" i="1"/>
  <c r="F72" i="1"/>
  <c r="I83" i="1" l="1"/>
  <c r="K75" i="1"/>
  <c r="H68" i="1"/>
  <c r="F68" i="1" s="1"/>
  <c r="F69" i="1"/>
  <c r="F28" i="1"/>
  <c r="I54" i="1"/>
  <c r="I88" i="1"/>
  <c r="J13" i="1"/>
  <c r="K38" i="1"/>
  <c r="K6" i="1" s="1"/>
  <c r="J33" i="1"/>
  <c r="J50" i="1"/>
  <c r="J49" i="1" s="1"/>
  <c r="I45" i="1"/>
  <c r="I9" i="1"/>
  <c r="I7" i="1"/>
  <c r="I35" i="1"/>
  <c r="I32" i="1"/>
  <c r="I27" i="1"/>
  <c r="I26" i="1"/>
  <c r="I14" i="1"/>
  <c r="J23" i="1"/>
  <c r="J11" i="1"/>
  <c r="I11" i="1" s="1"/>
  <c r="I12" i="1"/>
  <c r="I85" i="1"/>
  <c r="I25" i="1"/>
  <c r="I15" i="1"/>
  <c r="I51" i="1"/>
  <c r="I55" i="1"/>
  <c r="F71" i="1"/>
  <c r="I36" i="1"/>
  <c r="K28" i="1"/>
  <c r="K13" i="1"/>
  <c r="I59" i="1"/>
  <c r="G13" i="1"/>
  <c r="F13" i="1" s="1"/>
  <c r="F41" i="1"/>
  <c r="I70" i="1"/>
  <c r="F14" i="1"/>
  <c r="I53" i="1"/>
  <c r="I10" i="1"/>
  <c r="J28" i="1"/>
  <c r="I24" i="1"/>
  <c r="K50" i="1"/>
  <c r="K49" i="1" s="1"/>
  <c r="I46" i="1"/>
  <c r="I37" i="1"/>
  <c r="I52" i="1"/>
  <c r="I48" i="1"/>
  <c r="I30" i="1"/>
  <c r="I31" i="1"/>
  <c r="I34" i="1"/>
  <c r="I29" i="1"/>
  <c r="K23" i="1"/>
  <c r="I43" i="1"/>
  <c r="I16" i="1"/>
  <c r="I17" i="1"/>
  <c r="I39" i="1"/>
  <c r="I72" i="1"/>
  <c r="K71" i="1"/>
  <c r="I71" i="1" s="1"/>
  <c r="F9" i="1"/>
  <c r="F23" i="1"/>
  <c r="G22" i="1"/>
  <c r="F22" i="1" s="1"/>
  <c r="F38" i="1"/>
  <c r="F7" i="1"/>
  <c r="K40" i="1" l="1"/>
  <c r="H65" i="1"/>
  <c r="F65" i="1" s="1"/>
  <c r="J40" i="1"/>
  <c r="K74" i="1"/>
  <c r="I38" i="1"/>
  <c r="J22" i="1"/>
  <c r="I33" i="1"/>
  <c r="I13" i="1"/>
  <c r="I23" i="1"/>
  <c r="I41" i="1"/>
  <c r="J74" i="1"/>
  <c r="K22" i="1"/>
  <c r="K21" i="1" s="1"/>
  <c r="I28" i="1"/>
  <c r="I50" i="1"/>
  <c r="I68" i="1"/>
  <c r="G21" i="1"/>
  <c r="H73" i="1" l="1"/>
  <c r="H94" i="1" s="1"/>
  <c r="K73" i="1"/>
  <c r="K94" i="1" s="1"/>
  <c r="F40" i="1"/>
  <c r="I49" i="1"/>
  <c r="I22" i="1"/>
  <c r="J21" i="1"/>
  <c r="F21" i="1"/>
  <c r="G6" i="1"/>
  <c r="G73" i="1" l="1"/>
  <c r="G94" i="1" s="1"/>
  <c r="F6" i="1"/>
  <c r="I21" i="1"/>
  <c r="J6" i="1"/>
  <c r="I74" i="1"/>
  <c r="I75" i="1"/>
  <c r="I40" i="1"/>
  <c r="F73" i="1" l="1"/>
  <c r="F94" i="1" s="1"/>
  <c r="I6" i="1"/>
  <c r="J73" i="1"/>
  <c r="J94" i="1" s="1"/>
  <c r="I73" i="1" l="1"/>
  <c r="I94" i="1" s="1"/>
  <c r="C75" i="1"/>
  <c r="C74" i="1" l="1"/>
  <c r="C94" i="1" s="1"/>
  <c r="I96" i="1" s="1"/>
  <c r="D94" i="1"/>
  <c r="J96" i="1" s="1"/>
</calcChain>
</file>

<file path=xl/sharedStrings.xml><?xml version="1.0" encoding="utf-8"?>
<sst xmlns="http://schemas.openxmlformats.org/spreadsheetml/2006/main" count="165" uniqueCount="162">
  <si>
    <t>Всього_x000D_</t>
  </si>
  <si>
    <t>спеціальний фонд_x000D_</t>
  </si>
  <si>
    <t>Bсього_x000D_</t>
  </si>
  <si>
    <t>спеціальний   фонд_x000D_</t>
  </si>
  <si>
    <t>Всього</t>
  </si>
  <si>
    <t>загальний
фонд</t>
  </si>
  <si>
    <t>загальний
фонд_x000D_</t>
  </si>
  <si>
    <t>Код</t>
  </si>
  <si>
    <t>Найменування згідно з Класифікацією доходів бюджету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</si>
  <si>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</si>
  <si>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</si>
  <si>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(грн)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</si>
  <si>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</si>
  <si>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</si>
  <si>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</si>
  <si>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</si>
  <si>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</si>
  <si>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</si>
  <si>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</si>
  <si>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</si>
  <si>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</si>
  <si>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</si>
  <si>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13030000</t>
  </si>
  <si>
    <t xml:space="preserve">Рентна плата за користування надрами 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</si>
  <si>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</si>
  <si>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</si>
  <si>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</si>
  <si>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</si>
  <si>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</si>
  <si>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</si>
  <si>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</si>
  <si>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</si>
  <si>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</si>
  <si>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</si>
  <si>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</si>
  <si>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</si>
  <si>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</si>
  <si>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</t>
  </si>
  <si>
    <t>18010000</t>
  </si>
  <si>
    <t>Податок на майно відмінне від земельної ділянки</t>
  </si>
  <si>
    <t>Податок на нерухоме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</si>
  <si>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</si>
  <si>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</si>
  <si>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</si>
  <si>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</si>
  <si>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</si>
  <si>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</si>
  <si>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</si>
  <si>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</si>
  <si>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</si>
  <si>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</si>
  <si>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</si>
  <si>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</si>
  <si>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</si>
  <si>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</si>
  <si>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</si>
  <si>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</si>
  <si>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Транспортний податок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</si>
  <si>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</si>
  <si>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</si>
  <si>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</si>
  <si>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</si>
  <si>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</si>
  <si>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</si>
  <si>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18050000</t>
  </si>
  <si>
    <t>Єдиний податок  </t>
  </si>
  <si>
    <t>19000000</t>
  </si>
  <si>
    <t>Інші податки та збори </t>
  </si>
  <si>
    <t>19010000</t>
  </si>
  <si>
    <t>Екологічний податок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</si>
  <si>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</si>
  <si>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</si>
  <si>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</si>
  <si>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</si>
  <si>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</si>
  <si>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</si>
  <si>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</si>
  <si>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 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</si>
  <si>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</si>
  <si>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</si>
  <si>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</si>
  <si>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</si>
  <si>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</si>
  <si>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</si>
  <si>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</si>
  <si>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</si>
  <si>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</si>
  <si>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</si>
  <si>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</si>
  <si>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</si>
  <si>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</si>
  <si>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</si>
  <si>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</si>
  <si>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</si>
  <si>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</si>
  <si>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24000000</t>
  </si>
  <si>
    <t>Інші неподаткові надходження  </t>
  </si>
  <si>
    <t>24060300</t>
  </si>
  <si>
    <t>Інші надходження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</si>
  <si>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</si>
  <si>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</si>
  <si>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</si>
  <si>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</si>
  <si>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30000000</t>
  </si>
  <si>
    <t>Доходи від операцій з капіталом 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</si>
  <si>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</si>
  <si>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</si>
  <si>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</si>
  <si>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</si>
  <si>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</si>
  <si>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</si>
  <si>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</si>
  <si>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</si>
  <si>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</si>
  <si>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</si>
  <si>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</si>
  <si>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</si>
  <si>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</si>
  <si>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</si>
  <si>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</si>
  <si>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</si>
  <si>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</si>
  <si>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</si>
  <si>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</si>
  <si>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</si>
  <si>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Разом доходів</t>
  </si>
  <si>
    <t xml:space="preserve">Внутрішні податки на товари та послуги </t>
  </si>
  <si>
    <t>Затверджено з урахуванням змін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</si>
  <si>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</si>
  <si>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Зміни, що пропонуються ПРОЄКТ </t>
  </si>
  <si>
    <t>Проєкт з урахуванням запропонованих змін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</si>
  <si>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</si>
  <si>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</si>
  <si>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</si>
  <si>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 xml:space="preserve"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
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</si>
  <si>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</si>
  <si>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Начальник фінансового управління</t>
  </si>
  <si>
    <t>Ольга ЯКОВЕНКО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</si>
  <si>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</si>
  <si>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виконання інвестиційних проектів</t>
  </si>
  <si>
    <t>42020000</t>
  </si>
  <si>
    <t>Гранти (дарунки), що надійшли до бюджетів усіх рівнів</t>
  </si>
  <si>
    <t>42020500</t>
  </si>
  <si>
    <t>Гранти, що надійшли до місцевих бюджетів</t>
  </si>
  <si>
    <t>Кошти, отримані від надання учасниками процедури закупівлі / спрощеної закупівлі як забезпечення їх тендерної пропозиції / пропозиції учасника спрощеної закупівлі, які не підлягають поверненню цим учасникам</t>
  </si>
  <si>
    <t>Порівняльна таблиця змін до додатка 1 до рішення Чорноморської міської ради Одеського району Одеської області
 "Про бюджет Чорноморської міської територіальної громади на 2025 рік"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</si>
  <si>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</si>
  <si>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Кошти від відчуження майна, що належить Автономній Республіці Крим та майна, що перебуває в комунальній власності</t>
  </si>
  <si>
    <t>Надходження від продажу основного капіталу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</si>
  <si>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</si>
  <si>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</si>
  <si>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</si>
  <si>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24060000</t>
  </si>
  <si>
    <t>Інші надходження</t>
  </si>
  <si>
    <t>Надходження коштів пайової участі у розвитку інфраструктури населеного пункту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</si>
  <si>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</si>
  <si>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</si>
  <si>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</si>
  <si>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</si>
  <si>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</si>
  <si>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Плата за землю</t>
  </si>
  <si>
    <t>Субвенція з державного бюджету місцевим бюджетам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</si>
</sst>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name val="Arial Cyr"/>
      <charset val="204"/>
    </font>
    <font>
      <sz val="10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62">
    <xf numFmtId="0" fontId="0" fillId="0" borderId="0" xfId="0">
      <alignment vertical="top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0" fontId="4" fillId="0" borderId="0" xfId="0" applyFont="1" applyAlignment="1"/>
    <xf numFmtId="4" fontId="16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vertical="center" wrapText="1"/>
    </xf>
    <xf numFmtId="14" fontId="17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/>
    <xf numFmtId="4" fontId="4" fillId="0" borderId="0" xfId="0" applyNumberFormat="1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4" fontId="17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Звичайний" xfId="0" builtinId="0"/>
    <cellStyle name="Звичайни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"/>
  <sheetViews>
    <sheetView showZeros="0" tabSelected="1" showOutlineSymbols="0" zoomScale="90" zoomScaleNormal="90" zoomScaleSheetLayoutView="100" workbookViewId="0">
      <pane xSplit="2" ySplit="5" topLeftCell="C91" activePane="bottomRight" state="frozen"/>
      <selection pane="topRight" activeCell="C1" sqref="C1"/>
      <selection pane="bottomLeft" activeCell="A7" sqref="A7"/>
      <selection pane="bottomRight" activeCell="L1" sqref="L1:L1048576"/>
    </sheetView>
  </sheetViews>
  <sheetFormatPr defaultColWidth="6.85546875" defaultRowHeight="12.75" x14ac:dyDescent="0.2"/>
  <cols>
    <col min="1" max="1" width="12.5703125" style="10" customWidth="1"/>
    <col min="2" max="2" width="60" style="11" customWidth="1"/>
    <col min="3" max="3" width="16.85546875" style="9" customWidth="1"/>
    <col min="4" max="4" width="18.28515625" style="9" customWidth="1"/>
    <col min="5" max="5" width="17.140625" style="9" customWidth="1"/>
    <col min="6" max="6" width="16.28515625" style="9" customWidth="1"/>
    <col min="7" max="7" width="17.140625" style="9" customWidth="1"/>
    <col min="8" max="8" width="18" style="9" customWidth="1"/>
    <col min="9" max="9" width="17.5703125" style="9" customWidth="1"/>
    <col min="10" max="10" width="17.140625" style="9" customWidth="1"/>
    <col min="11" max="11" width="15.5703125" style="9" customWidth="1"/>
    <col min="12" max="12" width="27.28515625" style="9" customWidth="1"/>
    <col min="13" max="13" width="25.28515625" style="9" customWidth="1"/>
    <col min="14" max="16384" width="6.85546875" style="9"/>
  </cols>
  <sheetData>
    <row r="1" spans="1:12" ht="38.450000000000003" customHeight="1" x14ac:dyDescent="0.2">
      <c r="A1" s="55" t="s">
        <v>145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x14ac:dyDescent="0.2">
      <c r="H2" s="33"/>
      <c r="I2" s="51"/>
      <c r="J2" s="47">
        <v>45993</v>
      </c>
      <c r="K2" s="10" t="s">
        <v>11</v>
      </c>
    </row>
    <row r="3" spans="1:12" s="19" customFormat="1" ht="33" customHeight="1" x14ac:dyDescent="0.2">
      <c r="A3" s="56" t="s">
        <v>7</v>
      </c>
      <c r="B3" s="56" t="s">
        <v>8</v>
      </c>
      <c r="C3" s="58" t="s">
        <v>127</v>
      </c>
      <c r="D3" s="58"/>
      <c r="E3" s="58"/>
      <c r="F3" s="59" t="s">
        <v>129</v>
      </c>
      <c r="G3" s="59"/>
      <c r="H3" s="59"/>
      <c r="I3" s="60" t="s">
        <v>130</v>
      </c>
      <c r="J3" s="60"/>
      <c r="K3" s="60"/>
    </row>
    <row r="4" spans="1:12" s="21" customFormat="1" ht="31.5" x14ac:dyDescent="0.2">
      <c r="A4" s="57"/>
      <c r="B4" s="56"/>
      <c r="C4" s="20" t="s">
        <v>0</v>
      </c>
      <c r="D4" s="50" t="s">
        <v>6</v>
      </c>
      <c r="E4" s="50" t="s">
        <v>1</v>
      </c>
      <c r="F4" s="20" t="s">
        <v>4</v>
      </c>
      <c r="G4" s="20" t="s">
        <v>6</v>
      </c>
      <c r="H4" s="20" t="s">
        <v>3</v>
      </c>
      <c r="I4" s="20" t="s">
        <v>2</v>
      </c>
      <c r="J4" s="20" t="s">
        <v>5</v>
      </c>
      <c r="K4" s="20" t="s">
        <v>3</v>
      </c>
    </row>
    <row r="5" spans="1:12" s="11" customFormat="1" x14ac:dyDescent="0.2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</row>
    <row r="6" spans="1:12" s="11" customFormat="1" ht="15.75" x14ac:dyDescent="0.2">
      <c r="A6" s="5" t="s">
        <v>12</v>
      </c>
      <c r="B6" s="2" t="s">
        <v>13</v>
      </c>
      <c r="C6" s="27">
        <f>D6+E6</f>
        <v>1060046400</v>
      </c>
      <c r="D6" s="27">
        <f>D7+D11+D13+D21</f>
        <v>1059396400</v>
      </c>
      <c r="E6" s="27">
        <f>E38</f>
        <v>650000</v>
      </c>
      <c r="F6" s="27">
        <f>G6+H6</f>
        <v>-8210</v>
      </c>
      <c r="G6" s="27">
        <f>G7+G11+G13+G21</f>
        <v>115790</v>
      </c>
      <c r="H6" s="27">
        <f>H38</f>
        <v>-124000</v>
      </c>
      <c r="I6" s="27">
        <f>J6+K6</f>
        <v>1060038190</v>
      </c>
      <c r="J6" s="27">
        <f>J7+J11+J13+J21</f>
        <v>1059512190</v>
      </c>
      <c r="K6" s="27">
        <f>K38</f>
        <v>526000</v>
      </c>
    </row>
    <row r="7" spans="1:12" s="11" customFormat="1" ht="31.5" x14ac:dyDescent="0.2">
      <c r="A7" s="5" t="s">
        <v>14</v>
      </c>
      <c r="B7" s="2" t="s">
        <v>15</v>
      </c>
      <c r="C7" s="27">
        <f>D7+E7</f>
        <v>650212000</v>
      </c>
      <c r="D7" s="27">
        <f>D8+D9</f>
        <v>650212000</v>
      </c>
      <c r="E7" s="27"/>
      <c r="F7" s="27">
        <f>G7+H7</f>
        <v>0</v>
      </c>
      <c r="G7" s="31">
        <f>G8+G9</f>
        <v>0</v>
      </c>
      <c r="H7" s="27"/>
      <c r="I7" s="27">
        <f>J7+K7</f>
        <v>650212000</v>
      </c>
      <c r="J7" s="27">
        <f>J8+J9</f>
        <v>650212000</v>
      </c>
      <c r="K7" s="27"/>
    </row>
    <row r="8" spans="1:12" s="11" customFormat="1" ht="35.25" customHeight="1" x14ac:dyDescent="0.2">
      <c r="A8" s="5" t="s">
        <v>16</v>
      </c>
      <c r="B8" s="2" t="s">
        <v>17</v>
      </c>
      <c r="C8" s="27">
        <f>D8+E8</f>
        <v>648800000</v>
      </c>
      <c r="D8" s="27">
        <f>633000000+2000000+5600000+8200000</f>
        <v>648800000</v>
      </c>
      <c r="E8" s="27">
        <v>0</v>
      </c>
      <c r="F8" s="27">
        <f>G8+H8</f>
        <v>0</v>
      </c>
      <c r="G8" s="27"/>
      <c r="H8" s="27"/>
      <c r="I8" s="27">
        <f>J8+K8</f>
        <v>648800000</v>
      </c>
      <c r="J8" s="27">
        <f>D8+G8</f>
        <v>648800000</v>
      </c>
      <c r="K8" s="27">
        <f>E8+H8</f>
        <v>0</v>
      </c>
    </row>
    <row r="9" spans="1:12" s="11" customFormat="1" ht="15.75" x14ac:dyDescent="0.2">
      <c r="A9" s="5" t="s">
        <v>18</v>
      </c>
      <c r="B9" s="2" t="s">
        <v>19</v>
      </c>
      <c r="C9" s="27">
        <f>D9+E9</f>
        <v>1412000</v>
      </c>
      <c r="D9" s="27">
        <f>D10</f>
        <v>1412000</v>
      </c>
      <c r="E9" s="27"/>
      <c r="F9" s="27">
        <f>G9+H9</f>
        <v>0</v>
      </c>
      <c r="G9" s="27">
        <f>G10</f>
        <v>0</v>
      </c>
      <c r="H9" s="27"/>
      <c r="I9" s="27">
        <f>J9+K9</f>
        <v>1412000</v>
      </c>
      <c r="J9" s="27">
        <f>J10</f>
        <v>1412000</v>
      </c>
      <c r="K9" s="27"/>
    </row>
    <row r="10" spans="1:12" s="11" customFormat="1" ht="31.5" x14ac:dyDescent="0.2">
      <c r="A10" s="6" t="s">
        <v>20</v>
      </c>
      <c r="B10" s="3" t="s">
        <v>21</v>
      </c>
      <c r="C10" s="28">
        <f>D10+E10</f>
        <v>1412000</v>
      </c>
      <c r="D10" s="28">
        <f>2800000-1388000</f>
        <v>1412000</v>
      </c>
      <c r="E10" s="28">
        <v>0</v>
      </c>
      <c r="F10" s="28">
        <f>G10+H10</f>
        <v>0</v>
      </c>
      <c r="G10" s="28"/>
      <c r="H10" s="28"/>
      <c r="I10" s="28">
        <f>J10+K10</f>
        <v>1412000</v>
      </c>
      <c r="J10" s="28">
        <f>D10+G10</f>
        <v>1412000</v>
      </c>
      <c r="K10" s="28">
        <f>E10+H10</f>
        <v>0</v>
      </c>
      <c r="L10" s="13"/>
    </row>
    <row r="11" spans="1:12" s="11" customFormat="1" ht="15.75" x14ac:dyDescent="0.2">
      <c r="A11" s="5" t="s">
        <v>22</v>
      </c>
      <c r="B11" s="2" t="s">
        <v>23</v>
      </c>
      <c r="C11" s="27">
        <f t="shared" ref="C11:C22" si="0">D11+E11</f>
        <v>9100</v>
      </c>
      <c r="D11" s="27">
        <f>D12</f>
        <v>9100</v>
      </c>
      <c r="E11" s="27">
        <f>E12</f>
        <v>0</v>
      </c>
      <c r="F11" s="27">
        <f t="shared" ref="F11:F22" si="1">G11+H11</f>
        <v>1700</v>
      </c>
      <c r="G11" s="27">
        <f>G12</f>
        <v>1700</v>
      </c>
      <c r="H11" s="27"/>
      <c r="I11" s="27">
        <f t="shared" ref="I11:I22" si="2">J11+K11</f>
        <v>10800</v>
      </c>
      <c r="J11" s="27">
        <f>J12</f>
        <v>10800</v>
      </c>
      <c r="K11" s="27">
        <f>K12</f>
        <v>0</v>
      </c>
    </row>
    <row r="12" spans="1:12" s="11" customFormat="1" ht="31.5" x14ac:dyDescent="0.2">
      <c r="A12" s="6" t="s">
        <v>24</v>
      </c>
      <c r="B12" s="3" t="s">
        <v>25</v>
      </c>
      <c r="C12" s="28">
        <f>D12+E12</f>
        <v>9100</v>
      </c>
      <c r="D12" s="28">
        <f>15000-4000-1900</f>
        <v>9100</v>
      </c>
      <c r="E12" s="28">
        <v>0</v>
      </c>
      <c r="F12" s="28">
        <f t="shared" si="1"/>
        <v>1700</v>
      </c>
      <c r="G12" s="28">
        <v>1700</v>
      </c>
      <c r="H12" s="28"/>
      <c r="I12" s="28">
        <f>J12+K12</f>
        <v>10800</v>
      </c>
      <c r="J12" s="28">
        <f>D12+G12</f>
        <v>10800</v>
      </c>
      <c r="K12" s="28">
        <f>E12+H12</f>
        <v>0</v>
      </c>
    </row>
    <row r="13" spans="1:12" s="11" customFormat="1" ht="15.75" x14ac:dyDescent="0.2">
      <c r="A13" s="5" t="s">
        <v>26</v>
      </c>
      <c r="B13" s="2" t="s">
        <v>126</v>
      </c>
      <c r="C13" s="27">
        <f>D13+E13</f>
        <v>72161800</v>
      </c>
      <c r="D13" s="27">
        <f>D14+D16+D18</f>
        <v>72161800</v>
      </c>
      <c r="E13" s="27">
        <f>E14+E16+E18</f>
        <v>0</v>
      </c>
      <c r="F13" s="27">
        <f t="shared" si="1"/>
        <v>912090</v>
      </c>
      <c r="G13" s="27">
        <f>G14+G16+G18</f>
        <v>912090</v>
      </c>
      <c r="H13" s="27"/>
      <c r="I13" s="27">
        <f>J13+K13</f>
        <v>73073890</v>
      </c>
      <c r="J13" s="27">
        <f>J14+J16+J18</f>
        <v>73073890</v>
      </c>
      <c r="K13" s="27">
        <f>K14+K16+K18</f>
        <v>0</v>
      </c>
    </row>
    <row r="14" spans="1:12" s="11" customFormat="1" ht="31.5" x14ac:dyDescent="0.2">
      <c r="A14" s="5" t="s">
        <v>27</v>
      </c>
      <c r="B14" s="2" t="s">
        <v>28</v>
      </c>
      <c r="C14" s="27">
        <f t="shared" si="0"/>
        <v>2300000</v>
      </c>
      <c r="D14" s="27">
        <f>D15</f>
        <v>2300000</v>
      </c>
      <c r="E14" s="27"/>
      <c r="F14" s="27">
        <f t="shared" si="1"/>
        <v>0</v>
      </c>
      <c r="G14" s="27">
        <f>G15</f>
        <v>0</v>
      </c>
      <c r="H14" s="27"/>
      <c r="I14" s="27">
        <f t="shared" si="2"/>
        <v>2300000</v>
      </c>
      <c r="J14" s="27">
        <f>J15</f>
        <v>2300000</v>
      </c>
      <c r="K14" s="27"/>
    </row>
    <row r="15" spans="1:12" s="11" customFormat="1" ht="25.5" customHeight="1" x14ac:dyDescent="0.2">
      <c r="A15" s="6" t="s">
        <v>29</v>
      </c>
      <c r="B15" s="3" t="s">
        <v>30</v>
      </c>
      <c r="C15" s="28">
        <f t="shared" si="0"/>
        <v>2300000</v>
      </c>
      <c r="D15" s="28">
        <f>3000000-700000</f>
        <v>2300000</v>
      </c>
      <c r="E15" s="28">
        <v>0</v>
      </c>
      <c r="F15" s="28">
        <f t="shared" si="1"/>
        <v>0</v>
      </c>
      <c r="G15" s="28"/>
      <c r="H15" s="28"/>
      <c r="I15" s="28">
        <f t="shared" si="2"/>
        <v>2300000</v>
      </c>
      <c r="J15" s="28">
        <f>D15+G15</f>
        <v>2300000</v>
      </c>
      <c r="K15" s="28">
        <f>E15+H15</f>
        <v>0</v>
      </c>
    </row>
    <row r="16" spans="1:12" s="11" customFormat="1" ht="31.5" x14ac:dyDescent="0.2">
      <c r="A16" s="5" t="s">
        <v>31</v>
      </c>
      <c r="B16" s="2" t="s">
        <v>32</v>
      </c>
      <c r="C16" s="27">
        <f t="shared" si="0"/>
        <v>22361800</v>
      </c>
      <c r="D16" s="27">
        <f>D17</f>
        <v>22361800</v>
      </c>
      <c r="E16" s="27">
        <v>0</v>
      </c>
      <c r="F16" s="27">
        <f t="shared" si="1"/>
        <v>200000</v>
      </c>
      <c r="G16" s="27">
        <f>G17</f>
        <v>200000</v>
      </c>
      <c r="H16" s="27"/>
      <c r="I16" s="27">
        <f t="shared" si="2"/>
        <v>22561800</v>
      </c>
      <c r="J16" s="27">
        <f>J17</f>
        <v>22561800</v>
      </c>
      <c r="K16" s="27">
        <f>K17</f>
        <v>0</v>
      </c>
    </row>
    <row r="17" spans="1:12" s="11" customFormat="1" ht="29.25" customHeight="1" x14ac:dyDescent="0.2">
      <c r="A17" s="6" t="s">
        <v>33</v>
      </c>
      <c r="B17" s="3" t="s">
        <v>30</v>
      </c>
      <c r="C17" s="28">
        <f t="shared" si="0"/>
        <v>22361800</v>
      </c>
      <c r="D17" s="28">
        <f>16500000+700000+3161800+2000000</f>
        <v>22361800</v>
      </c>
      <c r="E17" s="28">
        <v>0</v>
      </c>
      <c r="F17" s="28">
        <f t="shared" si="1"/>
        <v>200000</v>
      </c>
      <c r="G17" s="28">
        <v>200000</v>
      </c>
      <c r="H17" s="28"/>
      <c r="I17" s="28">
        <f t="shared" si="2"/>
        <v>22561800</v>
      </c>
      <c r="J17" s="28">
        <f>D17+G17</f>
        <v>22561800</v>
      </c>
      <c r="K17" s="28">
        <f>E17+H17</f>
        <v>0</v>
      </c>
    </row>
    <row r="18" spans="1:12" s="11" customFormat="1" ht="47.25" x14ac:dyDescent="0.2">
      <c r="A18" s="5" t="s">
        <v>34</v>
      </c>
      <c r="B18" s="2" t="s">
        <v>35</v>
      </c>
      <c r="C18" s="31">
        <f>D18+E18</f>
        <v>47500000</v>
      </c>
      <c r="D18" s="27">
        <f>SUM(D19:D20)</f>
        <v>47500000</v>
      </c>
      <c r="E18" s="27">
        <f>SUM(E19:E20)</f>
        <v>0</v>
      </c>
      <c r="F18" s="27">
        <f>F19+F20</f>
        <v>712090</v>
      </c>
      <c r="G18" s="27">
        <f>G19+G20</f>
        <v>712090</v>
      </c>
      <c r="H18" s="27">
        <f>H19+H20</f>
        <v>0</v>
      </c>
      <c r="I18" s="31">
        <f>J18+K18</f>
        <v>48212090</v>
      </c>
      <c r="J18" s="31">
        <f>D18+G18</f>
        <v>48212090</v>
      </c>
      <c r="K18" s="27">
        <f>E18+H18</f>
        <v>0</v>
      </c>
    </row>
    <row r="19" spans="1:12" s="11" customFormat="1" ht="84.6" customHeight="1" x14ac:dyDescent="0.2">
      <c r="A19" s="6">
        <v>14040100</v>
      </c>
      <c r="B19" s="3" t="s">
        <v>132</v>
      </c>
      <c r="C19" s="28">
        <f>D19+E19</f>
        <v>29300000</v>
      </c>
      <c r="D19" s="28">
        <f>25500000+3800000</f>
        <v>29300000</v>
      </c>
      <c r="E19" s="28"/>
      <c r="F19" s="28">
        <f t="shared" ref="F19:F20" si="3">G19+H19</f>
        <v>0</v>
      </c>
      <c r="G19" s="28"/>
      <c r="H19" s="28"/>
      <c r="I19" s="28">
        <f>J19+K19</f>
        <v>29300000</v>
      </c>
      <c r="J19" s="28">
        <f>D19+G19</f>
        <v>29300000</v>
      </c>
      <c r="K19" s="27"/>
    </row>
    <row r="20" spans="1:12" s="11" customFormat="1" ht="63" x14ac:dyDescent="0.2">
      <c r="A20" s="6">
        <v>14040200</v>
      </c>
      <c r="B20" s="3" t="s">
        <v>131</v>
      </c>
      <c r="C20" s="28">
        <f>D20+E20</f>
        <v>18200000</v>
      </c>
      <c r="D20" s="28">
        <f>17800000+400000</f>
        <v>18200000</v>
      </c>
      <c r="E20" s="28"/>
      <c r="F20" s="28">
        <f t="shared" si="3"/>
        <v>712090</v>
      </c>
      <c r="G20" s="28">
        <v>712090</v>
      </c>
      <c r="H20" s="28"/>
      <c r="I20" s="28">
        <f>J20+K20</f>
        <v>18912090</v>
      </c>
      <c r="J20" s="28">
        <f>D20+G20</f>
        <v>18912090</v>
      </c>
      <c r="K20" s="27"/>
    </row>
    <row r="21" spans="1:12" s="11" customFormat="1" ht="22.5" customHeight="1" x14ac:dyDescent="0.2">
      <c r="A21" s="5" t="s">
        <v>36</v>
      </c>
      <c r="B21" s="2" t="s">
        <v>37</v>
      </c>
      <c r="C21" s="27">
        <f t="shared" si="0"/>
        <v>337013500</v>
      </c>
      <c r="D21" s="27">
        <f>D22+D36+D37</f>
        <v>337013500</v>
      </c>
      <c r="E21" s="27">
        <f>E22+E36+E37</f>
        <v>0</v>
      </c>
      <c r="F21" s="27">
        <f t="shared" si="1"/>
        <v>-798000</v>
      </c>
      <c r="G21" s="27">
        <f>G22+G36+G37</f>
        <v>-798000</v>
      </c>
      <c r="H21" s="27"/>
      <c r="I21" s="27">
        <f t="shared" si="2"/>
        <v>336215500</v>
      </c>
      <c r="J21" s="27">
        <f>J22+J36+J37</f>
        <v>336215500</v>
      </c>
      <c r="K21" s="27">
        <f>K22+K36+K37</f>
        <v>0</v>
      </c>
    </row>
    <row r="22" spans="1:12" s="11" customFormat="1" ht="22.5" customHeight="1" x14ac:dyDescent="0.2">
      <c r="A22" s="5" t="s">
        <v>38</v>
      </c>
      <c r="B22" s="2" t="s">
        <v>39</v>
      </c>
      <c r="C22" s="27">
        <f t="shared" si="0"/>
        <v>236078500</v>
      </c>
      <c r="D22" s="27">
        <f>D23+D28+D33</f>
        <v>236078500</v>
      </c>
      <c r="E22" s="27">
        <f>E23+E28+E33</f>
        <v>0</v>
      </c>
      <c r="F22" s="27">
        <f t="shared" si="1"/>
        <v>-835000</v>
      </c>
      <c r="G22" s="27">
        <f>G23+G28+G33</f>
        <v>-835000</v>
      </c>
      <c r="H22" s="27"/>
      <c r="I22" s="27">
        <f t="shared" si="2"/>
        <v>235243500</v>
      </c>
      <c r="J22" s="27">
        <f>J23+J28+J33</f>
        <v>235243500</v>
      </c>
      <c r="K22" s="27">
        <f>K23+K28+K33</f>
        <v>0</v>
      </c>
    </row>
    <row r="23" spans="1:12" s="11" customFormat="1" ht="22.5" customHeight="1" x14ac:dyDescent="0.2">
      <c r="A23" s="5"/>
      <c r="B23" s="2" t="s">
        <v>40</v>
      </c>
      <c r="C23" s="27">
        <f>SUM(C24:C27)</f>
        <v>51002200</v>
      </c>
      <c r="D23" s="27">
        <f>SUM(D24:D27)</f>
        <v>51002200</v>
      </c>
      <c r="E23" s="27">
        <f>SUM(E24:E27)</f>
        <v>0</v>
      </c>
      <c r="F23" s="27">
        <f>SUM(F24:F27)</f>
        <v>-863000</v>
      </c>
      <c r="G23" s="27">
        <f>SUM(G24:G27)</f>
        <v>-863000</v>
      </c>
      <c r="H23" s="27"/>
      <c r="I23" s="27">
        <f>SUM(I24:I27)</f>
        <v>50139200</v>
      </c>
      <c r="J23" s="27">
        <f>SUM(J24:J27)</f>
        <v>50139200</v>
      </c>
      <c r="K23" s="27">
        <f>SUM(K24:K27)</f>
        <v>0</v>
      </c>
    </row>
    <row r="24" spans="1:12" s="11" customFormat="1" ht="51.75" customHeight="1" x14ac:dyDescent="0.2">
      <c r="A24" s="6" t="s">
        <v>41</v>
      </c>
      <c r="B24" s="3" t="s">
        <v>42</v>
      </c>
      <c r="C24" s="28">
        <f t="shared" ref="C24:C26" si="4">D24+E24</f>
        <v>222200</v>
      </c>
      <c r="D24" s="28">
        <f>82200+70000+70000</f>
        <v>222200</v>
      </c>
      <c r="E24" s="28">
        <v>0</v>
      </c>
      <c r="F24" s="28">
        <f t="shared" ref="F24:F26" si="5">G24+H24</f>
        <v>0</v>
      </c>
      <c r="G24" s="28"/>
      <c r="H24" s="28"/>
      <c r="I24" s="28">
        <f t="shared" ref="I24:I26" si="6">J24+K24</f>
        <v>222200</v>
      </c>
      <c r="J24" s="28">
        <f t="shared" ref="J24:J26" si="7">D24+G24</f>
        <v>222200</v>
      </c>
      <c r="K24" s="28">
        <f t="shared" ref="K24:K26" si="8">E24+H24</f>
        <v>0</v>
      </c>
    </row>
    <row r="25" spans="1:12" s="11" customFormat="1" ht="50.45" customHeight="1" x14ac:dyDescent="0.2">
      <c r="A25" s="6" t="s">
        <v>43</v>
      </c>
      <c r="B25" s="3" t="s">
        <v>44</v>
      </c>
      <c r="C25" s="28">
        <f t="shared" si="4"/>
        <v>4200000</v>
      </c>
      <c r="D25" s="28">
        <v>4200000</v>
      </c>
      <c r="E25" s="28">
        <v>0</v>
      </c>
      <c r="F25" s="28">
        <f t="shared" si="5"/>
        <v>0</v>
      </c>
      <c r="G25" s="28"/>
      <c r="H25" s="28"/>
      <c r="I25" s="28">
        <f t="shared" si="6"/>
        <v>4200000</v>
      </c>
      <c r="J25" s="28">
        <f t="shared" si="7"/>
        <v>4200000</v>
      </c>
      <c r="K25" s="28">
        <f t="shared" si="8"/>
        <v>0</v>
      </c>
    </row>
    <row r="26" spans="1:12" s="11" customFormat="1" ht="50.45" customHeight="1" x14ac:dyDescent="0.2">
      <c r="A26" s="6" t="s">
        <v>45</v>
      </c>
      <c r="B26" s="3" t="s">
        <v>46</v>
      </c>
      <c r="C26" s="28">
        <f t="shared" si="4"/>
        <v>15700000</v>
      </c>
      <c r="D26" s="28">
        <f>14700000+1000000</f>
        <v>15700000</v>
      </c>
      <c r="E26" s="28">
        <v>0</v>
      </c>
      <c r="F26" s="28">
        <f t="shared" si="5"/>
        <v>-710000</v>
      </c>
      <c r="G26" s="28">
        <v>-710000</v>
      </c>
      <c r="H26" s="28"/>
      <c r="I26" s="28">
        <f t="shared" si="6"/>
        <v>14990000</v>
      </c>
      <c r="J26" s="28">
        <f t="shared" si="7"/>
        <v>14990000</v>
      </c>
      <c r="K26" s="28">
        <f t="shared" si="8"/>
        <v>0</v>
      </c>
    </row>
    <row r="27" spans="1:12" s="11" customFormat="1" ht="48.6" customHeight="1" x14ac:dyDescent="0.2">
      <c r="A27" s="6" t="s">
        <v>47</v>
      </c>
      <c r="B27" s="3" t="s">
        <v>48</v>
      </c>
      <c r="C27" s="28">
        <f>D27+E27</f>
        <v>30880000</v>
      </c>
      <c r="D27" s="28">
        <f>29800000-770000+1850000</f>
        <v>30880000</v>
      </c>
      <c r="E27" s="28">
        <v>0</v>
      </c>
      <c r="F27" s="28">
        <f>G27+H27</f>
        <v>-153000</v>
      </c>
      <c r="G27" s="28">
        <v>-153000</v>
      </c>
      <c r="H27" s="28"/>
      <c r="I27" s="28">
        <f>J27+K27</f>
        <v>30727000</v>
      </c>
      <c r="J27" s="28">
        <f t="shared" ref="J27" si="9">D27+G27</f>
        <v>30727000</v>
      </c>
      <c r="K27" s="28">
        <f t="shared" ref="K27" si="10">E27+H27</f>
        <v>0</v>
      </c>
    </row>
    <row r="28" spans="1:12" s="11" customFormat="1" ht="21.2" customHeight="1" x14ac:dyDescent="0.2">
      <c r="A28" s="6"/>
      <c r="B28" s="2" t="s">
        <v>160</v>
      </c>
      <c r="C28" s="27">
        <f t="shared" ref="C28:K28" si="11">SUM(C29:C32)</f>
        <v>184734800</v>
      </c>
      <c r="D28" s="27">
        <f>SUM(D29:D32)</f>
        <v>184734800</v>
      </c>
      <c r="E28" s="27">
        <f t="shared" si="11"/>
        <v>0</v>
      </c>
      <c r="F28" s="27">
        <f t="shared" si="11"/>
        <v>0</v>
      </c>
      <c r="G28" s="27">
        <f t="shared" si="11"/>
        <v>0</v>
      </c>
      <c r="H28" s="27">
        <f t="shared" si="11"/>
        <v>0</v>
      </c>
      <c r="I28" s="27">
        <f t="shared" si="11"/>
        <v>184734800</v>
      </c>
      <c r="J28" s="27">
        <f t="shared" si="11"/>
        <v>184734800</v>
      </c>
      <c r="K28" s="27">
        <f t="shared" si="11"/>
        <v>0</v>
      </c>
    </row>
    <row r="29" spans="1:12" s="11" customFormat="1" ht="21.2" customHeight="1" x14ac:dyDescent="0.2">
      <c r="A29" s="6" t="s">
        <v>49</v>
      </c>
      <c r="B29" s="3" t="s">
        <v>50</v>
      </c>
      <c r="C29" s="28">
        <f t="shared" ref="C29:C31" si="12">D29+E29</f>
        <v>58599800</v>
      </c>
      <c r="D29" s="28">
        <f>60000000-1400200</f>
        <v>58599800</v>
      </c>
      <c r="E29" s="28">
        <v>0</v>
      </c>
      <c r="F29" s="28">
        <f t="shared" ref="F29:F31" si="13">G29+H29</f>
        <v>0</v>
      </c>
      <c r="G29" s="28"/>
      <c r="H29" s="28"/>
      <c r="I29" s="28">
        <f t="shared" ref="I29:I31" si="14">J29+K29</f>
        <v>58599800</v>
      </c>
      <c r="J29" s="28">
        <f t="shared" ref="J29:J32" si="15">D29+G29</f>
        <v>58599800</v>
      </c>
      <c r="K29" s="28">
        <f t="shared" ref="K29:K32" si="16">E29+H29</f>
        <v>0</v>
      </c>
    </row>
    <row r="30" spans="1:12" s="11" customFormat="1" ht="21.2" customHeight="1" x14ac:dyDescent="0.2">
      <c r="A30" s="6" t="s">
        <v>51</v>
      </c>
      <c r="B30" s="3" t="s">
        <v>52</v>
      </c>
      <c r="C30" s="28">
        <f t="shared" si="12"/>
        <v>111790000</v>
      </c>
      <c r="D30" s="28">
        <f>111000000+790000</f>
        <v>111790000</v>
      </c>
      <c r="E30" s="28">
        <v>0</v>
      </c>
      <c r="F30" s="28">
        <f t="shared" si="13"/>
        <v>0</v>
      </c>
      <c r="G30" s="28"/>
      <c r="H30" s="28"/>
      <c r="I30" s="28">
        <f t="shared" si="14"/>
        <v>111790000</v>
      </c>
      <c r="J30" s="28">
        <f t="shared" si="15"/>
        <v>111790000</v>
      </c>
      <c r="K30" s="28">
        <f t="shared" si="16"/>
        <v>0</v>
      </c>
    </row>
    <row r="31" spans="1:12" s="11" customFormat="1" ht="21.2" customHeight="1" x14ac:dyDescent="0.2">
      <c r="A31" s="6" t="s">
        <v>53</v>
      </c>
      <c r="B31" s="3" t="s">
        <v>54</v>
      </c>
      <c r="C31" s="28">
        <f t="shared" si="12"/>
        <v>2000000</v>
      </c>
      <c r="D31" s="28">
        <v>2000000</v>
      </c>
      <c r="E31" s="28">
        <v>0</v>
      </c>
      <c r="F31" s="28">
        <f t="shared" si="13"/>
        <v>0</v>
      </c>
      <c r="G31" s="28"/>
      <c r="H31" s="28"/>
      <c r="I31" s="28">
        <f t="shared" si="14"/>
        <v>2000000</v>
      </c>
      <c r="J31" s="28">
        <f t="shared" si="15"/>
        <v>2000000</v>
      </c>
      <c r="K31" s="28">
        <f t="shared" si="16"/>
        <v>0</v>
      </c>
      <c r="L31" s="13"/>
    </row>
    <row r="32" spans="1:12" s="11" customFormat="1" ht="21.2" customHeight="1" x14ac:dyDescent="0.2">
      <c r="A32" s="6" t="s">
        <v>55</v>
      </c>
      <c r="B32" s="3" t="s">
        <v>56</v>
      </c>
      <c r="C32" s="28">
        <f>D32+E32</f>
        <v>12345000</v>
      </c>
      <c r="D32" s="28">
        <v>12345000</v>
      </c>
      <c r="E32" s="28">
        <v>0</v>
      </c>
      <c r="F32" s="28">
        <f>G32+H32</f>
        <v>0</v>
      </c>
      <c r="G32" s="28"/>
      <c r="H32" s="28"/>
      <c r="I32" s="28">
        <f>J32+K32</f>
        <v>12345000</v>
      </c>
      <c r="J32" s="28">
        <f t="shared" si="15"/>
        <v>12345000</v>
      </c>
      <c r="K32" s="28">
        <f t="shared" si="16"/>
        <v>0</v>
      </c>
      <c r="L32" s="13"/>
    </row>
    <row r="33" spans="1:12" s="11" customFormat="1" ht="21.2" customHeight="1" x14ac:dyDescent="0.2">
      <c r="A33" s="6"/>
      <c r="B33" s="2" t="s">
        <v>57</v>
      </c>
      <c r="C33" s="27">
        <f>SUM(C34:C35)</f>
        <v>341500</v>
      </c>
      <c r="D33" s="27">
        <f>SUM(D34:D35)</f>
        <v>341500</v>
      </c>
      <c r="E33" s="28"/>
      <c r="F33" s="27">
        <f>SUM(F34:F35)</f>
        <v>28000</v>
      </c>
      <c r="G33" s="27">
        <f>SUM(G34:G35)</f>
        <v>28000</v>
      </c>
      <c r="H33" s="28"/>
      <c r="I33" s="27">
        <f>SUM(I34:I35)</f>
        <v>369500</v>
      </c>
      <c r="J33" s="27">
        <f>SUM(J34:J35)</f>
        <v>369500</v>
      </c>
      <c r="K33" s="28"/>
      <c r="L33" s="13"/>
    </row>
    <row r="34" spans="1:12" s="11" customFormat="1" ht="21.2" customHeight="1" x14ac:dyDescent="0.2">
      <c r="A34" s="6" t="s">
        <v>58</v>
      </c>
      <c r="B34" s="3" t="s">
        <v>59</v>
      </c>
      <c r="C34" s="28">
        <f t="shared" ref="C34:C48" si="17">D34+E34</f>
        <v>116500</v>
      </c>
      <c r="D34" s="28">
        <f>117000-500</f>
        <v>116500</v>
      </c>
      <c r="E34" s="28">
        <v>0</v>
      </c>
      <c r="F34" s="28">
        <f>G34+H34</f>
        <v>37000</v>
      </c>
      <c r="G34" s="28">
        <v>37000</v>
      </c>
      <c r="H34" s="28"/>
      <c r="I34" s="28">
        <f t="shared" ref="I34:I44" si="18">J34+K34</f>
        <v>153500</v>
      </c>
      <c r="J34" s="28">
        <f t="shared" ref="J34:J35" si="19">D34+G34</f>
        <v>153500</v>
      </c>
      <c r="K34" s="28">
        <f t="shared" ref="K34:K35" si="20">E34+H34</f>
        <v>0</v>
      </c>
      <c r="L34" s="13"/>
    </row>
    <row r="35" spans="1:12" s="11" customFormat="1" ht="21.2" customHeight="1" x14ac:dyDescent="0.2">
      <c r="A35" s="6" t="s">
        <v>60</v>
      </c>
      <c r="B35" s="3" t="s">
        <v>61</v>
      </c>
      <c r="C35" s="28">
        <f t="shared" si="17"/>
        <v>225000</v>
      </c>
      <c r="D35" s="28">
        <f>240000-15000</f>
        <v>225000</v>
      </c>
      <c r="E35" s="28">
        <v>0</v>
      </c>
      <c r="F35" s="28">
        <f>G35+H35</f>
        <v>-9000</v>
      </c>
      <c r="G35" s="28">
        <v>-9000</v>
      </c>
      <c r="H35" s="28"/>
      <c r="I35" s="28">
        <f t="shared" si="18"/>
        <v>216000</v>
      </c>
      <c r="J35" s="28">
        <f t="shared" si="19"/>
        <v>216000</v>
      </c>
      <c r="K35" s="28">
        <f t="shared" si="20"/>
        <v>0</v>
      </c>
      <c r="L35" s="13"/>
    </row>
    <row r="36" spans="1:12" s="11" customFormat="1" ht="30" customHeight="1" x14ac:dyDescent="0.2">
      <c r="A36" s="5" t="s">
        <v>62</v>
      </c>
      <c r="B36" s="2" t="s">
        <v>63</v>
      </c>
      <c r="C36" s="27">
        <f t="shared" si="17"/>
        <v>660000</v>
      </c>
      <c r="D36" s="27">
        <f>536000+19000+105000</f>
        <v>660000</v>
      </c>
      <c r="E36" s="27">
        <v>0</v>
      </c>
      <c r="F36" s="27">
        <f t="shared" ref="F36:F43" si="21">G36+H36</f>
        <v>37000</v>
      </c>
      <c r="G36" s="27">
        <v>37000</v>
      </c>
      <c r="H36" s="27"/>
      <c r="I36" s="27">
        <f t="shared" si="18"/>
        <v>697000</v>
      </c>
      <c r="J36" s="27">
        <f>D36+G36</f>
        <v>697000</v>
      </c>
      <c r="K36" s="27">
        <f>E36+H36</f>
        <v>0</v>
      </c>
      <c r="L36" s="13"/>
    </row>
    <row r="37" spans="1:12" s="11" customFormat="1" ht="34.5" customHeight="1" x14ac:dyDescent="0.2">
      <c r="A37" s="5" t="s">
        <v>64</v>
      </c>
      <c r="B37" s="2" t="s">
        <v>65</v>
      </c>
      <c r="C37" s="27">
        <f t="shared" si="17"/>
        <v>100275000</v>
      </c>
      <c r="D37" s="27">
        <f>106500000-6225000</f>
        <v>100275000</v>
      </c>
      <c r="E37" s="27">
        <v>0</v>
      </c>
      <c r="F37" s="27">
        <f t="shared" si="21"/>
        <v>0</v>
      </c>
      <c r="G37" s="27"/>
      <c r="H37" s="27"/>
      <c r="I37" s="27">
        <f t="shared" si="18"/>
        <v>100275000</v>
      </c>
      <c r="J37" s="27">
        <f>D37+G37</f>
        <v>100275000</v>
      </c>
      <c r="K37" s="27">
        <f>E37+H37</f>
        <v>0</v>
      </c>
    </row>
    <row r="38" spans="1:12" s="11" customFormat="1" ht="21.2" customHeight="1" x14ac:dyDescent="0.2">
      <c r="A38" s="5" t="s">
        <v>66</v>
      </c>
      <c r="B38" s="2" t="s">
        <v>67</v>
      </c>
      <c r="C38" s="27">
        <f t="shared" si="17"/>
        <v>650000</v>
      </c>
      <c r="D38" s="27"/>
      <c r="E38" s="27">
        <f>E39</f>
        <v>650000</v>
      </c>
      <c r="F38" s="27">
        <f t="shared" si="21"/>
        <v>-124000</v>
      </c>
      <c r="G38" s="27"/>
      <c r="H38" s="27">
        <f>H39</f>
        <v>-124000</v>
      </c>
      <c r="I38" s="27">
        <f t="shared" si="18"/>
        <v>526000</v>
      </c>
      <c r="J38" s="27"/>
      <c r="K38" s="27">
        <f>K39</f>
        <v>526000</v>
      </c>
    </row>
    <row r="39" spans="1:12" s="11" customFormat="1" ht="36" customHeight="1" x14ac:dyDescent="0.2">
      <c r="A39" s="6" t="s">
        <v>68</v>
      </c>
      <c r="B39" s="3" t="s">
        <v>69</v>
      </c>
      <c r="C39" s="28">
        <f t="shared" si="17"/>
        <v>650000</v>
      </c>
      <c r="D39" s="28">
        <v>0</v>
      </c>
      <c r="E39" s="28">
        <v>650000</v>
      </c>
      <c r="F39" s="28">
        <f t="shared" si="21"/>
        <v>-124000</v>
      </c>
      <c r="G39" s="28"/>
      <c r="H39" s="30">
        <f>50000+-174000</f>
        <v>-124000</v>
      </c>
      <c r="I39" s="28">
        <f t="shared" si="18"/>
        <v>526000</v>
      </c>
      <c r="J39" s="28">
        <f t="shared" ref="J39" si="22">D39+G39</f>
        <v>0</v>
      </c>
      <c r="K39" s="28">
        <f>E39+H39</f>
        <v>526000</v>
      </c>
    </row>
    <row r="40" spans="1:12" s="11" customFormat="1" ht="21.2" customHeight="1" x14ac:dyDescent="0.2">
      <c r="A40" s="5" t="s">
        <v>70</v>
      </c>
      <c r="B40" s="2" t="s">
        <v>71</v>
      </c>
      <c r="C40" s="27">
        <f t="shared" si="17"/>
        <v>27332400</v>
      </c>
      <c r="D40" s="27">
        <f>D41+D49+D57+D64</f>
        <v>15042100</v>
      </c>
      <c r="E40" s="27">
        <f>E41+E49+E57+E64</f>
        <v>12290300</v>
      </c>
      <c r="F40" s="27">
        <f t="shared" si="21"/>
        <v>-354190</v>
      </c>
      <c r="G40" s="27">
        <f>G41+G49+G57+G64</f>
        <v>-115790</v>
      </c>
      <c r="H40" s="27">
        <f>H41+H49+H57+H64</f>
        <v>-238400</v>
      </c>
      <c r="I40" s="27">
        <f t="shared" si="18"/>
        <v>26978210</v>
      </c>
      <c r="J40" s="27">
        <f>J41+J49+J57+J64</f>
        <v>14926310</v>
      </c>
      <c r="K40" s="27">
        <f>K41+K49+K57+K64</f>
        <v>12051900</v>
      </c>
    </row>
    <row r="41" spans="1:12" s="11" customFormat="1" ht="23.25" customHeight="1" x14ac:dyDescent="0.2">
      <c r="A41" s="5" t="s">
        <v>72</v>
      </c>
      <c r="B41" s="2" t="s">
        <v>73</v>
      </c>
      <c r="C41" s="27">
        <f>D41+E41</f>
        <v>1202000</v>
      </c>
      <c r="D41" s="27">
        <f>SUM(D42:D48)</f>
        <v>1202000</v>
      </c>
      <c r="E41" s="27">
        <f>SUM(E42:E48)</f>
        <v>0</v>
      </c>
      <c r="F41" s="27">
        <f t="shared" si="21"/>
        <v>0</v>
      </c>
      <c r="G41" s="27">
        <f>SUM(G42:G48)</f>
        <v>0</v>
      </c>
      <c r="H41" s="27">
        <f>SUM(H42:H48)</f>
        <v>0</v>
      </c>
      <c r="I41" s="27">
        <f t="shared" si="18"/>
        <v>1202000</v>
      </c>
      <c r="J41" s="27">
        <f>SUM(J42:J48)</f>
        <v>1202000</v>
      </c>
      <c r="K41" s="27">
        <f>SUM(K42:K48)</f>
        <v>0</v>
      </c>
    </row>
    <row r="42" spans="1:12" s="11" customFormat="1" ht="14.25" hidden="1" customHeight="1" x14ac:dyDescent="0.2">
      <c r="A42" s="6"/>
      <c r="B42" s="3"/>
      <c r="C42" s="28">
        <f t="shared" ref="C42" si="23">D42+E42</f>
        <v>0</v>
      </c>
      <c r="D42" s="28"/>
      <c r="E42" s="28"/>
      <c r="F42" s="28"/>
      <c r="G42" s="28"/>
      <c r="H42" s="28"/>
      <c r="I42" s="28">
        <f t="shared" ref="I42" si="24">J42+K42</f>
        <v>0</v>
      </c>
      <c r="J42" s="28">
        <f t="shared" ref="J42" si="25">D42+G42</f>
        <v>0</v>
      </c>
      <c r="K42" s="28">
        <f t="shared" ref="K42" si="26">E42+H42</f>
        <v>0</v>
      </c>
    </row>
    <row r="43" spans="1:12" s="11" customFormat="1" ht="57" customHeight="1" x14ac:dyDescent="0.2">
      <c r="A43" s="6" t="s">
        <v>74</v>
      </c>
      <c r="B43" s="3" t="s">
        <v>75</v>
      </c>
      <c r="C43" s="28">
        <f t="shared" si="17"/>
        <v>3000</v>
      </c>
      <c r="D43" s="28">
        <f>1000+1000+1000</f>
        <v>3000</v>
      </c>
      <c r="E43" s="28">
        <v>0</v>
      </c>
      <c r="F43" s="28">
        <f t="shared" si="21"/>
        <v>0</v>
      </c>
      <c r="G43" s="28"/>
      <c r="H43" s="28"/>
      <c r="I43" s="28">
        <f t="shared" si="18"/>
        <v>3000</v>
      </c>
      <c r="J43" s="28">
        <f t="shared" ref="J43:J48" si="27">D43+G43</f>
        <v>3000</v>
      </c>
      <c r="K43" s="28">
        <f t="shared" ref="K43:K48" si="28">E43+H43</f>
        <v>0</v>
      </c>
      <c r="L43" s="13"/>
    </row>
    <row r="44" spans="1:12" s="11" customFormat="1" ht="71.25" customHeight="1" x14ac:dyDescent="0.2">
      <c r="A44" s="6">
        <v>21080900</v>
      </c>
      <c r="B44" s="32" t="s">
        <v>133</v>
      </c>
      <c r="C44" s="28">
        <f t="shared" si="17"/>
        <v>7000</v>
      </c>
      <c r="D44" s="28">
        <f>7000</f>
        <v>7000</v>
      </c>
      <c r="E44" s="28"/>
      <c r="F44" s="28">
        <f>G44+H44</f>
        <v>0</v>
      </c>
      <c r="G44" s="28"/>
      <c r="H44" s="28"/>
      <c r="I44" s="28">
        <f t="shared" si="18"/>
        <v>7000</v>
      </c>
      <c r="J44" s="28">
        <f t="shared" si="27"/>
        <v>7000</v>
      </c>
      <c r="K44" s="28"/>
      <c r="L44" s="36"/>
    </row>
    <row r="45" spans="1:12" s="11" customFormat="1" ht="33" customHeight="1" x14ac:dyDescent="0.2">
      <c r="A45" s="6" t="s">
        <v>76</v>
      </c>
      <c r="B45" s="3" t="s">
        <v>77</v>
      </c>
      <c r="C45" s="28">
        <f t="shared" si="17"/>
        <v>179600</v>
      </c>
      <c r="D45" s="28">
        <f>215000-3400-7000-25000</f>
        <v>179600</v>
      </c>
      <c r="E45" s="28">
        <v>0</v>
      </c>
      <c r="F45" s="28">
        <f t="shared" ref="F45:F48" si="29">G45+H45</f>
        <v>0</v>
      </c>
      <c r="G45" s="28"/>
      <c r="H45" s="28"/>
      <c r="I45" s="28">
        <f t="shared" ref="I45:I48" si="30">J45+K45</f>
        <v>179600</v>
      </c>
      <c r="J45" s="28">
        <f t="shared" si="27"/>
        <v>179600</v>
      </c>
      <c r="K45" s="28">
        <f t="shared" si="28"/>
        <v>0</v>
      </c>
    </row>
    <row r="46" spans="1:12" s="11" customFormat="1" ht="79.900000000000006" customHeight="1" x14ac:dyDescent="0.2">
      <c r="A46" s="6">
        <v>21081500</v>
      </c>
      <c r="B46" s="42" t="s">
        <v>134</v>
      </c>
      <c r="C46" s="28">
        <f t="shared" si="17"/>
        <v>400000</v>
      </c>
      <c r="D46" s="28">
        <f>500000-100000</f>
        <v>400000</v>
      </c>
      <c r="E46" s="28">
        <v>0</v>
      </c>
      <c r="F46" s="28">
        <f t="shared" si="29"/>
        <v>0</v>
      </c>
      <c r="G46" s="28"/>
      <c r="H46" s="28"/>
      <c r="I46" s="28">
        <f t="shared" si="30"/>
        <v>400000</v>
      </c>
      <c r="J46" s="28">
        <f t="shared" si="27"/>
        <v>400000</v>
      </c>
      <c r="K46" s="28">
        <f t="shared" si="28"/>
        <v>0</v>
      </c>
    </row>
    <row r="47" spans="1:12" s="11" customFormat="1" ht="79.900000000000006" customHeight="1" x14ac:dyDescent="0.2">
      <c r="A47" s="6">
        <v>21081700</v>
      </c>
      <c r="B47" s="3" t="s">
        <v>146</v>
      </c>
      <c r="C47" s="28">
        <f t="shared" si="17"/>
        <v>596000</v>
      </c>
      <c r="D47" s="28">
        <f>833000-182000-55000</f>
        <v>596000</v>
      </c>
      <c r="E47" s="28"/>
      <c r="F47" s="28">
        <f t="shared" si="29"/>
        <v>0</v>
      </c>
      <c r="G47" s="28"/>
      <c r="H47" s="28"/>
      <c r="I47" s="28">
        <f>J47+K47</f>
        <v>596000</v>
      </c>
      <c r="J47" s="28">
        <f>D47+G47</f>
        <v>596000</v>
      </c>
      <c r="K47" s="28">
        <f t="shared" si="28"/>
        <v>0</v>
      </c>
    </row>
    <row r="48" spans="1:12" s="11" customFormat="1" ht="62.45" customHeight="1" x14ac:dyDescent="0.2">
      <c r="A48" s="6" t="s">
        <v>78</v>
      </c>
      <c r="B48" s="3" t="s">
        <v>79</v>
      </c>
      <c r="C48" s="28">
        <f t="shared" si="17"/>
        <v>16400</v>
      </c>
      <c r="D48" s="28">
        <f>7000+3000+2400+4000</f>
        <v>16400</v>
      </c>
      <c r="E48" s="28">
        <v>0</v>
      </c>
      <c r="F48" s="28">
        <f t="shared" si="29"/>
        <v>0</v>
      </c>
      <c r="G48" s="28"/>
      <c r="H48" s="28"/>
      <c r="I48" s="28">
        <f t="shared" si="30"/>
        <v>16400</v>
      </c>
      <c r="J48" s="28">
        <f t="shared" si="27"/>
        <v>16400</v>
      </c>
      <c r="K48" s="28">
        <f t="shared" si="28"/>
        <v>0</v>
      </c>
    </row>
    <row r="49" spans="1:12" s="11" customFormat="1" ht="31.5" x14ac:dyDescent="0.2">
      <c r="A49" s="5" t="s">
        <v>80</v>
      </c>
      <c r="B49" s="2" t="s">
        <v>81</v>
      </c>
      <c r="C49" s="27">
        <f>D49+E49</f>
        <v>10609100</v>
      </c>
      <c r="D49" s="27">
        <f>D50+D55+D56</f>
        <v>10609100</v>
      </c>
      <c r="E49" s="27">
        <f>E50+E55+E56</f>
        <v>0</v>
      </c>
      <c r="F49" s="27">
        <f>G49+H49</f>
        <v>90110</v>
      </c>
      <c r="G49" s="27">
        <f>G50+G55+G56</f>
        <v>90110</v>
      </c>
      <c r="H49" s="27">
        <f>H50+H55+H56</f>
        <v>0</v>
      </c>
      <c r="I49" s="27">
        <f>J49+K49</f>
        <v>10699210</v>
      </c>
      <c r="J49" s="27">
        <f>J50+J55+J56</f>
        <v>10699210</v>
      </c>
      <c r="K49" s="27">
        <f>K50+K55+K56</f>
        <v>0</v>
      </c>
    </row>
    <row r="50" spans="1:12" s="11" customFormat="1" ht="24" customHeight="1" x14ac:dyDescent="0.2">
      <c r="A50" s="5" t="s">
        <v>82</v>
      </c>
      <c r="B50" s="2" t="s">
        <v>83</v>
      </c>
      <c r="C50" s="27">
        <f>D50+E50</f>
        <v>5729600</v>
      </c>
      <c r="D50" s="27">
        <f>SUM(D51:D54)</f>
        <v>5729600</v>
      </c>
      <c r="E50" s="27">
        <f>SUM(E51:E54)</f>
        <v>0</v>
      </c>
      <c r="F50" s="27">
        <f>G50+H50</f>
        <v>90110</v>
      </c>
      <c r="G50" s="27">
        <f>SUM(G51:G54)</f>
        <v>90110</v>
      </c>
      <c r="H50" s="27">
        <f>SUM(H51:H54)</f>
        <v>0</v>
      </c>
      <c r="I50" s="27">
        <f>J50+K50</f>
        <v>5819710</v>
      </c>
      <c r="J50" s="27">
        <f>SUM(J51:J54)</f>
        <v>5819710</v>
      </c>
      <c r="K50" s="27">
        <f>SUM(K51:K54)</f>
        <v>0</v>
      </c>
    </row>
    <row r="51" spans="1:12" s="11" customFormat="1" ht="47.25" x14ac:dyDescent="0.2">
      <c r="A51" s="6" t="s">
        <v>84</v>
      </c>
      <c r="B51" s="3" t="s">
        <v>85</v>
      </c>
      <c r="C51" s="28">
        <f>D51+E51</f>
        <v>130000</v>
      </c>
      <c r="D51" s="28">
        <f>200000-70000</f>
        <v>130000</v>
      </c>
      <c r="E51" s="28">
        <v>0</v>
      </c>
      <c r="F51" s="28">
        <f>G51+H51</f>
        <v>0</v>
      </c>
      <c r="G51" s="28"/>
      <c r="H51" s="28"/>
      <c r="I51" s="28">
        <f>J51+K51</f>
        <v>130000</v>
      </c>
      <c r="J51" s="28">
        <f t="shared" ref="J51:J55" si="31">D51+G51</f>
        <v>130000</v>
      </c>
      <c r="K51" s="28">
        <f t="shared" ref="K51:K55" si="32">E51+H51</f>
        <v>0</v>
      </c>
    </row>
    <row r="52" spans="1:12" s="11" customFormat="1" ht="26.45" customHeight="1" x14ac:dyDescent="0.2">
      <c r="A52" s="6" t="s">
        <v>86</v>
      </c>
      <c r="B52" s="3" t="s">
        <v>87</v>
      </c>
      <c r="C52" s="28">
        <f t="shared" ref="C52:C55" si="33">D52+E52</f>
        <v>5219600</v>
      </c>
      <c r="D52" s="28">
        <f>7000000-2000000+219600</f>
        <v>5219600</v>
      </c>
      <c r="E52" s="28">
        <v>0</v>
      </c>
      <c r="F52" s="28">
        <f t="shared" ref="F52:F55" si="34">G52+H52</f>
        <v>90330</v>
      </c>
      <c r="G52" s="28">
        <v>90330</v>
      </c>
      <c r="H52" s="28"/>
      <c r="I52" s="28">
        <f t="shared" ref="I52:I55" si="35">J52+K52</f>
        <v>5309930</v>
      </c>
      <c r="J52" s="28">
        <f t="shared" si="31"/>
        <v>5309930</v>
      </c>
      <c r="K52" s="28">
        <f t="shared" si="32"/>
        <v>0</v>
      </c>
    </row>
    <row r="53" spans="1:12" s="11" customFormat="1" ht="36.75" customHeight="1" x14ac:dyDescent="0.2">
      <c r="A53" s="6" t="s">
        <v>88</v>
      </c>
      <c r="B53" s="3" t="s">
        <v>89</v>
      </c>
      <c r="C53" s="28">
        <f t="shared" si="33"/>
        <v>370000</v>
      </c>
      <c r="D53" s="28">
        <v>370000</v>
      </c>
      <c r="E53" s="28">
        <v>0</v>
      </c>
      <c r="F53" s="28">
        <f t="shared" si="34"/>
        <v>0</v>
      </c>
      <c r="G53" s="28"/>
      <c r="H53" s="28"/>
      <c r="I53" s="28">
        <f t="shared" si="35"/>
        <v>370000</v>
      </c>
      <c r="J53" s="28">
        <f t="shared" si="31"/>
        <v>370000</v>
      </c>
      <c r="K53" s="28">
        <f t="shared" si="32"/>
        <v>0</v>
      </c>
    </row>
    <row r="54" spans="1:12" s="11" customFormat="1" ht="94.5" x14ac:dyDescent="0.2">
      <c r="A54" s="6" t="s">
        <v>90</v>
      </c>
      <c r="B54" s="3" t="s">
        <v>135</v>
      </c>
      <c r="C54" s="28">
        <f t="shared" si="33"/>
        <v>10000</v>
      </c>
      <c r="D54" s="28">
        <f>20000-10000</f>
        <v>10000</v>
      </c>
      <c r="E54" s="28">
        <v>0</v>
      </c>
      <c r="F54" s="28">
        <f t="shared" si="34"/>
        <v>-220</v>
      </c>
      <c r="G54" s="28">
        <v>-220</v>
      </c>
      <c r="H54" s="28"/>
      <c r="I54" s="28">
        <f t="shared" si="35"/>
        <v>9780</v>
      </c>
      <c r="J54" s="28">
        <f t="shared" si="31"/>
        <v>9780</v>
      </c>
      <c r="K54" s="28">
        <f t="shared" si="32"/>
        <v>0</v>
      </c>
    </row>
    <row r="55" spans="1:12" s="11" customFormat="1" ht="47.25" x14ac:dyDescent="0.2">
      <c r="A55" s="6" t="s">
        <v>91</v>
      </c>
      <c r="B55" s="3" t="s">
        <v>92</v>
      </c>
      <c r="C55" s="28">
        <f t="shared" si="33"/>
        <v>4850000</v>
      </c>
      <c r="D55" s="28">
        <f>5000000-150000</f>
        <v>4850000</v>
      </c>
      <c r="E55" s="28">
        <v>0</v>
      </c>
      <c r="F55" s="28">
        <f t="shared" si="34"/>
        <v>0</v>
      </c>
      <c r="G55" s="28"/>
      <c r="H55" s="28"/>
      <c r="I55" s="28">
        <f t="shared" si="35"/>
        <v>4850000</v>
      </c>
      <c r="J55" s="28">
        <f t="shared" si="31"/>
        <v>4850000</v>
      </c>
      <c r="K55" s="28">
        <f t="shared" si="32"/>
        <v>0</v>
      </c>
      <c r="L55" s="13"/>
    </row>
    <row r="56" spans="1:12" s="11" customFormat="1" ht="34.5" customHeight="1" x14ac:dyDescent="0.2">
      <c r="A56" s="5" t="s">
        <v>93</v>
      </c>
      <c r="B56" s="2" t="s">
        <v>94</v>
      </c>
      <c r="C56" s="27">
        <f>D56</f>
        <v>29500</v>
      </c>
      <c r="D56" s="27">
        <f>55000-4000-10500-11000</f>
        <v>29500</v>
      </c>
      <c r="E56" s="27">
        <v>0</v>
      </c>
      <c r="F56" s="27">
        <f>G56</f>
        <v>0</v>
      </c>
      <c r="G56" s="27"/>
      <c r="H56" s="27"/>
      <c r="I56" s="27">
        <f>J56+K56</f>
        <v>29500</v>
      </c>
      <c r="J56" s="27">
        <f>D56+G56</f>
        <v>29500</v>
      </c>
      <c r="K56" s="27">
        <f>E56+H56</f>
        <v>0</v>
      </c>
      <c r="L56" s="13"/>
    </row>
    <row r="57" spans="1:12" s="11" customFormat="1" ht="37.5" customHeight="1" x14ac:dyDescent="0.2">
      <c r="A57" s="5" t="s">
        <v>95</v>
      </c>
      <c r="B57" s="2" t="s">
        <v>96</v>
      </c>
      <c r="C57" s="27">
        <f>D57+E57</f>
        <v>4071000</v>
      </c>
      <c r="D57" s="27">
        <f>D58+D63</f>
        <v>3231000</v>
      </c>
      <c r="E57" s="27">
        <f>E58+E63</f>
        <v>840000</v>
      </c>
      <c r="F57" s="27">
        <f>G57+H57</f>
        <v>-444300</v>
      </c>
      <c r="G57" s="27">
        <f>G58+G63</f>
        <v>-205900</v>
      </c>
      <c r="H57" s="27">
        <f>H58+H63</f>
        <v>-238400</v>
      </c>
      <c r="I57" s="27">
        <f>J57+K57</f>
        <v>3626700</v>
      </c>
      <c r="J57" s="27">
        <f>J58+J63</f>
        <v>3025100</v>
      </c>
      <c r="K57" s="27">
        <f>K58+K63</f>
        <v>601600</v>
      </c>
      <c r="L57" s="13"/>
    </row>
    <row r="58" spans="1:12" s="11" customFormat="1" ht="44.25" customHeight="1" x14ac:dyDescent="0.2">
      <c r="A58" s="5" t="s">
        <v>152</v>
      </c>
      <c r="B58" s="2" t="s">
        <v>153</v>
      </c>
      <c r="C58" s="27">
        <f>D58+E58</f>
        <v>3481000</v>
      </c>
      <c r="D58" s="27">
        <f>SUM(D59:D62)</f>
        <v>3231000</v>
      </c>
      <c r="E58" s="27">
        <f>SUM(E59:E62)</f>
        <v>250000</v>
      </c>
      <c r="F58" s="27">
        <f>G58+H58</f>
        <v>-444300</v>
      </c>
      <c r="G58" s="27">
        <f>SUM(G59:G62)</f>
        <v>-205900</v>
      </c>
      <c r="H58" s="27">
        <f>SUM(H59:H62)</f>
        <v>-238400</v>
      </c>
      <c r="I58" s="27">
        <f>J58+K58</f>
        <v>3036700</v>
      </c>
      <c r="J58" s="27">
        <f>SUM(J59:J62)</f>
        <v>3025100</v>
      </c>
      <c r="K58" s="27">
        <f>SUM(K59:K62)</f>
        <v>11600</v>
      </c>
      <c r="L58" s="13"/>
    </row>
    <row r="59" spans="1:12" s="11" customFormat="1" ht="39.75" customHeight="1" x14ac:dyDescent="0.2">
      <c r="A59" s="6" t="s">
        <v>97</v>
      </c>
      <c r="B59" s="3" t="s">
        <v>98</v>
      </c>
      <c r="C59" s="28">
        <f>D59+E59</f>
        <v>2981000</v>
      </c>
      <c r="D59" s="28">
        <f>2000000+281000+700000</f>
        <v>2981000</v>
      </c>
      <c r="E59" s="27"/>
      <c r="F59" s="28">
        <f t="shared" ref="F59:F64" si="36">G59+H59</f>
        <v>0</v>
      </c>
      <c r="G59" s="28"/>
      <c r="H59" s="28"/>
      <c r="I59" s="28">
        <f t="shared" ref="I59:I63" si="37">J59+K59</f>
        <v>2981000</v>
      </c>
      <c r="J59" s="28">
        <f t="shared" ref="J59:K61" si="38">D59+G59</f>
        <v>2981000</v>
      </c>
      <c r="K59" s="28">
        <f t="shared" si="38"/>
        <v>0</v>
      </c>
      <c r="L59" s="13"/>
    </row>
    <row r="60" spans="1:12" s="11" customFormat="1" ht="69.75" hidden="1" customHeight="1" x14ac:dyDescent="0.2">
      <c r="A60" s="6">
        <v>24061900</v>
      </c>
      <c r="B60" s="3" t="s">
        <v>144</v>
      </c>
      <c r="C60" s="28"/>
      <c r="D60" s="28"/>
      <c r="E60" s="27"/>
      <c r="F60" s="28">
        <f t="shared" si="36"/>
        <v>0</v>
      </c>
      <c r="G60" s="28"/>
      <c r="H60" s="28"/>
      <c r="I60" s="28">
        <f t="shared" ref="I60" si="39">J60+K60</f>
        <v>0</v>
      </c>
      <c r="J60" s="28">
        <f t="shared" si="38"/>
        <v>0</v>
      </c>
      <c r="K60" s="28">
        <f t="shared" si="38"/>
        <v>0</v>
      </c>
      <c r="L60" s="13"/>
    </row>
    <row r="61" spans="1:12" s="11" customFormat="1" ht="51" customHeight="1" x14ac:dyDescent="0.2">
      <c r="A61" s="6" t="s">
        <v>99</v>
      </c>
      <c r="B61" s="3" t="s">
        <v>100</v>
      </c>
      <c r="C61" s="28">
        <f t="shared" ref="C61:C64" si="40">D61+E61</f>
        <v>250000</v>
      </c>
      <c r="D61" s="28"/>
      <c r="E61" s="28">
        <v>250000</v>
      </c>
      <c r="F61" s="28">
        <f t="shared" si="36"/>
        <v>-238400</v>
      </c>
      <c r="G61" s="28"/>
      <c r="H61" s="28">
        <v>-238400</v>
      </c>
      <c r="I61" s="28">
        <f t="shared" si="37"/>
        <v>11600</v>
      </c>
      <c r="J61" s="28">
        <f t="shared" si="38"/>
        <v>0</v>
      </c>
      <c r="K61" s="28">
        <f t="shared" si="38"/>
        <v>11600</v>
      </c>
    </row>
    <row r="62" spans="1:12" s="11" customFormat="1" ht="147.75" customHeight="1" x14ac:dyDescent="0.2">
      <c r="A62" s="6">
        <v>24062200</v>
      </c>
      <c r="B62" s="3" t="s">
        <v>128</v>
      </c>
      <c r="C62" s="28">
        <f t="shared" si="40"/>
        <v>250000</v>
      </c>
      <c r="D62" s="28">
        <v>250000</v>
      </c>
      <c r="E62" s="28">
        <v>0</v>
      </c>
      <c r="F62" s="28">
        <f t="shared" si="36"/>
        <v>-205900</v>
      </c>
      <c r="G62" s="28">
        <v>-205900</v>
      </c>
      <c r="H62" s="28"/>
      <c r="I62" s="28">
        <f t="shared" si="37"/>
        <v>44100</v>
      </c>
      <c r="J62" s="28">
        <f>D62+G62</f>
        <v>44100</v>
      </c>
      <c r="K62" s="28">
        <f t="shared" ref="K62" si="41">E62+H62</f>
        <v>0</v>
      </c>
      <c r="L62" s="13"/>
    </row>
    <row r="63" spans="1:12" s="11" customFormat="1" ht="59.25" customHeight="1" x14ac:dyDescent="0.2">
      <c r="A63" s="5">
        <v>24170000</v>
      </c>
      <c r="B63" s="2" t="s">
        <v>154</v>
      </c>
      <c r="C63" s="27">
        <f t="shared" si="40"/>
        <v>590000</v>
      </c>
      <c r="D63" s="27"/>
      <c r="E63" s="27">
        <v>590000</v>
      </c>
      <c r="F63" s="27">
        <f>G63+H63</f>
        <v>0</v>
      </c>
      <c r="G63" s="27"/>
      <c r="H63" s="31"/>
      <c r="I63" s="27">
        <f t="shared" si="37"/>
        <v>590000</v>
      </c>
      <c r="J63" s="27">
        <f>D63+G63</f>
        <v>0</v>
      </c>
      <c r="K63" s="27">
        <f>E63+H63</f>
        <v>590000</v>
      </c>
      <c r="L63" s="13"/>
    </row>
    <row r="64" spans="1:12" s="11" customFormat="1" ht="23.25" customHeight="1" x14ac:dyDescent="0.2">
      <c r="A64" s="5" t="s">
        <v>101</v>
      </c>
      <c r="B64" s="2" t="s">
        <v>102</v>
      </c>
      <c r="C64" s="27">
        <f t="shared" si="40"/>
        <v>11450300</v>
      </c>
      <c r="D64" s="27">
        <v>0</v>
      </c>
      <c r="E64" s="27">
        <v>11450300</v>
      </c>
      <c r="F64" s="27">
        <f t="shared" si="36"/>
        <v>0</v>
      </c>
      <c r="G64" s="27"/>
      <c r="H64" s="27"/>
      <c r="I64" s="27">
        <f>J64+K64</f>
        <v>11450300</v>
      </c>
      <c r="J64" s="27">
        <f>D64+G64</f>
        <v>0</v>
      </c>
      <c r="K64" s="27">
        <f>E64+H64</f>
        <v>11450300</v>
      </c>
    </row>
    <row r="65" spans="1:13" s="11" customFormat="1" ht="27" customHeight="1" x14ac:dyDescent="0.2">
      <c r="A65" s="5" t="s">
        <v>103</v>
      </c>
      <c r="B65" s="2" t="s">
        <v>104</v>
      </c>
      <c r="C65" s="27">
        <f t="shared" ref="C65:C73" si="42">D65+E65</f>
        <v>170000</v>
      </c>
      <c r="D65" s="27">
        <f>D68+D66</f>
        <v>0</v>
      </c>
      <c r="E65" s="27">
        <f>E68+E66</f>
        <v>170000</v>
      </c>
      <c r="F65" s="27">
        <f>G65+H65</f>
        <v>0</v>
      </c>
      <c r="G65" s="27">
        <f>G68+G66</f>
        <v>0</v>
      </c>
      <c r="H65" s="27">
        <f>H68+H66</f>
        <v>0</v>
      </c>
      <c r="I65" s="27">
        <f>J65+K65</f>
        <v>170000</v>
      </c>
      <c r="J65" s="27">
        <f>J68+J66</f>
        <v>0</v>
      </c>
      <c r="K65" s="27">
        <f>K68+K66</f>
        <v>170000</v>
      </c>
    </row>
    <row r="66" spans="1:13" s="11" customFormat="1" ht="21" customHeight="1" x14ac:dyDescent="0.2">
      <c r="A66" s="5">
        <v>31000000</v>
      </c>
      <c r="B66" s="2" t="s">
        <v>148</v>
      </c>
      <c r="C66" s="27">
        <f t="shared" si="42"/>
        <v>70300</v>
      </c>
      <c r="D66" s="27">
        <f>D67</f>
        <v>0</v>
      </c>
      <c r="E66" s="27">
        <f>E67</f>
        <v>70300</v>
      </c>
      <c r="F66" s="27">
        <f>G66+H66</f>
        <v>0</v>
      </c>
      <c r="G66" s="27"/>
      <c r="H66" s="27">
        <f>H67</f>
        <v>0</v>
      </c>
      <c r="I66" s="27">
        <f>J66+K66</f>
        <v>70300</v>
      </c>
      <c r="J66" s="27"/>
      <c r="K66" s="27">
        <f>K67</f>
        <v>70300</v>
      </c>
    </row>
    <row r="67" spans="1:13" s="11" customFormat="1" ht="54" customHeight="1" x14ac:dyDescent="0.2">
      <c r="A67" s="5">
        <v>31030000</v>
      </c>
      <c r="B67" s="3" t="s">
        <v>147</v>
      </c>
      <c r="C67" s="28">
        <f t="shared" si="42"/>
        <v>70300</v>
      </c>
      <c r="D67" s="27"/>
      <c r="E67" s="28">
        <v>70300</v>
      </c>
      <c r="F67" s="28">
        <f t="shared" ref="F67:F72" si="43">G67+H67</f>
        <v>0</v>
      </c>
      <c r="G67" s="28"/>
      <c r="H67" s="28"/>
      <c r="I67" s="28">
        <f>J67+K67</f>
        <v>70300</v>
      </c>
      <c r="J67" s="28"/>
      <c r="K67" s="28">
        <f>E67+H67</f>
        <v>70300</v>
      </c>
      <c r="L67" s="13"/>
    </row>
    <row r="68" spans="1:13" s="11" customFormat="1" ht="21" customHeight="1" x14ac:dyDescent="0.2">
      <c r="A68" s="5" t="s">
        <v>105</v>
      </c>
      <c r="B68" s="2" t="s">
        <v>106</v>
      </c>
      <c r="C68" s="27">
        <f t="shared" si="42"/>
        <v>99700</v>
      </c>
      <c r="D68" s="27"/>
      <c r="E68" s="27">
        <f t="shared" ref="E68" si="44">E69</f>
        <v>99700</v>
      </c>
      <c r="F68" s="27">
        <f>G68+H68</f>
        <v>0</v>
      </c>
      <c r="G68" s="27"/>
      <c r="H68" s="27">
        <f>H69</f>
        <v>0</v>
      </c>
      <c r="I68" s="27">
        <f t="shared" ref="I68" si="45">J68+K68</f>
        <v>99700</v>
      </c>
      <c r="J68" s="27"/>
      <c r="K68" s="27">
        <f>K69</f>
        <v>99700</v>
      </c>
    </row>
    <row r="69" spans="1:13" s="11" customFormat="1" ht="21" customHeight="1" x14ac:dyDescent="0.2">
      <c r="A69" s="5" t="s">
        <v>107</v>
      </c>
      <c r="B69" s="2" t="s">
        <v>108</v>
      </c>
      <c r="C69" s="27">
        <f t="shared" si="42"/>
        <v>99700</v>
      </c>
      <c r="D69" s="27"/>
      <c r="E69" s="27">
        <f>E70</f>
        <v>99700</v>
      </c>
      <c r="F69" s="27">
        <f>G69+H69</f>
        <v>0</v>
      </c>
      <c r="G69" s="27"/>
      <c r="H69" s="27">
        <f t="shared" ref="H69" si="46">H70</f>
        <v>0</v>
      </c>
      <c r="I69" s="27">
        <f>J69+K69</f>
        <v>99700</v>
      </c>
      <c r="J69" s="27"/>
      <c r="K69" s="27">
        <f>K70</f>
        <v>99700</v>
      </c>
    </row>
    <row r="70" spans="1:13" s="11" customFormat="1" ht="63.6" customHeight="1" x14ac:dyDescent="0.2">
      <c r="A70" s="6" t="s">
        <v>109</v>
      </c>
      <c r="B70" s="3" t="s">
        <v>110</v>
      </c>
      <c r="C70" s="28">
        <f t="shared" si="42"/>
        <v>99700</v>
      </c>
      <c r="D70" s="28">
        <v>0</v>
      </c>
      <c r="E70" s="28">
        <v>99700</v>
      </c>
      <c r="F70" s="28">
        <f t="shared" si="43"/>
        <v>0</v>
      </c>
      <c r="G70" s="28"/>
      <c r="H70" s="28"/>
      <c r="I70" s="28">
        <f t="shared" ref="I70:I74" si="47">J70+K70</f>
        <v>99700</v>
      </c>
      <c r="J70" s="28">
        <f>D70+G70</f>
        <v>0</v>
      </c>
      <c r="K70" s="28">
        <f>E70+H70</f>
        <v>99700</v>
      </c>
      <c r="L70" s="13"/>
    </row>
    <row r="71" spans="1:13" s="12" customFormat="1" ht="24.75" customHeight="1" x14ac:dyDescent="0.2">
      <c r="A71" s="5">
        <v>50000000</v>
      </c>
      <c r="B71" s="2" t="s">
        <v>9</v>
      </c>
      <c r="C71" s="27">
        <f t="shared" si="42"/>
        <v>3972429.86</v>
      </c>
      <c r="D71" s="27">
        <f>D72</f>
        <v>0</v>
      </c>
      <c r="E71" s="27">
        <f>E72</f>
        <v>3972429.86</v>
      </c>
      <c r="F71" s="27">
        <f t="shared" si="43"/>
        <v>55.97</v>
      </c>
      <c r="G71" s="28">
        <f>G72</f>
        <v>0</v>
      </c>
      <c r="H71" s="27">
        <f>H72</f>
        <v>55.97</v>
      </c>
      <c r="I71" s="27">
        <f t="shared" si="47"/>
        <v>3972485.83</v>
      </c>
      <c r="J71" s="28">
        <f>J72</f>
        <v>0</v>
      </c>
      <c r="K71" s="27">
        <f>K72</f>
        <v>3972485.83</v>
      </c>
    </row>
    <row r="72" spans="1:13" s="13" customFormat="1" ht="47.25" x14ac:dyDescent="0.2">
      <c r="A72" s="6">
        <v>50110000</v>
      </c>
      <c r="B72" s="3" t="s">
        <v>10</v>
      </c>
      <c r="C72" s="28">
        <f t="shared" si="42"/>
        <v>3972429.86</v>
      </c>
      <c r="D72" s="28">
        <v>0</v>
      </c>
      <c r="E72" s="28">
        <f>2338319.48+1634110.38</f>
        <v>3972429.86</v>
      </c>
      <c r="F72" s="28">
        <f t="shared" si="43"/>
        <v>55.97</v>
      </c>
      <c r="G72" s="28"/>
      <c r="H72" s="28">
        <v>55.97</v>
      </c>
      <c r="I72" s="28">
        <f t="shared" si="47"/>
        <v>3972485.83</v>
      </c>
      <c r="J72" s="28">
        <f>D72+G72</f>
        <v>0</v>
      </c>
      <c r="K72" s="28">
        <f>E72+H72</f>
        <v>3972485.83</v>
      </c>
      <c r="L72" s="36"/>
    </row>
    <row r="73" spans="1:13" s="13" customFormat="1" ht="45" customHeight="1" x14ac:dyDescent="0.2">
      <c r="A73" s="22"/>
      <c r="B73" s="22" t="s">
        <v>111</v>
      </c>
      <c r="C73" s="29">
        <f t="shared" si="42"/>
        <v>1091521229.8599999</v>
      </c>
      <c r="D73" s="29">
        <f>D6+D40+D65+D71</f>
        <v>1074438500</v>
      </c>
      <c r="E73" s="29">
        <f>E6+E40+E65+E71</f>
        <v>17082729.859999999</v>
      </c>
      <c r="F73" s="29">
        <f>G73+H73</f>
        <v>-362344.03</v>
      </c>
      <c r="G73" s="29">
        <f>G6+G40+G65+G71</f>
        <v>0</v>
      </c>
      <c r="H73" s="29">
        <f>H6+H40+H65+H71</f>
        <v>-362344.03</v>
      </c>
      <c r="I73" s="29">
        <f t="shared" si="47"/>
        <v>1091158885.8299999</v>
      </c>
      <c r="J73" s="29">
        <f>J6+J40+J65+J71</f>
        <v>1074438500</v>
      </c>
      <c r="K73" s="29">
        <f>K6+K40+K65+K71</f>
        <v>16720385.83</v>
      </c>
      <c r="M73" s="49"/>
    </row>
    <row r="74" spans="1:13" s="40" customFormat="1" ht="27.75" customHeight="1" x14ac:dyDescent="0.25">
      <c r="A74" s="37" t="s">
        <v>112</v>
      </c>
      <c r="B74" s="38" t="s">
        <v>113</v>
      </c>
      <c r="C74" s="39">
        <f t="shared" ref="C74:C75" si="48">D74+E74</f>
        <v>217137221</v>
      </c>
      <c r="D74" s="39">
        <f>D75</f>
        <v>203995221</v>
      </c>
      <c r="E74" s="39">
        <f>E75</f>
        <v>13142000</v>
      </c>
      <c r="F74" s="39">
        <f t="shared" ref="F74" si="49">G74+H74</f>
        <v>-380000</v>
      </c>
      <c r="G74" s="39">
        <f>G75</f>
        <v>-380000</v>
      </c>
      <c r="H74" s="39">
        <f>H75+H92</f>
        <v>0</v>
      </c>
      <c r="I74" s="39">
        <f t="shared" si="47"/>
        <v>216757221</v>
      </c>
      <c r="J74" s="39">
        <f>J75+J92</f>
        <v>203615221</v>
      </c>
      <c r="K74" s="39">
        <f>K75+K92</f>
        <v>13142000</v>
      </c>
      <c r="L74" s="48"/>
    </row>
    <row r="75" spans="1:13" s="13" customFormat="1" ht="27.75" customHeight="1" x14ac:dyDescent="0.2">
      <c r="A75" s="5" t="s">
        <v>114</v>
      </c>
      <c r="B75" s="2" t="s">
        <v>115</v>
      </c>
      <c r="C75" s="27">
        <f t="shared" si="48"/>
        <v>217137221</v>
      </c>
      <c r="D75" s="27">
        <f>D76+D83</f>
        <v>203995221</v>
      </c>
      <c r="E75" s="27">
        <f>E76+E83</f>
        <v>13142000</v>
      </c>
      <c r="F75" s="27">
        <f>G75+H75</f>
        <v>-380000</v>
      </c>
      <c r="G75" s="27">
        <f>G76+G83</f>
        <v>-380000</v>
      </c>
      <c r="H75" s="27">
        <f>H76+H83</f>
        <v>0</v>
      </c>
      <c r="I75" s="27">
        <f t="shared" ref="I75" si="50">J75+K75</f>
        <v>216757221</v>
      </c>
      <c r="J75" s="27">
        <f>J76+J83</f>
        <v>203615221</v>
      </c>
      <c r="K75" s="27">
        <f>K76+K83</f>
        <v>13142000</v>
      </c>
    </row>
    <row r="76" spans="1:13" s="13" customFormat="1" ht="27.75" customHeight="1" x14ac:dyDescent="0.2">
      <c r="A76" s="5" t="s">
        <v>116</v>
      </c>
      <c r="B76" s="2" t="s">
        <v>117</v>
      </c>
      <c r="C76" s="27">
        <f>D76+E76</f>
        <v>196370300</v>
      </c>
      <c r="D76" s="27">
        <f>SUM(D77:D82)</f>
        <v>188714300</v>
      </c>
      <c r="E76" s="27">
        <f>SUM(E77:E82)</f>
        <v>7656000</v>
      </c>
      <c r="F76" s="27">
        <f>G76+H76</f>
        <v>0</v>
      </c>
      <c r="G76" s="27">
        <f>SUM(G77:G82)</f>
        <v>0</v>
      </c>
      <c r="H76" s="27">
        <f>SUM(H77:H82)</f>
        <v>0</v>
      </c>
      <c r="I76" s="27">
        <f>J76+K76</f>
        <v>196370300</v>
      </c>
      <c r="J76" s="27">
        <f>SUM(J77:J82)</f>
        <v>188714300</v>
      </c>
      <c r="K76" s="27">
        <f>SUM(K77:K82)</f>
        <v>7656000</v>
      </c>
    </row>
    <row r="77" spans="1:13" s="13" customFormat="1" ht="48.75" customHeight="1" x14ac:dyDescent="0.2">
      <c r="A77" s="6">
        <v>41031100</v>
      </c>
      <c r="B77" s="3" t="s">
        <v>161</v>
      </c>
      <c r="C77" s="28">
        <f>D77+E77</f>
        <v>12957600</v>
      </c>
      <c r="D77" s="28">
        <v>12957600</v>
      </c>
      <c r="E77" s="28"/>
      <c r="F77" s="28">
        <f t="shared" ref="F77:F81" si="51">G77+H77</f>
        <v>0</v>
      </c>
      <c r="G77" s="28"/>
      <c r="H77" s="28"/>
      <c r="I77" s="28">
        <f>J77+K77</f>
        <v>12957600</v>
      </c>
      <c r="J77" s="28">
        <f>D77+G77</f>
        <v>12957600</v>
      </c>
      <c r="K77" s="28">
        <f>E77+H77</f>
        <v>0</v>
      </c>
    </row>
    <row r="78" spans="1:13" s="13" customFormat="1" ht="31.5" x14ac:dyDescent="0.2">
      <c r="A78" s="6" t="s">
        <v>118</v>
      </c>
      <c r="B78" s="3" t="s">
        <v>119</v>
      </c>
      <c r="C78" s="28">
        <f>D78+E78</f>
        <v>158908900</v>
      </c>
      <c r="D78" s="28">
        <f>103011500+51389300</f>
        <v>154400800</v>
      </c>
      <c r="E78" s="28">
        <f>4508100</f>
        <v>4508100</v>
      </c>
      <c r="F78" s="28">
        <f t="shared" si="51"/>
        <v>0</v>
      </c>
      <c r="G78" s="28"/>
      <c r="H78" s="28"/>
      <c r="I78" s="28">
        <f>J78+K78</f>
        <v>158908900</v>
      </c>
      <c r="J78" s="28">
        <f>D78+G78</f>
        <v>154400800</v>
      </c>
      <c r="K78" s="28">
        <f>E78+H78</f>
        <v>4508100</v>
      </c>
    </row>
    <row r="79" spans="1:13" s="13" customFormat="1" ht="47.25" x14ac:dyDescent="0.2">
      <c r="A79" s="6">
        <v>41035400</v>
      </c>
      <c r="B79" s="3" t="s">
        <v>149</v>
      </c>
      <c r="C79" s="28">
        <f t="shared" ref="C79:C81" si="52">D79+E79</f>
        <v>585400</v>
      </c>
      <c r="D79" s="28">
        <v>330900</v>
      </c>
      <c r="E79" s="28">
        <v>254500</v>
      </c>
      <c r="F79" s="28">
        <f t="shared" si="51"/>
        <v>0</v>
      </c>
      <c r="G79" s="28"/>
      <c r="H79" s="28"/>
      <c r="I79" s="28">
        <f>J79+K79</f>
        <v>585400</v>
      </c>
      <c r="J79" s="28">
        <f t="shared" ref="J79:K82" si="53">D79+G79</f>
        <v>330900</v>
      </c>
      <c r="K79" s="28">
        <f t="shared" si="53"/>
        <v>254500</v>
      </c>
    </row>
    <row r="80" spans="1:13" s="13" customFormat="1" ht="63" x14ac:dyDescent="0.2">
      <c r="A80" s="6">
        <v>41036000</v>
      </c>
      <c r="B80" s="3" t="s">
        <v>150</v>
      </c>
      <c r="C80" s="28">
        <f t="shared" si="52"/>
        <v>3043200</v>
      </c>
      <c r="D80" s="28">
        <v>3043200</v>
      </c>
      <c r="E80" s="28"/>
      <c r="F80" s="28">
        <f t="shared" si="51"/>
        <v>0</v>
      </c>
      <c r="G80" s="28"/>
      <c r="H80" s="28"/>
      <c r="I80" s="28">
        <f t="shared" ref="I80:I82" si="54">J80+K80</f>
        <v>3043200</v>
      </c>
      <c r="J80" s="28">
        <f>D80+G80</f>
        <v>3043200</v>
      </c>
      <c r="K80" s="28">
        <f>E80+H80</f>
        <v>0</v>
      </c>
    </row>
    <row r="81" spans="1:11" s="13" customFormat="1" ht="47.25" x14ac:dyDescent="0.2">
      <c r="A81" s="6">
        <v>41036300</v>
      </c>
      <c r="B81" s="46" t="s">
        <v>151</v>
      </c>
      <c r="C81" s="28">
        <f t="shared" si="52"/>
        <v>17981800</v>
      </c>
      <c r="D81" s="28">
        <v>17981800</v>
      </c>
      <c r="E81" s="28"/>
      <c r="F81" s="28">
        <f t="shared" si="51"/>
        <v>0</v>
      </c>
      <c r="G81" s="28"/>
      <c r="H81" s="28"/>
      <c r="I81" s="28">
        <f t="shared" si="54"/>
        <v>17981800</v>
      </c>
      <c r="J81" s="28">
        <f>D81+G81</f>
        <v>17981800</v>
      </c>
      <c r="K81" s="28">
        <f>E81+H81</f>
        <v>0</v>
      </c>
    </row>
    <row r="82" spans="1:11" s="13" customFormat="1" ht="75" customHeight="1" x14ac:dyDescent="0.2">
      <c r="A82" s="6">
        <v>41037400</v>
      </c>
      <c r="B82" s="46" t="s">
        <v>159</v>
      </c>
      <c r="C82" s="28">
        <f t="shared" ref="C82" si="55">D82+E82</f>
        <v>2893400</v>
      </c>
      <c r="D82" s="28"/>
      <c r="E82" s="28">
        <v>2893400</v>
      </c>
      <c r="F82" s="28">
        <f>G82+H82</f>
        <v>0</v>
      </c>
      <c r="G82" s="28"/>
      <c r="H82" s="28"/>
      <c r="I82" s="28">
        <f t="shared" si="54"/>
        <v>2893400</v>
      </c>
      <c r="J82" s="28">
        <f t="shared" si="53"/>
        <v>0</v>
      </c>
      <c r="K82" s="28">
        <f t="shared" si="53"/>
        <v>2893400</v>
      </c>
    </row>
    <row r="83" spans="1:11" s="13" customFormat="1" ht="34.5" customHeight="1" x14ac:dyDescent="0.2">
      <c r="A83" s="5" t="s">
        <v>120</v>
      </c>
      <c r="B83" s="2" t="s">
        <v>121</v>
      </c>
      <c r="C83" s="27">
        <f>D83+E83</f>
        <v>20766921</v>
      </c>
      <c r="D83" s="27">
        <f>SUM(D84:D91)</f>
        <v>15280921</v>
      </c>
      <c r="E83" s="27">
        <f>SUM(E84:E91)</f>
        <v>5486000</v>
      </c>
      <c r="F83" s="27">
        <f>G83+H83</f>
        <v>-380000</v>
      </c>
      <c r="G83" s="27">
        <f>SUM(G84:G91)</f>
        <v>-380000</v>
      </c>
      <c r="H83" s="27">
        <f>SUM(H85:H91)</f>
        <v>0</v>
      </c>
      <c r="I83" s="27">
        <f>J83+K83</f>
        <v>20386921</v>
      </c>
      <c r="J83" s="27">
        <f>SUM(J84:J91)</f>
        <v>14900921</v>
      </c>
      <c r="K83" s="27">
        <f>SUM(K85:K91)</f>
        <v>5486000</v>
      </c>
    </row>
    <row r="84" spans="1:11" s="13" customFormat="1" ht="311.25" customHeight="1" x14ac:dyDescent="0.2">
      <c r="A84" s="6">
        <v>41050200</v>
      </c>
      <c r="B84" s="3" t="s">
        <v>158</v>
      </c>
      <c r="C84" s="28">
        <f t="shared" ref="C84:C91" si="56">D84+E84</f>
        <v>6648674</v>
      </c>
      <c r="D84" s="28">
        <v>6648674</v>
      </c>
      <c r="E84" s="27"/>
      <c r="F84" s="28">
        <f>G84+H84</f>
        <v>0</v>
      </c>
      <c r="G84" s="28"/>
      <c r="H84" s="27"/>
      <c r="I84" s="28">
        <f>J84+K84</f>
        <v>6648674</v>
      </c>
      <c r="J84" s="28">
        <f>D84+G84</f>
        <v>6648674</v>
      </c>
      <c r="K84" s="28">
        <f t="shared" ref="J84:K93" si="57">E84+H84</f>
        <v>0</v>
      </c>
    </row>
    <row r="85" spans="1:11" s="13" customFormat="1" ht="45.75" customHeight="1" x14ac:dyDescent="0.2">
      <c r="A85" s="8">
        <v>41051000</v>
      </c>
      <c r="B85" s="7" t="s">
        <v>122</v>
      </c>
      <c r="C85" s="28">
        <f t="shared" si="56"/>
        <v>3135836</v>
      </c>
      <c r="D85" s="28">
        <f>1670444+507390+958002</f>
        <v>3135836</v>
      </c>
      <c r="E85" s="28"/>
      <c r="F85" s="28">
        <f t="shared" ref="F85:F91" si="58">G85+H85</f>
        <v>0</v>
      </c>
      <c r="G85" s="28"/>
      <c r="H85" s="28"/>
      <c r="I85" s="28">
        <f t="shared" ref="I85:I91" si="59">J85+K85</f>
        <v>3135836</v>
      </c>
      <c r="J85" s="28">
        <f t="shared" si="57"/>
        <v>3135836</v>
      </c>
      <c r="K85" s="28">
        <f t="shared" si="57"/>
        <v>0</v>
      </c>
    </row>
    <row r="86" spans="1:11" s="13" customFormat="1" ht="21.75" hidden="1" customHeight="1" x14ac:dyDescent="0.2">
      <c r="A86" s="8">
        <v>41051100</v>
      </c>
      <c r="B86" s="7" t="s">
        <v>138</v>
      </c>
      <c r="C86" s="28">
        <f t="shared" si="56"/>
        <v>0</v>
      </c>
      <c r="D86" s="28"/>
      <c r="E86" s="28"/>
      <c r="F86" s="28">
        <f>G86+H86</f>
        <v>0</v>
      </c>
      <c r="G86" s="28"/>
      <c r="H86" s="28"/>
      <c r="I86" s="28">
        <f t="shared" ref="I86:I87" si="60">J86+K86</f>
        <v>0</v>
      </c>
      <c r="J86" s="28">
        <f t="shared" si="57"/>
        <v>0</v>
      </c>
      <c r="K86" s="28">
        <f t="shared" si="57"/>
        <v>0</v>
      </c>
    </row>
    <row r="87" spans="1:11" s="13" customFormat="1" ht="39.75" customHeight="1" x14ac:dyDescent="0.2">
      <c r="A87" s="6">
        <v>41053400</v>
      </c>
      <c r="B87" s="3" t="s">
        <v>139</v>
      </c>
      <c r="C87" s="28">
        <f t="shared" si="56"/>
        <v>486000</v>
      </c>
      <c r="D87" s="28"/>
      <c r="E87" s="28">
        <v>486000</v>
      </c>
      <c r="F87" s="28">
        <f>G87+H87</f>
        <v>0</v>
      </c>
      <c r="G87" s="28"/>
      <c r="H87" s="28"/>
      <c r="I87" s="28">
        <f t="shared" si="60"/>
        <v>486000</v>
      </c>
      <c r="J87" s="28"/>
      <c r="K87" s="28">
        <f>E87+H87</f>
        <v>486000</v>
      </c>
    </row>
    <row r="88" spans="1:11" s="13" customFormat="1" ht="39" customHeight="1" x14ac:dyDescent="0.2">
      <c r="A88" s="6" t="s">
        <v>123</v>
      </c>
      <c r="B88" s="3" t="s">
        <v>124</v>
      </c>
      <c r="C88" s="28">
        <f t="shared" si="56"/>
        <v>9779237</v>
      </c>
      <c r="D88" s="28">
        <f>4393839+385398</f>
        <v>4779237</v>
      </c>
      <c r="E88" s="28">
        <v>5000000</v>
      </c>
      <c r="F88" s="28">
        <f t="shared" si="58"/>
        <v>-380000</v>
      </c>
      <c r="G88" s="28">
        <v>-380000</v>
      </c>
      <c r="H88" s="28"/>
      <c r="I88" s="28">
        <f t="shared" si="59"/>
        <v>9399237</v>
      </c>
      <c r="J88" s="28">
        <f>D88+G88</f>
        <v>4399237</v>
      </c>
      <c r="K88" s="28">
        <f t="shared" si="57"/>
        <v>5000000</v>
      </c>
    </row>
    <row r="89" spans="1:11" s="13" customFormat="1" ht="66.75" customHeight="1" x14ac:dyDescent="0.2">
      <c r="A89" s="6">
        <v>41057700</v>
      </c>
      <c r="B89" s="46" t="s">
        <v>156</v>
      </c>
      <c r="C89" s="28">
        <f t="shared" si="56"/>
        <v>79056</v>
      </c>
      <c r="D89" s="28">
        <v>79056</v>
      </c>
      <c r="E89" s="28"/>
      <c r="F89" s="28">
        <f>G89+H89</f>
        <v>0</v>
      </c>
      <c r="G89" s="28"/>
      <c r="H89" s="28"/>
      <c r="I89" s="28">
        <f t="shared" si="59"/>
        <v>79056</v>
      </c>
      <c r="J89" s="28">
        <f>D89+G89</f>
        <v>79056</v>
      </c>
      <c r="K89" s="28"/>
    </row>
    <row r="90" spans="1:11" s="13" customFormat="1" ht="113.25" customHeight="1" x14ac:dyDescent="0.2">
      <c r="A90" s="6">
        <v>41057900</v>
      </c>
      <c r="B90" s="46" t="s">
        <v>157</v>
      </c>
      <c r="C90" s="28">
        <f t="shared" si="56"/>
        <v>0</v>
      </c>
      <c r="D90" s="28">
        <f>50000-50000</f>
        <v>0</v>
      </c>
      <c r="E90" s="28"/>
      <c r="F90" s="28">
        <f>G90+H90</f>
        <v>0</v>
      </c>
      <c r="G90" s="28"/>
      <c r="H90" s="28"/>
      <c r="I90" s="28">
        <f t="shared" si="59"/>
        <v>0</v>
      </c>
      <c r="J90" s="28">
        <f>D90+G90</f>
        <v>0</v>
      </c>
      <c r="K90" s="28"/>
    </row>
    <row r="91" spans="1:11" s="26" customFormat="1" ht="94.5" x14ac:dyDescent="0.2">
      <c r="A91" s="24">
        <v>41059300</v>
      </c>
      <c r="B91" s="25" t="s">
        <v>155</v>
      </c>
      <c r="C91" s="30">
        <f t="shared" si="56"/>
        <v>638118</v>
      </c>
      <c r="D91" s="30">
        <f>604618+33500</f>
        <v>638118</v>
      </c>
      <c r="E91" s="30"/>
      <c r="F91" s="28">
        <f t="shared" si="58"/>
        <v>0</v>
      </c>
      <c r="G91" s="28"/>
      <c r="H91" s="30"/>
      <c r="I91" s="30">
        <f t="shared" si="59"/>
        <v>638118</v>
      </c>
      <c r="J91" s="28">
        <f t="shared" ref="J91:J93" si="61">D91+G91</f>
        <v>638118</v>
      </c>
      <c r="K91" s="28">
        <f t="shared" si="57"/>
        <v>0</v>
      </c>
    </row>
    <row r="92" spans="1:11" s="26" customFormat="1" ht="33" hidden="1" customHeight="1" x14ac:dyDescent="0.2">
      <c r="A92" s="43" t="s">
        <v>140</v>
      </c>
      <c r="B92" s="44" t="s">
        <v>141</v>
      </c>
      <c r="C92" s="27">
        <f>D92+E92</f>
        <v>0</v>
      </c>
      <c r="D92" s="30"/>
      <c r="E92" s="30"/>
      <c r="F92" s="27">
        <f>G92+H92</f>
        <v>0</v>
      </c>
      <c r="G92" s="31">
        <f>G93</f>
        <v>0</v>
      </c>
      <c r="H92" s="31">
        <f>H93</f>
        <v>0</v>
      </c>
      <c r="I92" s="31">
        <f>J92+K92</f>
        <v>0</v>
      </c>
      <c r="J92" s="28">
        <f t="shared" si="61"/>
        <v>0</v>
      </c>
      <c r="K92" s="27">
        <f>E92+H92</f>
        <v>0</v>
      </c>
    </row>
    <row r="93" spans="1:11" s="26" customFormat="1" ht="51.75" hidden="1" customHeight="1" x14ac:dyDescent="0.2">
      <c r="A93" s="45" t="s">
        <v>142</v>
      </c>
      <c r="B93" s="46" t="s">
        <v>143</v>
      </c>
      <c r="C93" s="30"/>
      <c r="D93" s="30"/>
      <c r="E93" s="30"/>
      <c r="F93" s="30"/>
      <c r="G93" s="30"/>
      <c r="H93" s="28"/>
      <c r="I93" s="30"/>
      <c r="J93" s="28">
        <f t="shared" si="61"/>
        <v>0</v>
      </c>
      <c r="K93" s="28">
        <f t="shared" si="57"/>
        <v>0</v>
      </c>
    </row>
    <row r="94" spans="1:11" s="12" customFormat="1" ht="24.6" customHeight="1" x14ac:dyDescent="0.2">
      <c r="A94" s="52"/>
      <c r="B94" s="22" t="s">
        <v>125</v>
      </c>
      <c r="C94" s="53">
        <f>C73+C74</f>
        <v>1308658450.8599999</v>
      </c>
      <c r="D94" s="53">
        <f>D73+D74</f>
        <v>1278433721</v>
      </c>
      <c r="E94" s="53">
        <f>E73+E74</f>
        <v>30224729.859999999</v>
      </c>
      <c r="F94" s="53">
        <f>F73+F74</f>
        <v>-742344.03</v>
      </c>
      <c r="G94" s="53">
        <f>G73+G74</f>
        <v>-380000</v>
      </c>
      <c r="H94" s="53">
        <f t="shared" ref="H94" si="62">H73+H74</f>
        <v>-362344.03</v>
      </c>
      <c r="I94" s="53">
        <f>I73+I74</f>
        <v>1307916106.8299999</v>
      </c>
      <c r="J94" s="53">
        <f>J73+J74</f>
        <v>1278053721</v>
      </c>
      <c r="K94" s="53">
        <f>K73+K74</f>
        <v>29862385.829999998</v>
      </c>
    </row>
    <row r="95" spans="1:11" x14ac:dyDescent="0.2">
      <c r="A95" s="14"/>
      <c r="B95" s="15"/>
    </row>
    <row r="96" spans="1:11" x14ac:dyDescent="0.2">
      <c r="I96" s="35">
        <f>I94-C94</f>
        <v>-742344.02999997139</v>
      </c>
      <c r="J96" s="35">
        <f>J94-D94</f>
        <v>-380000</v>
      </c>
      <c r="K96" s="34"/>
    </row>
    <row r="97" spans="2:11" ht="28.5" customHeight="1" x14ac:dyDescent="0.3">
      <c r="B97" s="61" t="s">
        <v>136</v>
      </c>
      <c r="C97" s="61"/>
      <c r="D97" s="23"/>
      <c r="E97" s="23"/>
      <c r="F97" s="23"/>
      <c r="G97" s="54" t="s">
        <v>137</v>
      </c>
      <c r="H97" s="54"/>
      <c r="I97" s="16"/>
      <c r="J97" s="16"/>
      <c r="K97" s="16"/>
    </row>
    <row r="98" spans="2:11" ht="18.75" x14ac:dyDescent="0.2">
      <c r="B98" s="16"/>
      <c r="C98" s="16"/>
      <c r="D98" s="16"/>
      <c r="E98" s="16"/>
      <c r="F98" s="17"/>
      <c r="G98" s="17"/>
      <c r="H98" s="17"/>
      <c r="I98" s="16"/>
      <c r="J98" s="16"/>
      <c r="K98" s="16"/>
    </row>
    <row r="99" spans="2:11" ht="18.75" x14ac:dyDescent="0.2">
      <c r="B99" s="16"/>
      <c r="C99" s="16"/>
      <c r="D99" s="16"/>
      <c r="E99" s="41"/>
      <c r="F99" s="1"/>
      <c r="G99" s="1"/>
      <c r="H99" s="1"/>
      <c r="I99" s="16"/>
      <c r="J99" s="16"/>
      <c r="K99" s="16"/>
    </row>
    <row r="100" spans="2:11" ht="18.75" x14ac:dyDescent="0.2">
      <c r="B100" s="16"/>
      <c r="C100" s="16"/>
      <c r="D100" s="16"/>
      <c r="E100" s="16"/>
      <c r="F100" s="18"/>
      <c r="G100" s="18"/>
      <c r="H100" s="18"/>
      <c r="I100" s="16"/>
      <c r="J100" s="16"/>
      <c r="K100" s="16"/>
    </row>
  </sheetData>
  <mergeCells count="8">
    <mergeCell ref="G97:H97"/>
    <mergeCell ref="A1:K1"/>
    <mergeCell ref="A3:A4"/>
    <mergeCell ref="B3:B4"/>
    <mergeCell ref="C3:E3"/>
    <mergeCell ref="F3:H3"/>
    <mergeCell ref="I3:K3"/>
    <mergeCell ref="B97:C97"/>
  </mergeCells>
  <printOptions horizontalCentered="1"/>
  <pageMargins left="0.11811023622047245" right="0.11811023622047245" top="0.59055118110236227" bottom="7.874015748031496E-2" header="0" footer="0"/>
  <pageSetup paperSize="9" scale="63" fitToHeight="5" orientation="landscape" r:id="rId1"/>
  <headerFooter differentFirst="1" alignWithMargins="0">
    <oddHeader>&amp;C&amp;P</oddHeader>
  </headerFooter>
  <rowBreaks count="1" manualBreakCount="1">
    <brk id="8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Пользователь</cp:lastModifiedBy>
  <cp:lastPrinted>2025-11-24T08:00:12Z</cp:lastPrinted>
  <dcterms:created xsi:type="dcterms:W3CDTF">2021-05-27T07:05:27Z</dcterms:created>
  <dcterms:modified xsi:type="dcterms:W3CDTF">2025-12-02T21:48:53Z</dcterms:modified>
</cp:coreProperties>
</file>