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\\192.168.20.170\org\Оксана документы\1 ДОКУМЕНТИ\8 созыв\67 сесія буде\11 Зміни бюджет\"/>
    </mc:Choice>
  </mc:AlternateContent>
  <xr:revisionPtr revIDLastSave="0" documentId="13_ncr:1_{8E8B6FC0-5DD8-426B-A689-021CD461F10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5" sheetId="2" r:id="rId1"/>
  </sheets>
  <definedNames>
    <definedName name="_xlnm.Print_Titles" localSheetId="0">'2025'!$12:$16</definedName>
    <definedName name="_xlnm.Print_Area" localSheetId="0">'2025'!$A$1:$P$228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0" i="2" l="1"/>
  <c r="F75" i="2" l="1"/>
  <c r="L61" i="2" l="1"/>
  <c r="O61" i="2"/>
  <c r="I155" i="2" l="1"/>
  <c r="F155" i="2"/>
  <c r="I224" i="2"/>
  <c r="L224" i="2"/>
  <c r="M224" i="2"/>
  <c r="N224" i="2"/>
  <c r="O162" i="2"/>
  <c r="O67" i="2"/>
  <c r="K67" i="2"/>
  <c r="F201" i="2" l="1"/>
  <c r="E198" i="2"/>
  <c r="F181" i="2"/>
  <c r="O180" i="2"/>
  <c r="K180" i="2"/>
  <c r="F174" i="2" l="1"/>
  <c r="L147" i="2"/>
  <c r="M147" i="2"/>
  <c r="N147" i="2"/>
  <c r="E170" i="2"/>
  <c r="P170" i="2" s="1"/>
  <c r="F164" i="2" l="1"/>
  <c r="I163" i="2"/>
  <c r="E163" i="2" s="1"/>
  <c r="O159" i="2"/>
  <c r="K159" i="2"/>
  <c r="F159" i="2"/>
  <c r="E159" i="2" s="1"/>
  <c r="O156" i="2"/>
  <c r="J156" i="2" s="1"/>
  <c r="K156" i="2"/>
  <c r="O155" i="2"/>
  <c r="J155" i="2" s="1"/>
  <c r="K155" i="2"/>
  <c r="O153" i="2"/>
  <c r="K153" i="2"/>
  <c r="I153" i="2"/>
  <c r="E153" i="2" s="1"/>
  <c r="O151" i="2"/>
  <c r="K151" i="2"/>
  <c r="G137" i="2"/>
  <c r="G131" i="2"/>
  <c r="F131" i="2"/>
  <c r="G126" i="2"/>
  <c r="F126" i="2"/>
  <c r="F123" i="2"/>
  <c r="E123" i="2" s="1"/>
  <c r="F120" i="2"/>
  <c r="E120" i="2" s="1"/>
  <c r="F113" i="2"/>
  <c r="E113" i="2" s="1"/>
  <c r="F112" i="2"/>
  <c r="E112" i="2" s="1"/>
  <c r="F108" i="2"/>
  <c r="E108" i="2" s="1"/>
  <c r="F106" i="2"/>
  <c r="F104" i="2"/>
  <c r="E104" i="2" s="1"/>
  <c r="G102" i="2"/>
  <c r="F102" i="2"/>
  <c r="F98" i="2"/>
  <c r="E98" i="2" s="1"/>
  <c r="O93" i="2"/>
  <c r="J93" i="2" s="1"/>
  <c r="K93" i="2"/>
  <c r="F93" i="2"/>
  <c r="E93" i="2" s="1"/>
  <c r="F92" i="2"/>
  <c r="H91" i="2"/>
  <c r="H221" i="2" s="1"/>
  <c r="G91" i="2"/>
  <c r="O91" i="2"/>
  <c r="K91" i="2"/>
  <c r="F91" i="2"/>
  <c r="F90" i="2"/>
  <c r="E90" i="2" s="1"/>
  <c r="O83" i="2"/>
  <c r="J83" i="2" s="1"/>
  <c r="K83" i="2"/>
  <c r="H78" i="2"/>
  <c r="G78" i="2"/>
  <c r="F78" i="2"/>
  <c r="H76" i="2"/>
  <c r="G76" i="2"/>
  <c r="F76" i="2"/>
  <c r="E76" i="2" s="1"/>
  <c r="H75" i="2"/>
  <c r="G75" i="2"/>
  <c r="O75" i="2"/>
  <c r="K75" i="2"/>
  <c r="F74" i="2"/>
  <c r="E74" i="2" s="1"/>
  <c r="H73" i="2"/>
  <c r="G73" i="2"/>
  <c r="F73" i="2"/>
  <c r="G72" i="2"/>
  <c r="F72" i="2"/>
  <c r="G70" i="2"/>
  <c r="F70" i="2"/>
  <c r="H67" i="2"/>
  <c r="G67" i="2"/>
  <c r="J67" i="2"/>
  <c r="F67" i="2"/>
  <c r="E67" i="2" s="1"/>
  <c r="H66" i="2"/>
  <c r="G66" i="2"/>
  <c r="O66" i="2"/>
  <c r="J66" i="2" s="1"/>
  <c r="K66" i="2"/>
  <c r="F66" i="2"/>
  <c r="E66" i="2" s="1"/>
  <c r="H65" i="2"/>
  <c r="G65" i="2"/>
  <c r="O65" i="2"/>
  <c r="K65" i="2"/>
  <c r="F65" i="2"/>
  <c r="H64" i="2"/>
  <c r="G64" i="2"/>
  <c r="F64" i="2"/>
  <c r="E64" i="2" s="1"/>
  <c r="F58" i="2"/>
  <c r="E58" i="2" s="1"/>
  <c r="G57" i="2"/>
  <c r="G224" i="2" s="1"/>
  <c r="F57" i="2"/>
  <c r="F56" i="2"/>
  <c r="E56" i="2" s="1"/>
  <c r="P56" i="2" s="1"/>
  <c r="F49" i="2"/>
  <c r="F43" i="2"/>
  <c r="E43" i="2" s="1"/>
  <c r="F30" i="2"/>
  <c r="F31" i="2"/>
  <c r="E31" i="2" s="1"/>
  <c r="P31" i="2" s="1"/>
  <c r="F28" i="2"/>
  <c r="E28" i="2" s="1"/>
  <c r="H21" i="2"/>
  <c r="G20" i="2"/>
  <c r="F20" i="2"/>
  <c r="E20" i="2" s="1"/>
  <c r="N221" i="2"/>
  <c r="M221" i="2"/>
  <c r="L221" i="2"/>
  <c r="I221" i="2"/>
  <c r="N220" i="2"/>
  <c r="I220" i="2"/>
  <c r="O219" i="2"/>
  <c r="N219" i="2"/>
  <c r="M219" i="2"/>
  <c r="L219" i="2"/>
  <c r="K219" i="2"/>
  <c r="I219" i="2"/>
  <c r="N218" i="2"/>
  <c r="M218" i="2"/>
  <c r="L218" i="2"/>
  <c r="I218" i="2"/>
  <c r="H218" i="2"/>
  <c r="G218" i="2"/>
  <c r="N217" i="2"/>
  <c r="I217" i="2"/>
  <c r="J213" i="2"/>
  <c r="E213" i="2"/>
  <c r="J212" i="2"/>
  <c r="E212" i="2"/>
  <c r="P212" i="2" s="1"/>
  <c r="J211" i="2"/>
  <c r="E211" i="2"/>
  <c r="J210" i="2"/>
  <c r="E210" i="2"/>
  <c r="O209" i="2"/>
  <c r="J209" i="2" s="1"/>
  <c r="K209" i="2"/>
  <c r="F209" i="2"/>
  <c r="E209" i="2" s="1"/>
  <c r="O208" i="2"/>
  <c r="K208" i="2"/>
  <c r="F208" i="2"/>
  <c r="E208" i="2" s="1"/>
  <c r="N207" i="2"/>
  <c r="M207" i="2"/>
  <c r="L207" i="2"/>
  <c r="I207" i="2"/>
  <c r="H207" i="2"/>
  <c r="G207" i="2"/>
  <c r="J206" i="2"/>
  <c r="E206" i="2"/>
  <c r="J205" i="2"/>
  <c r="E205" i="2"/>
  <c r="J204" i="2"/>
  <c r="F204" i="2"/>
  <c r="E204" i="2" s="1"/>
  <c r="P204" i="2" s="1"/>
  <c r="J203" i="2"/>
  <c r="F203" i="2"/>
  <c r="E203" i="2" s="1"/>
  <c r="J202" i="2"/>
  <c r="E202" i="2"/>
  <c r="J201" i="2"/>
  <c r="E201" i="2"/>
  <c r="O200" i="2"/>
  <c r="N200" i="2"/>
  <c r="M200" i="2"/>
  <c r="L200" i="2"/>
  <c r="L195" i="2" s="1"/>
  <c r="L194" i="2" s="1"/>
  <c r="I200" i="2"/>
  <c r="H200" i="2"/>
  <c r="G200" i="2"/>
  <c r="J199" i="2"/>
  <c r="E199" i="2"/>
  <c r="J198" i="2"/>
  <c r="J197" i="2"/>
  <c r="F197" i="2"/>
  <c r="E197" i="2" s="1"/>
  <c r="J196" i="2"/>
  <c r="G196" i="2"/>
  <c r="F196" i="2"/>
  <c r="E196" i="2" s="1"/>
  <c r="J193" i="2"/>
  <c r="E193" i="2"/>
  <c r="J192" i="2"/>
  <c r="I192" i="2"/>
  <c r="E192" i="2" s="1"/>
  <c r="J191" i="2"/>
  <c r="F191" i="2"/>
  <c r="E191" i="2" s="1"/>
  <c r="J190" i="2"/>
  <c r="F190" i="2"/>
  <c r="E190" i="2" s="1"/>
  <c r="J189" i="2"/>
  <c r="E189" i="2"/>
  <c r="J188" i="2"/>
  <c r="E188" i="2"/>
  <c r="J187" i="2"/>
  <c r="F187" i="2"/>
  <c r="E187" i="2" s="1"/>
  <c r="J186" i="2"/>
  <c r="G186" i="2"/>
  <c r="G185" i="2" s="1"/>
  <c r="G184" i="2" s="1"/>
  <c r="F186" i="2"/>
  <c r="O185" i="2"/>
  <c r="O184" i="2" s="1"/>
  <c r="N185" i="2"/>
  <c r="N184" i="2" s="1"/>
  <c r="M185" i="2"/>
  <c r="M184" i="2" s="1"/>
  <c r="L185" i="2"/>
  <c r="L184" i="2" s="1"/>
  <c r="K185" i="2"/>
  <c r="K184" i="2" s="1"/>
  <c r="H185" i="2"/>
  <c r="H184" i="2" s="1"/>
  <c r="O183" i="2"/>
  <c r="J183" i="2" s="1"/>
  <c r="K183" i="2"/>
  <c r="E183" i="2"/>
  <c r="P183" i="2" s="1"/>
  <c r="O182" i="2"/>
  <c r="J182" i="2" s="1"/>
  <c r="E182" i="2"/>
  <c r="J181" i="2"/>
  <c r="E181" i="2"/>
  <c r="J180" i="2"/>
  <c r="E180" i="2"/>
  <c r="J179" i="2"/>
  <c r="E179" i="2"/>
  <c r="O178" i="2"/>
  <c r="J178" i="2" s="1"/>
  <c r="K178" i="2"/>
  <c r="E178" i="2"/>
  <c r="O177" i="2"/>
  <c r="J177" i="2" s="1"/>
  <c r="K177" i="2"/>
  <c r="E177" i="2"/>
  <c r="O176" i="2"/>
  <c r="J176" i="2" s="1"/>
  <c r="K176" i="2"/>
  <c r="E176" i="2"/>
  <c r="O175" i="2"/>
  <c r="J175" i="2" s="1"/>
  <c r="K175" i="2"/>
  <c r="E175" i="2"/>
  <c r="J174" i="2"/>
  <c r="G174" i="2"/>
  <c r="G172" i="2" s="1"/>
  <c r="G171" i="2" s="1"/>
  <c r="E174" i="2"/>
  <c r="O173" i="2"/>
  <c r="J173" i="2" s="1"/>
  <c r="K173" i="2"/>
  <c r="E173" i="2"/>
  <c r="N172" i="2"/>
  <c r="N171" i="2" s="1"/>
  <c r="M172" i="2"/>
  <c r="M171" i="2" s="1"/>
  <c r="L172" i="2"/>
  <c r="L171" i="2" s="1"/>
  <c r="I172" i="2"/>
  <c r="I171" i="2" s="1"/>
  <c r="H172" i="2"/>
  <c r="H171" i="2" s="1"/>
  <c r="E169" i="2"/>
  <c r="P169" i="2" s="1"/>
  <c r="J168" i="2"/>
  <c r="E168" i="2"/>
  <c r="J167" i="2"/>
  <c r="E167" i="2"/>
  <c r="J166" i="2"/>
  <c r="E166" i="2"/>
  <c r="O165" i="2"/>
  <c r="J165" i="2" s="1"/>
  <c r="K165" i="2"/>
  <c r="E165" i="2"/>
  <c r="O164" i="2"/>
  <c r="J164" i="2" s="1"/>
  <c r="K164" i="2"/>
  <c r="E164" i="2"/>
  <c r="J163" i="2"/>
  <c r="J162" i="2"/>
  <c r="E162" i="2"/>
  <c r="O161" i="2"/>
  <c r="J161" i="2" s="1"/>
  <c r="K161" i="2"/>
  <c r="E161" i="2"/>
  <c r="O160" i="2"/>
  <c r="J160" i="2" s="1"/>
  <c r="K160" i="2"/>
  <c r="E160" i="2"/>
  <c r="J159" i="2"/>
  <c r="J158" i="2"/>
  <c r="E158" i="2"/>
  <c r="J157" i="2"/>
  <c r="I157" i="2"/>
  <c r="E157" i="2" s="1"/>
  <c r="E156" i="2"/>
  <c r="E155" i="2"/>
  <c r="J154" i="2"/>
  <c r="I154" i="2"/>
  <c r="E154" i="2" s="1"/>
  <c r="J153" i="2"/>
  <c r="J152" i="2"/>
  <c r="I152" i="2"/>
  <c r="E152" i="2" s="1"/>
  <c r="I151" i="2"/>
  <c r="J150" i="2"/>
  <c r="F150" i="2"/>
  <c r="J149" i="2"/>
  <c r="E149" i="2"/>
  <c r="J148" i="2"/>
  <c r="H148" i="2"/>
  <c r="G148" i="2"/>
  <c r="E148" i="2"/>
  <c r="N146" i="2"/>
  <c r="M146" i="2"/>
  <c r="L146" i="2"/>
  <c r="J145" i="2"/>
  <c r="E145" i="2"/>
  <c r="J144" i="2"/>
  <c r="F144" i="2"/>
  <c r="E144" i="2" s="1"/>
  <c r="E143" i="2"/>
  <c r="P143" i="2" s="1"/>
  <c r="J142" i="2"/>
  <c r="F142" i="2"/>
  <c r="E142" i="2" s="1"/>
  <c r="F141" i="2"/>
  <c r="E141" i="2" s="1"/>
  <c r="P141" i="2" s="1"/>
  <c r="J140" i="2"/>
  <c r="F140" i="2"/>
  <c r="E140" i="2" s="1"/>
  <c r="J139" i="2"/>
  <c r="F139" i="2"/>
  <c r="E139" i="2" s="1"/>
  <c r="J138" i="2"/>
  <c r="H138" i="2"/>
  <c r="H136" i="2" s="1"/>
  <c r="H135" i="2" s="1"/>
  <c r="G138" i="2"/>
  <c r="F138" i="2"/>
  <c r="J137" i="2"/>
  <c r="F137" i="2"/>
  <c r="E137" i="2" s="1"/>
  <c r="O136" i="2"/>
  <c r="O135" i="2" s="1"/>
  <c r="N136" i="2"/>
  <c r="N135" i="2" s="1"/>
  <c r="M136" i="2"/>
  <c r="M135" i="2" s="1"/>
  <c r="L136" i="2"/>
  <c r="L135" i="2" s="1"/>
  <c r="K136" i="2"/>
  <c r="K135" i="2" s="1"/>
  <c r="I136" i="2"/>
  <c r="I135" i="2" s="1"/>
  <c r="J134" i="2"/>
  <c r="F134" i="2"/>
  <c r="E134" i="2" s="1"/>
  <c r="J133" i="2"/>
  <c r="F133" i="2"/>
  <c r="E133" i="2" s="1"/>
  <c r="J132" i="2"/>
  <c r="H132" i="2"/>
  <c r="G132" i="2"/>
  <c r="F132" i="2"/>
  <c r="E132" i="2" s="1"/>
  <c r="O131" i="2"/>
  <c r="O220" i="2" s="1"/>
  <c r="M131" i="2"/>
  <c r="M220" i="2" s="1"/>
  <c r="K131" i="2"/>
  <c r="K220" i="2" s="1"/>
  <c r="H131" i="2"/>
  <c r="E131" i="2"/>
  <c r="J130" i="2"/>
  <c r="H130" i="2"/>
  <c r="G130" i="2"/>
  <c r="F130" i="2"/>
  <c r="E130" i="2" s="1"/>
  <c r="L129" i="2"/>
  <c r="L220" i="2" s="1"/>
  <c r="H129" i="2"/>
  <c r="G129" i="2"/>
  <c r="F129" i="2"/>
  <c r="E129" i="2" s="1"/>
  <c r="J128" i="2"/>
  <c r="E128" i="2"/>
  <c r="M127" i="2"/>
  <c r="M217" i="2" s="1"/>
  <c r="J127" i="2"/>
  <c r="H127" i="2"/>
  <c r="G127" i="2"/>
  <c r="F127" i="2"/>
  <c r="J126" i="2"/>
  <c r="E126" i="2"/>
  <c r="N125" i="2"/>
  <c r="N124" i="2" s="1"/>
  <c r="I125" i="2"/>
  <c r="I124" i="2" s="1"/>
  <c r="J123" i="2"/>
  <c r="J122" i="2"/>
  <c r="E122" i="2"/>
  <c r="E121" i="2"/>
  <c r="P121" i="2" s="1"/>
  <c r="J120" i="2"/>
  <c r="G120" i="2"/>
  <c r="G119" i="2" s="1"/>
  <c r="G118" i="2" s="1"/>
  <c r="O119" i="2"/>
  <c r="O118" i="2" s="1"/>
  <c r="N119" i="2"/>
  <c r="N118" i="2" s="1"/>
  <c r="M119" i="2"/>
  <c r="M118" i="2" s="1"/>
  <c r="L119" i="2"/>
  <c r="K119" i="2"/>
  <c r="K118" i="2" s="1"/>
  <c r="I119" i="2"/>
  <c r="I118" i="2" s="1"/>
  <c r="H119" i="2"/>
  <c r="H118" i="2" s="1"/>
  <c r="E117" i="2"/>
  <c r="P117" i="2" s="1"/>
  <c r="F116" i="2"/>
  <c r="F114" i="2" s="1"/>
  <c r="E114" i="2" s="1"/>
  <c r="E115" i="2"/>
  <c r="P115" i="2" s="1"/>
  <c r="J114" i="2"/>
  <c r="J113" i="2"/>
  <c r="J112" i="2"/>
  <c r="J111" i="2"/>
  <c r="E111" i="2"/>
  <c r="J110" i="2"/>
  <c r="G110" i="2"/>
  <c r="F110" i="2"/>
  <c r="E110" i="2" s="1"/>
  <c r="J109" i="2"/>
  <c r="E109" i="2"/>
  <c r="J108" i="2"/>
  <c r="J107" i="2"/>
  <c r="E107" i="2"/>
  <c r="J106" i="2"/>
  <c r="E106" i="2"/>
  <c r="J105" i="2"/>
  <c r="F105" i="2"/>
  <c r="E105" i="2" s="1"/>
  <c r="J104" i="2"/>
  <c r="J103" i="2"/>
  <c r="H103" i="2"/>
  <c r="G103" i="2"/>
  <c r="F103" i="2"/>
  <c r="E103" i="2" s="1"/>
  <c r="J102" i="2"/>
  <c r="H102" i="2"/>
  <c r="E102" i="2"/>
  <c r="J101" i="2"/>
  <c r="F101" i="2"/>
  <c r="E101" i="2" s="1"/>
  <c r="J100" i="2"/>
  <c r="E100" i="2"/>
  <c r="P100" i="2" s="1"/>
  <c r="J99" i="2"/>
  <c r="E99" i="2"/>
  <c r="J98" i="2"/>
  <c r="J97" i="2"/>
  <c r="F97" i="2"/>
  <c r="J96" i="2"/>
  <c r="H96" i="2"/>
  <c r="G96" i="2"/>
  <c r="E96" i="2"/>
  <c r="O95" i="2"/>
  <c r="O94" i="2" s="1"/>
  <c r="N95" i="2"/>
  <c r="N94" i="2" s="1"/>
  <c r="M95" i="2"/>
  <c r="M94" i="2" s="1"/>
  <c r="L95" i="2"/>
  <c r="K95" i="2"/>
  <c r="K94" i="2" s="1"/>
  <c r="I95" i="2"/>
  <c r="I94" i="2" s="1"/>
  <c r="J92" i="2"/>
  <c r="E92" i="2"/>
  <c r="O221" i="2"/>
  <c r="K221" i="2"/>
  <c r="J91" i="2"/>
  <c r="G221" i="2"/>
  <c r="J90" i="2"/>
  <c r="J89" i="2"/>
  <c r="F89" i="2"/>
  <c r="E89" i="2" s="1"/>
  <c r="J88" i="2"/>
  <c r="P88" i="2" s="1"/>
  <c r="L87" i="2"/>
  <c r="J87" i="2" s="1"/>
  <c r="E87" i="2"/>
  <c r="J86" i="2"/>
  <c r="G86" i="2"/>
  <c r="F86" i="2"/>
  <c r="E86" i="2"/>
  <c r="J85" i="2"/>
  <c r="E85" i="2"/>
  <c r="J84" i="2"/>
  <c r="E84" i="2"/>
  <c r="E83" i="2"/>
  <c r="J82" i="2"/>
  <c r="E82" i="2"/>
  <c r="J81" i="2"/>
  <c r="E81" i="2"/>
  <c r="J80" i="2"/>
  <c r="E80" i="2"/>
  <c r="O79" i="2"/>
  <c r="J79" i="2" s="1"/>
  <c r="K79" i="2"/>
  <c r="E79" i="2"/>
  <c r="J78" i="2"/>
  <c r="E78" i="2"/>
  <c r="G77" i="2"/>
  <c r="F77" i="2"/>
  <c r="E77" i="2" s="1"/>
  <c r="P77" i="2" s="1"/>
  <c r="J76" i="2"/>
  <c r="J75" i="2"/>
  <c r="E75" i="2"/>
  <c r="J74" i="2"/>
  <c r="O73" i="2"/>
  <c r="J73" i="2" s="1"/>
  <c r="K73" i="2"/>
  <c r="E73" i="2"/>
  <c r="J72" i="2"/>
  <c r="E72" i="2"/>
  <c r="G71" i="2"/>
  <c r="F71" i="2"/>
  <c r="E71" i="2" s="1"/>
  <c r="P71" i="2" s="1"/>
  <c r="E70" i="2"/>
  <c r="P70" i="2" s="1"/>
  <c r="J68" i="2"/>
  <c r="J64" i="2"/>
  <c r="N63" i="2"/>
  <c r="N62" i="2" s="1"/>
  <c r="M63" i="2"/>
  <c r="M62" i="2" s="1"/>
  <c r="I63" i="2"/>
  <c r="I62" i="2" s="1"/>
  <c r="E61" i="2"/>
  <c r="O60" i="2"/>
  <c r="J60" i="2" s="1"/>
  <c r="K60" i="2"/>
  <c r="F60" i="2"/>
  <c r="E60" i="2" s="1"/>
  <c r="O59" i="2"/>
  <c r="J59" i="2" s="1"/>
  <c r="K59" i="2"/>
  <c r="F59" i="2"/>
  <c r="E59" i="2" s="1"/>
  <c r="J58" i="2"/>
  <c r="J57" i="2"/>
  <c r="H57" i="2"/>
  <c r="H224" i="2" s="1"/>
  <c r="E57" i="2"/>
  <c r="P57" i="2" s="1"/>
  <c r="F55" i="2"/>
  <c r="E55" i="2" s="1"/>
  <c r="P55" i="2" s="1"/>
  <c r="F54" i="2"/>
  <c r="O52" i="2"/>
  <c r="J52" i="2" s="1"/>
  <c r="E52" i="2"/>
  <c r="J51" i="2"/>
  <c r="F51" i="2"/>
  <c r="E51" i="2" s="1"/>
  <c r="O50" i="2"/>
  <c r="J50" i="2" s="1"/>
  <c r="K50" i="2"/>
  <c r="E50" i="2"/>
  <c r="J49" i="2"/>
  <c r="E49" i="2"/>
  <c r="J48" i="2"/>
  <c r="P48" i="2" s="1"/>
  <c r="J47" i="2"/>
  <c r="I47" i="2"/>
  <c r="E47" i="2" s="1"/>
  <c r="J46" i="2"/>
  <c r="E46" i="2"/>
  <c r="E45" i="2"/>
  <c r="P45" i="2" s="1"/>
  <c r="J44" i="2"/>
  <c r="E44" i="2"/>
  <c r="O43" i="2"/>
  <c r="O42" i="2" s="1"/>
  <c r="K43" i="2"/>
  <c r="K42" i="2" s="1"/>
  <c r="N42" i="2"/>
  <c r="N223" i="2" s="1"/>
  <c r="M42" i="2"/>
  <c r="M223" i="2" s="1"/>
  <c r="L42" i="2"/>
  <c r="L223" i="2" s="1"/>
  <c r="H42" i="2"/>
  <c r="H223" i="2" s="1"/>
  <c r="G42" i="2"/>
  <c r="G223" i="2" s="1"/>
  <c r="O41" i="2"/>
  <c r="J41" i="2" s="1"/>
  <c r="K41" i="2"/>
  <c r="E41" i="2"/>
  <c r="O40" i="2"/>
  <c r="K40" i="2"/>
  <c r="E40" i="2"/>
  <c r="J39" i="2"/>
  <c r="E39" i="2"/>
  <c r="J38" i="2"/>
  <c r="F38" i="2"/>
  <c r="E38" i="2" s="1"/>
  <c r="J37" i="2"/>
  <c r="F37" i="2"/>
  <c r="E37" i="2" s="1"/>
  <c r="J36" i="2"/>
  <c r="F36" i="2"/>
  <c r="E36" i="2" s="1"/>
  <c r="O35" i="2"/>
  <c r="N35" i="2"/>
  <c r="N222" i="2" s="1"/>
  <c r="M35" i="2"/>
  <c r="M222" i="2" s="1"/>
  <c r="L35" i="2"/>
  <c r="L222" i="2" s="1"/>
  <c r="K35" i="2"/>
  <c r="I35" i="2"/>
  <c r="H35" i="2"/>
  <c r="H222" i="2" s="1"/>
  <c r="G35" i="2"/>
  <c r="G222" i="2" s="1"/>
  <c r="J34" i="2"/>
  <c r="F34" i="2"/>
  <c r="E34" i="2" s="1"/>
  <c r="J33" i="2"/>
  <c r="E33" i="2"/>
  <c r="F32" i="2"/>
  <c r="E32" i="2" s="1"/>
  <c r="P32" i="2" s="1"/>
  <c r="E30" i="2"/>
  <c r="P30" i="2" s="1"/>
  <c r="J29" i="2"/>
  <c r="O28" i="2"/>
  <c r="J28" i="2" s="1"/>
  <c r="K28" i="2"/>
  <c r="O27" i="2"/>
  <c r="J27" i="2" s="1"/>
  <c r="K27" i="2"/>
  <c r="F27" i="2"/>
  <c r="O26" i="2"/>
  <c r="J26" i="2" s="1"/>
  <c r="K26" i="2"/>
  <c r="F26" i="2"/>
  <c r="E26" i="2" s="1"/>
  <c r="J25" i="2"/>
  <c r="F25" i="2"/>
  <c r="E25" i="2" s="1"/>
  <c r="J24" i="2"/>
  <c r="E24" i="2"/>
  <c r="J23" i="2"/>
  <c r="H23" i="2"/>
  <c r="G23" i="2"/>
  <c r="F23" i="2"/>
  <c r="E23" i="2" s="1"/>
  <c r="J22" i="2"/>
  <c r="H22" i="2"/>
  <c r="G22" i="2"/>
  <c r="F22" i="2"/>
  <c r="E22" i="2" s="1"/>
  <c r="J21" i="2"/>
  <c r="G21" i="2"/>
  <c r="F21" i="2"/>
  <c r="E21" i="2" s="1"/>
  <c r="O20" i="2"/>
  <c r="O19" i="2" s="1"/>
  <c r="K20" i="2"/>
  <c r="K19" i="2" s="1"/>
  <c r="H20" i="2"/>
  <c r="N19" i="2"/>
  <c r="N216" i="2" s="1"/>
  <c r="M19" i="2"/>
  <c r="M216" i="2" s="1"/>
  <c r="L19" i="2"/>
  <c r="L216" i="2" s="1"/>
  <c r="I19" i="2"/>
  <c r="I216" i="2" s="1"/>
  <c r="P80" i="2" l="1"/>
  <c r="P82" i="2"/>
  <c r="P199" i="2"/>
  <c r="M225" i="2"/>
  <c r="P84" i="2"/>
  <c r="J119" i="2"/>
  <c r="P181" i="2"/>
  <c r="G219" i="2"/>
  <c r="I185" i="2"/>
  <c r="I184" i="2" s="1"/>
  <c r="M125" i="2"/>
  <c r="M124" i="2" s="1"/>
  <c r="J20" i="2"/>
  <c r="F136" i="2"/>
  <c r="E136" i="2" s="1"/>
  <c r="P114" i="2"/>
  <c r="L118" i="2"/>
  <c r="J118" i="2" s="1"/>
  <c r="H63" i="2"/>
  <c r="H62" i="2" s="1"/>
  <c r="O147" i="2"/>
  <c r="M18" i="2"/>
  <c r="M17" i="2" s="1"/>
  <c r="P39" i="2"/>
  <c r="F119" i="2"/>
  <c r="E119" i="2" s="1"/>
  <c r="E151" i="2"/>
  <c r="I147" i="2"/>
  <c r="P166" i="2"/>
  <c r="J185" i="2"/>
  <c r="P205" i="2"/>
  <c r="G19" i="2"/>
  <c r="K147" i="2"/>
  <c r="K146" i="2" s="1"/>
  <c r="P105" i="2"/>
  <c r="G147" i="2"/>
  <c r="G146" i="2" s="1"/>
  <c r="J151" i="2"/>
  <c r="P160" i="2"/>
  <c r="P174" i="2"/>
  <c r="P187" i="2"/>
  <c r="P191" i="2"/>
  <c r="K223" i="2"/>
  <c r="K224" i="2"/>
  <c r="P96" i="2"/>
  <c r="G125" i="2"/>
  <c r="G124" i="2" s="1"/>
  <c r="H147" i="2"/>
  <c r="H146" i="2" s="1"/>
  <c r="P152" i="2"/>
  <c r="I225" i="2"/>
  <c r="P168" i="2"/>
  <c r="E150" i="2"/>
  <c r="P150" i="2" s="1"/>
  <c r="F147" i="2"/>
  <c r="F146" i="2" s="1"/>
  <c r="O223" i="2"/>
  <c r="O224" i="2"/>
  <c r="P197" i="2"/>
  <c r="L225" i="2"/>
  <c r="P203" i="2"/>
  <c r="F207" i="2"/>
  <c r="E207" i="2" s="1"/>
  <c r="K207" i="2"/>
  <c r="K225" i="2" s="1"/>
  <c r="P201" i="2"/>
  <c r="P133" i="2"/>
  <c r="P98" i="2"/>
  <c r="P189" i="2"/>
  <c r="P25" i="2"/>
  <c r="P76" i="2"/>
  <c r="P44" i="2"/>
  <c r="P149" i="2"/>
  <c r="P192" i="2"/>
  <c r="P165" i="2"/>
  <c r="P103" i="2"/>
  <c r="P109" i="2"/>
  <c r="G136" i="2"/>
  <c r="G135" i="2" s="1"/>
  <c r="P164" i="2"/>
  <c r="P173" i="2"/>
  <c r="P64" i="2"/>
  <c r="F221" i="2"/>
  <c r="P113" i="2"/>
  <c r="N18" i="2"/>
  <c r="N17" i="2" s="1"/>
  <c r="P23" i="2"/>
  <c r="P87" i="2"/>
  <c r="J221" i="2"/>
  <c r="P110" i="2"/>
  <c r="P176" i="2"/>
  <c r="P21" i="2"/>
  <c r="P36" i="2"/>
  <c r="P49" i="2"/>
  <c r="P85" i="2"/>
  <c r="P120" i="2"/>
  <c r="P213" i="2"/>
  <c r="P74" i="2"/>
  <c r="P89" i="2"/>
  <c r="P101" i="2"/>
  <c r="P130" i="2"/>
  <c r="P139" i="2"/>
  <c r="P144" i="2"/>
  <c r="P158" i="2"/>
  <c r="P179" i="2"/>
  <c r="P86" i="2"/>
  <c r="P132" i="2"/>
  <c r="P59" i="2"/>
  <c r="I222" i="2"/>
  <c r="P37" i="2"/>
  <c r="P22" i="2"/>
  <c r="P46" i="2"/>
  <c r="P102" i="2"/>
  <c r="P111" i="2"/>
  <c r="P128" i="2"/>
  <c r="P137" i="2"/>
  <c r="P202" i="2"/>
  <c r="H19" i="2"/>
  <c r="H216" i="2" s="1"/>
  <c r="P33" i="2"/>
  <c r="P126" i="2"/>
  <c r="P190" i="2"/>
  <c r="P211" i="2"/>
  <c r="O216" i="2"/>
  <c r="J19" i="2"/>
  <c r="J216" i="2" s="1"/>
  <c r="P73" i="2"/>
  <c r="P52" i="2"/>
  <c r="P83" i="2"/>
  <c r="P106" i="2"/>
  <c r="E138" i="2"/>
  <c r="E219" i="2" s="1"/>
  <c r="L217" i="2"/>
  <c r="P50" i="2"/>
  <c r="J135" i="2"/>
  <c r="P177" i="2"/>
  <c r="P209" i="2"/>
  <c r="K218" i="2"/>
  <c r="O218" i="2"/>
  <c r="M226" i="2"/>
  <c r="P38" i="2"/>
  <c r="P41" i="2"/>
  <c r="F53" i="2"/>
  <c r="P72" i="2"/>
  <c r="P78" i="2"/>
  <c r="P92" i="2"/>
  <c r="G95" i="2"/>
  <c r="G94" i="2" s="1"/>
  <c r="P99" i="2"/>
  <c r="P107" i="2"/>
  <c r="H220" i="2"/>
  <c r="P159" i="2"/>
  <c r="P182" i="2"/>
  <c r="J184" i="2"/>
  <c r="P193" i="2"/>
  <c r="F29" i="2"/>
  <c r="E29" i="2" s="1"/>
  <c r="P29" i="2" s="1"/>
  <c r="J219" i="2"/>
  <c r="P47" i="2"/>
  <c r="P58" i="2"/>
  <c r="P75" i="2"/>
  <c r="P81" i="2"/>
  <c r="E91" i="2"/>
  <c r="E221" i="2" s="1"/>
  <c r="P104" i="2"/>
  <c r="P122" i="2"/>
  <c r="K125" i="2"/>
  <c r="K124" i="2" s="1"/>
  <c r="H125" i="2"/>
  <c r="H124" i="2" s="1"/>
  <c r="P145" i="2"/>
  <c r="P153" i="2"/>
  <c r="P161" i="2"/>
  <c r="P167" i="2"/>
  <c r="P175" i="2"/>
  <c r="P188" i="2"/>
  <c r="P24" i="2"/>
  <c r="L18" i="2"/>
  <c r="L17" i="2" s="1"/>
  <c r="P108" i="2"/>
  <c r="E116" i="2"/>
  <c r="P116" i="2" s="1"/>
  <c r="J131" i="2"/>
  <c r="P131" i="2" s="1"/>
  <c r="P20" i="2"/>
  <c r="F35" i="2"/>
  <c r="E35" i="2" s="1"/>
  <c r="P51" i="2"/>
  <c r="P142" i="2"/>
  <c r="P148" i="2"/>
  <c r="P162" i="2"/>
  <c r="K172" i="2"/>
  <c r="K171" i="2" s="1"/>
  <c r="P198" i="2"/>
  <c r="P206" i="2"/>
  <c r="P210" i="2"/>
  <c r="P163" i="2"/>
  <c r="P112" i="2"/>
  <c r="O125" i="2"/>
  <c r="O124" i="2" s="1"/>
  <c r="P134" i="2"/>
  <c r="O222" i="2"/>
  <c r="P155" i="2"/>
  <c r="P123" i="2"/>
  <c r="P93" i="2"/>
  <c r="P67" i="2"/>
  <c r="P66" i="2"/>
  <c r="P34" i="2"/>
  <c r="E220" i="2"/>
  <c r="J218" i="2"/>
  <c r="F118" i="2"/>
  <c r="E118" i="2" s="1"/>
  <c r="I42" i="2"/>
  <c r="I223" i="2" s="1"/>
  <c r="G68" i="2"/>
  <c r="G63" i="2" s="1"/>
  <c r="G62" i="2" s="1"/>
  <c r="N225" i="2"/>
  <c r="N226" i="2" s="1"/>
  <c r="N195" i="2"/>
  <c r="N194" i="2" s="1"/>
  <c r="K216" i="2"/>
  <c r="K18" i="2"/>
  <c r="K17" i="2" s="1"/>
  <c r="E27" i="2"/>
  <c r="P27" i="2" s="1"/>
  <c r="J35" i="2"/>
  <c r="J42" i="2"/>
  <c r="J61" i="2"/>
  <c r="L63" i="2"/>
  <c r="P79" i="2"/>
  <c r="H95" i="2"/>
  <c r="H94" i="2" s="1"/>
  <c r="L125" i="2"/>
  <c r="P154" i="2"/>
  <c r="P156" i="2"/>
  <c r="P178" i="2"/>
  <c r="I195" i="2"/>
  <c r="I194" i="2" s="1"/>
  <c r="F200" i="2"/>
  <c r="J200" i="2"/>
  <c r="P28" i="2"/>
  <c r="P180" i="2"/>
  <c r="K222" i="2"/>
  <c r="E65" i="2"/>
  <c r="E127" i="2"/>
  <c r="P127" i="2" s="1"/>
  <c r="F125" i="2"/>
  <c r="G225" i="2"/>
  <c r="G195" i="2"/>
  <c r="G194" i="2" s="1"/>
  <c r="F220" i="2"/>
  <c r="F19" i="2"/>
  <c r="G216" i="2"/>
  <c r="G18" i="2"/>
  <c r="G17" i="2" s="1"/>
  <c r="P60" i="2"/>
  <c r="J95" i="2"/>
  <c r="L94" i="2"/>
  <c r="J94" i="2" s="1"/>
  <c r="F219" i="2"/>
  <c r="J40" i="2"/>
  <c r="H217" i="2"/>
  <c r="E97" i="2"/>
  <c r="P97" i="2" s="1"/>
  <c r="F95" i="2"/>
  <c r="P196" i="2"/>
  <c r="J208" i="2"/>
  <c r="P208" i="2" s="1"/>
  <c r="O207" i="2"/>
  <c r="J207" i="2" s="1"/>
  <c r="P26" i="2"/>
  <c r="F68" i="2"/>
  <c r="E68" i="2" s="1"/>
  <c r="P68" i="2" s="1"/>
  <c r="G220" i="2"/>
  <c r="J136" i="2"/>
  <c r="H225" i="2"/>
  <c r="H195" i="2"/>
  <c r="H194" i="2" s="1"/>
  <c r="F42" i="2"/>
  <c r="F223" i="2" s="1"/>
  <c r="K63" i="2"/>
  <c r="K62" i="2" s="1"/>
  <c r="K217" i="2"/>
  <c r="P90" i="2"/>
  <c r="H219" i="2"/>
  <c r="P157" i="2"/>
  <c r="O172" i="2"/>
  <c r="F185" i="2"/>
  <c r="E186" i="2"/>
  <c r="P186" i="2" s="1"/>
  <c r="E54" i="2"/>
  <c r="P54" i="2" s="1"/>
  <c r="O217" i="2"/>
  <c r="J65" i="2"/>
  <c r="J217" i="2" s="1"/>
  <c r="O63" i="2"/>
  <c r="O62" i="2" s="1"/>
  <c r="J129" i="2"/>
  <c r="P140" i="2"/>
  <c r="O18" i="2"/>
  <c r="O17" i="2" s="1"/>
  <c r="J43" i="2"/>
  <c r="P43" i="2" s="1"/>
  <c r="F172" i="2"/>
  <c r="M195" i="2"/>
  <c r="M194" i="2" s="1"/>
  <c r="M214" i="2" s="1"/>
  <c r="P138" i="2" l="1"/>
  <c r="P221" i="2"/>
  <c r="P119" i="2"/>
  <c r="P118" i="2"/>
  <c r="P151" i="2"/>
  <c r="K195" i="2"/>
  <c r="K194" i="2" s="1"/>
  <c r="J222" i="2"/>
  <c r="E147" i="2"/>
  <c r="J223" i="2"/>
  <c r="F222" i="2"/>
  <c r="F135" i="2"/>
  <c r="E135" i="2" s="1"/>
  <c r="P135" i="2" s="1"/>
  <c r="P207" i="2"/>
  <c r="J225" i="2"/>
  <c r="O225" i="2"/>
  <c r="O226" i="2" s="1"/>
  <c r="H18" i="2"/>
  <c r="H17" i="2" s="1"/>
  <c r="H214" i="2" s="1"/>
  <c r="L226" i="2"/>
  <c r="F63" i="2"/>
  <c r="F62" i="2" s="1"/>
  <c r="E62" i="2" s="1"/>
  <c r="I146" i="2"/>
  <c r="E146" i="2" s="1"/>
  <c r="N214" i="2"/>
  <c r="E53" i="2"/>
  <c r="F224" i="2"/>
  <c r="P61" i="2"/>
  <c r="J224" i="2"/>
  <c r="P136" i="2"/>
  <c r="P91" i="2"/>
  <c r="F218" i="2"/>
  <c r="P219" i="2"/>
  <c r="J220" i="2"/>
  <c r="P220" i="2" s="1"/>
  <c r="E218" i="2"/>
  <c r="P218" i="2" s="1"/>
  <c r="O195" i="2"/>
  <c r="O194" i="2" s="1"/>
  <c r="J194" i="2" s="1"/>
  <c r="H226" i="2"/>
  <c r="E185" i="2"/>
  <c r="P185" i="2" s="1"/>
  <c r="F184" i="2"/>
  <c r="E184" i="2" s="1"/>
  <c r="P184" i="2" s="1"/>
  <c r="O171" i="2"/>
  <c r="J171" i="2" s="1"/>
  <c r="J172" i="2"/>
  <c r="E19" i="2"/>
  <c r="F18" i="2"/>
  <c r="F216" i="2"/>
  <c r="E200" i="2"/>
  <c r="F225" i="2"/>
  <c r="K214" i="2"/>
  <c r="J18" i="2"/>
  <c r="E42" i="2"/>
  <c r="E223" i="2" s="1"/>
  <c r="E217" i="2"/>
  <c r="P217" i="2" s="1"/>
  <c r="P65" i="2"/>
  <c r="F171" i="2"/>
  <c r="E171" i="2" s="1"/>
  <c r="E172" i="2"/>
  <c r="F94" i="2"/>
  <c r="E94" i="2" s="1"/>
  <c r="P94" i="2" s="1"/>
  <c r="E95" i="2"/>
  <c r="P95" i="2" s="1"/>
  <c r="I18" i="2"/>
  <c r="I17" i="2" s="1"/>
  <c r="I226" i="2"/>
  <c r="J17" i="2"/>
  <c r="L62" i="2"/>
  <c r="J62" i="2" s="1"/>
  <c r="J63" i="2"/>
  <c r="J147" i="2"/>
  <c r="O146" i="2"/>
  <c r="J146" i="2" s="1"/>
  <c r="P129" i="2"/>
  <c r="J125" i="2"/>
  <c r="L124" i="2"/>
  <c r="J124" i="2" s="1"/>
  <c r="F217" i="2"/>
  <c r="G217" i="2"/>
  <c r="G226" i="2" s="1"/>
  <c r="K226" i="2"/>
  <c r="P35" i="2"/>
  <c r="E222" i="2"/>
  <c r="F195" i="2"/>
  <c r="P40" i="2"/>
  <c r="G214" i="2"/>
  <c r="F124" i="2"/>
  <c r="E124" i="2" s="1"/>
  <c r="E125" i="2"/>
  <c r="P222" i="2" l="1"/>
  <c r="I214" i="2"/>
  <c r="J226" i="2"/>
  <c r="E63" i="2"/>
  <c r="P63" i="2" s="1"/>
  <c r="E224" i="2"/>
  <c r="P53" i="2"/>
  <c r="P224" i="2"/>
  <c r="P124" i="2"/>
  <c r="J195" i="2"/>
  <c r="L214" i="2"/>
  <c r="P146" i="2"/>
  <c r="P147" i="2"/>
  <c r="E195" i="2"/>
  <c r="F194" i="2"/>
  <c r="P125" i="2"/>
  <c r="O214" i="2"/>
  <c r="F226" i="2"/>
  <c r="P171" i="2"/>
  <c r="P42" i="2"/>
  <c r="P223" i="2"/>
  <c r="E18" i="2"/>
  <c r="P18" i="2" s="1"/>
  <c r="F17" i="2"/>
  <c r="P172" i="2"/>
  <c r="P200" i="2"/>
  <c r="E225" i="2"/>
  <c r="P225" i="2" s="1"/>
  <c r="P62" i="2"/>
  <c r="P19" i="2"/>
  <c r="E216" i="2"/>
  <c r="J214" i="2" l="1"/>
  <c r="F214" i="2"/>
  <c r="E17" i="2"/>
  <c r="P216" i="2"/>
  <c r="E226" i="2"/>
  <c r="P195" i="2"/>
  <c r="E194" i="2"/>
  <c r="P194" i="2" s="1"/>
  <c r="P226" i="2" l="1"/>
  <c r="E214" i="2"/>
  <c r="P17" i="2"/>
  <c r="P214" i="2" l="1"/>
</calcChain>
</file>

<file path=xl/sharedStrings.xml><?xml version="1.0" encoding="utf-8"?>
<sst xmlns="http://schemas.openxmlformats.org/spreadsheetml/2006/main" count="690" uniqueCount="439">
  <si>
    <t>РОЗПОДІЛ</t>
  </si>
  <si>
    <t>1558900000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</si>
  <si>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</si>
  <si>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</si>
  <si>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</si>
  <si>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</si>
  <si>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</si>
  <si>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</si>
  <si>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</si>
  <si>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</si>
  <si>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</si>
  <si>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</si>
  <si>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</si>
  <si>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</si>
  <si>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</si>
  <si>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</si>
  <si>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</si>
  <si>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</si>
  <si>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</si>
  <si>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/>
  </si>
  <si>
    <t>Виконавчий комiтет Чорноморської мiської ради Одеського району Одеської областi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</si>
  <si>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</si>
  <si>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</si>
  <si>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</si>
  <si>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</si>
  <si>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</si>
  <si>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0210170</t>
  </si>
  <si>
    <t>0170</t>
  </si>
  <si>
    <t>0131</t>
  </si>
  <si>
    <t>Підвищення кваліфікації депутатів місцевих рад та посадових осіб місцевого самоврядування</t>
  </si>
  <si>
    <t>0210180</t>
  </si>
  <si>
    <t>0180</t>
  </si>
  <si>
    <t>0133</t>
  </si>
  <si>
    <t>Інша діяльність у сфері державного управління</t>
  </si>
  <si>
    <t>0212010</t>
  </si>
  <si>
    <t>2010</t>
  </si>
  <si>
    <t>0731</t>
  </si>
  <si>
    <t>Багатопрофільна стаціонарна медична допомога населенню</t>
  </si>
  <si>
    <t>0212100</t>
  </si>
  <si>
    <t>2100</t>
  </si>
  <si>
    <t>0722</t>
  </si>
  <si>
    <t>Стоматологічна допомога населенню</t>
  </si>
  <si>
    <t>0212111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</si>
  <si>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</si>
  <si>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</si>
  <si>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</si>
  <si>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0212152</t>
  </si>
  <si>
    <t>2152</t>
  </si>
  <si>
    <t>0763</t>
  </si>
  <si>
    <t>Інші програми та заходи у сфері охорони здоров`я</t>
  </si>
  <si>
    <t>0213242</t>
  </si>
  <si>
    <t>3242</t>
  </si>
  <si>
    <t>1090</t>
  </si>
  <si>
    <t>Інші заходи у сфері соціального захисту і соціального забезпечення</t>
  </si>
  <si>
    <t>0216030</t>
  </si>
  <si>
    <t>6030</t>
  </si>
  <si>
    <t>0620</t>
  </si>
  <si>
    <t>Організація благоустрою населених пунктів</t>
  </si>
  <si>
    <t>0217680</t>
  </si>
  <si>
    <t>7680</t>
  </si>
  <si>
    <t>0490</t>
  </si>
  <si>
    <t>Членські внески до асоціацій органів місцевого самоврядування</t>
  </si>
  <si>
    <t>0218210</t>
  </si>
  <si>
    <t>8210</t>
  </si>
  <si>
    <t>0380</t>
  </si>
  <si>
    <t>Муніципальні формування з охорони громадського порядку</t>
  </si>
  <si>
    <t>0218220</t>
  </si>
  <si>
    <t>8220</t>
  </si>
  <si>
    <t>Заходи та роботи з мобілізаційної підготовки місцевого значення</t>
  </si>
  <si>
    <t>0218230</t>
  </si>
  <si>
    <t>8230</t>
  </si>
  <si>
    <t>Інші заходи громадського порядку та безпеки</t>
  </si>
  <si>
    <t>0600000</t>
  </si>
  <si>
    <t>Управління освіти Чорноморської мiської ради Одеського району Одеської областi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</si>
  <si>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</si>
  <si>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</si>
  <si>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</si>
  <si>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</si>
  <si>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</si>
  <si>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</si>
  <si>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</si>
  <si>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</si>
  <si>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</si>
  <si>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</si>
  <si>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</si>
  <si>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</si>
  <si>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0611022</t>
  </si>
  <si>
    <t>1022</t>
  </si>
  <si>
    <t>0922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</si>
  <si>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</si>
  <si>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</si>
  <si>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</si>
  <si>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</si>
  <si>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0611032</t>
  </si>
  <si>
    <t>1032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</si>
  <si>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освітньої субвенції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</si>
  <si>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</si>
  <si>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</si>
  <si>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</si>
  <si>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</si>
  <si>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0611120</t>
  </si>
  <si>
    <t>1120</t>
  </si>
  <si>
    <t>0950</t>
  </si>
  <si>
    <t>Підвищення кваліфікації, перепідготовка кадрів закладами післядипломної освіти</t>
  </si>
  <si>
    <t>0611141</t>
  </si>
  <si>
    <t>1141</t>
  </si>
  <si>
    <t>0990</t>
  </si>
  <si>
    <t>Забезпечення діяльності інших закладів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</si>
  <si>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</si>
  <si>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</si>
  <si>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</si>
  <si>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0611160</t>
  </si>
  <si>
    <t>1160</t>
  </si>
  <si>
    <t>Забезпечення діяльності центрів професійного розвитку педагогічних працівників</t>
  </si>
  <si>
    <t>0613140</t>
  </si>
  <si>
    <t>3140</t>
  </si>
  <si>
    <t>1040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</si>
  <si>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</si>
  <si>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0613242</t>
  </si>
  <si>
    <t>0615031</t>
  </si>
  <si>
    <t>5031</t>
  </si>
  <si>
    <t>0810</t>
  </si>
  <si>
    <t>0800000</t>
  </si>
  <si>
    <t>Управлiння соцiальної полiтики Чорноморської мiської ради Одеського району Одеської областi</t>
  </si>
  <si>
    <t>0810000</t>
  </si>
  <si>
    <t>0810160</t>
  </si>
  <si>
    <t>0810180</t>
  </si>
  <si>
    <t>0813031</t>
  </si>
  <si>
    <t>3031</t>
  </si>
  <si>
    <t>1030</t>
  </si>
  <si>
    <t>Надання інших пільг окремим категоріям громадян відповідно до законодавства</t>
  </si>
  <si>
    <t>0813032</t>
  </si>
  <si>
    <t>3032</t>
  </si>
  <si>
    <t>Надання пільг окремим категоріям громадян з оплати послуг зв`язку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</si>
  <si>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</si>
  <si>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</si>
  <si>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</si>
  <si>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0813090</t>
  </si>
  <si>
    <t>3090</t>
  </si>
  <si>
    <t>Видатки на поховання учасників бойових дій та осіб з інвалідністю внаслідок війни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</si>
  <si>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</si>
  <si>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</si>
  <si>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</si>
  <si>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</si>
  <si>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0813121</t>
  </si>
  <si>
    <t>3121</t>
  </si>
  <si>
    <t>0813123</t>
  </si>
  <si>
    <t>3123</t>
  </si>
  <si>
    <t>Заходи державної політики з питань сім`ї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</si>
  <si>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</si>
  <si>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</si>
  <si>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</si>
  <si>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0813171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</si>
  <si>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</si>
  <si>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</si>
  <si>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0813180</t>
  </si>
  <si>
    <t>3180</t>
  </si>
  <si>
    <t>1060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</si>
  <si>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</si>
  <si>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0813192</t>
  </si>
  <si>
    <t>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</si>
  <si>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</si>
  <si>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0813230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</si>
  <si>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</si>
  <si>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</si>
  <si>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0813242</t>
  </si>
  <si>
    <t>0900000</t>
  </si>
  <si>
    <t>Служба у справах дітей Чорноморської міської ради Одеського району Одеської області</t>
  </si>
  <si>
    <t>0910000</t>
  </si>
  <si>
    <t>0910160</t>
  </si>
  <si>
    <t>0913112</t>
  </si>
  <si>
    <t>3112</t>
  </si>
  <si>
    <t>Заходи державної політики з питань дітей та їх соціального захисту</t>
  </si>
  <si>
    <t>1000000</t>
  </si>
  <si>
    <t>Вiддiл культури Чорноморської мiської ради Одеського району Одеської областi</t>
  </si>
  <si>
    <t>1010000</t>
  </si>
  <si>
    <t>1010160</t>
  </si>
  <si>
    <t>1011080</t>
  </si>
  <si>
    <t>1080</t>
  </si>
  <si>
    <t>Надання спеціалізованої освіти мистецькими школами</t>
  </si>
  <si>
    <t>1013140</t>
  </si>
  <si>
    <t>1014030</t>
  </si>
  <si>
    <t>4030</t>
  </si>
  <si>
    <t>0824</t>
  </si>
  <si>
    <t>Забезпечення діяльності бібліотек</t>
  </si>
  <si>
    <t>1014040</t>
  </si>
  <si>
    <t>4040</t>
  </si>
  <si>
    <t>Забезпечення діяльності музеїв i виставок</t>
  </si>
  <si>
    <t>1014060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</si>
  <si>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</si>
  <si>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</si>
  <si>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</si>
  <si>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1014081</t>
  </si>
  <si>
    <t>4081</t>
  </si>
  <si>
    <t>0829</t>
  </si>
  <si>
    <t>Забезпечення діяльності інших закладів в галузі культури і мистецтва</t>
  </si>
  <si>
    <t>1014082</t>
  </si>
  <si>
    <t>4082</t>
  </si>
  <si>
    <t>Інші заходи в галузі культури і мистецтва</t>
  </si>
  <si>
    <t>1100000</t>
  </si>
  <si>
    <t>Вiддiл  молодi та спорту Чорноморської мiської ради Одеського району Одеської областi</t>
  </si>
  <si>
    <t>1110000</t>
  </si>
  <si>
    <t>1110160</t>
  </si>
  <si>
    <t>1113133</t>
  </si>
  <si>
    <t>3133</t>
  </si>
  <si>
    <t>1115011</t>
  </si>
  <si>
    <t>5011</t>
  </si>
  <si>
    <t>Проведення навчально-тренувальних зборів і змагань з олімпійських видів спорту</t>
  </si>
  <si>
    <t>1115012</t>
  </si>
  <si>
    <t>5012</t>
  </si>
  <si>
    <t>Проведення навчально-тренувальних зборів і змагань з неолімпійських видів спорту</t>
  </si>
  <si>
    <t>1115061</t>
  </si>
  <si>
    <t>5061</t>
  </si>
  <si>
    <t>1200000</t>
  </si>
  <si>
    <t>Вiддiл комунального господарства та благоустрою Чорноморської мiської ради Одеського району Одеської областi</t>
  </si>
  <si>
    <t>1210000</t>
  </si>
  <si>
    <t>1210160</t>
  </si>
  <si>
    <t>1210170</t>
  </si>
  <si>
    <t>1213210</t>
  </si>
  <si>
    <t>3210</t>
  </si>
  <si>
    <t>1050</t>
  </si>
  <si>
    <t>Організація та проведення громадських робіт</t>
  </si>
  <si>
    <t>1216015</t>
  </si>
  <si>
    <t>6015</t>
  </si>
  <si>
    <t>Забезпечення надійної та безперебійної експлуатації ліфтів</t>
  </si>
  <si>
    <t>1216017</t>
  </si>
  <si>
    <t>6017</t>
  </si>
  <si>
    <t>Інша діяльність, пов`язана з експлуатацією об`єктів житлово-комунального господарства</t>
  </si>
  <si>
    <t>1216030</t>
  </si>
  <si>
    <t>1217461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</si>
  <si>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</si>
  <si>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</si>
  <si>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</si>
  <si>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1217693</t>
  </si>
  <si>
    <t>7693</t>
  </si>
  <si>
    <t>Інші заходи, пов`язані з економічною діяльністю</t>
  </si>
  <si>
    <t>1218110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</si>
  <si>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</si>
  <si>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</si>
  <si>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</si>
  <si>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1500000</t>
  </si>
  <si>
    <t>Управлiння капiтального будiвництва Чорноморської мiської ради Одеського району Одеської областi</t>
  </si>
  <si>
    <t>1510000</t>
  </si>
  <si>
    <t>1510160</t>
  </si>
  <si>
    <t>3100000</t>
  </si>
  <si>
    <t>Управлiння комунальної власностi та земельних вiдносин Чорноморської мiської ради Одеського району Одеської областi</t>
  </si>
  <si>
    <t>3110000</t>
  </si>
  <si>
    <t>3110160</t>
  </si>
  <si>
    <t>3110180</t>
  </si>
  <si>
    <t>3116017</t>
  </si>
  <si>
    <t>3117130</t>
  </si>
  <si>
    <t>7130</t>
  </si>
  <si>
    <t>0421</t>
  </si>
  <si>
    <t>Здійснення заходів із землеустрою</t>
  </si>
  <si>
    <t>7350</t>
  </si>
  <si>
    <t>0443</t>
  </si>
  <si>
    <t>Розроблення схем планування та забудови територій (містобудівної документації)</t>
  </si>
  <si>
    <t>3117693</t>
  </si>
  <si>
    <t>3118240</t>
  </si>
  <si>
    <t>8240</t>
  </si>
  <si>
    <t>Заходи та роботи з територіальної оборони</t>
  </si>
  <si>
    <t>3700000</t>
  </si>
  <si>
    <t>Фiнансове управлiння Чорноморської мiської ради Одеського району Одеської областi</t>
  </si>
  <si>
    <t>3710000</t>
  </si>
  <si>
    <t>3710160</t>
  </si>
  <si>
    <t>3718710</t>
  </si>
  <si>
    <t>8710</t>
  </si>
  <si>
    <t>Резервний фонд місцевого бюджету</t>
  </si>
  <si>
    <t>3719770</t>
  </si>
  <si>
    <t>9770</t>
  </si>
  <si>
    <t>Інші субвенції з місцевого бюджету</t>
  </si>
  <si>
    <t>УСЬОГО</t>
  </si>
  <si>
    <t>X</t>
  </si>
  <si>
    <t>0540</t>
  </si>
  <si>
    <t>Природоохоронні заходи за рахунок цільових фондів</t>
  </si>
  <si>
    <t>0218340</t>
  </si>
  <si>
    <t>Олександрівська селищна адміністрація Чорноморської міської ради Одеського району Одеської області</t>
  </si>
  <si>
    <t>Бурлачобалківська сільська адміністрація Чорноморської міської ради Одеського району Одеської області</t>
  </si>
  <si>
    <t>Малодолинська сільська адміністрація Чорноморської міської ради Одеського району Одеської області</t>
  </si>
  <si>
    <t>Начальник фінансового управління</t>
  </si>
  <si>
    <t>Ольга ЯКОВЕНКО</t>
  </si>
  <si>
    <t>0217350</t>
  </si>
  <si>
    <t>0217520</t>
  </si>
  <si>
    <t>7520</t>
  </si>
  <si>
    <t>Реалізація Національної програми інформатизації</t>
  </si>
  <si>
    <t>0460</t>
  </si>
  <si>
    <t>0218110</t>
  </si>
  <si>
    <t>видатків бюджету Чорноморської міської територіальної громади  на 2025 рік</t>
  </si>
  <si>
    <t>0617520</t>
  </si>
  <si>
    <t>0618110</t>
  </si>
  <si>
    <t>0813140</t>
  </si>
  <si>
    <t>0817520</t>
  </si>
  <si>
    <t>0917520</t>
  </si>
  <si>
    <t>1017520</t>
  </si>
  <si>
    <t>1117520</t>
  </si>
  <si>
    <t>1217520</t>
  </si>
  <si>
    <t>1517520</t>
  </si>
  <si>
    <t>3117520</t>
  </si>
  <si>
    <t>3717520</t>
  </si>
  <si>
    <t>Реверсна дотація</t>
  </si>
  <si>
    <t>Міська цільова програма соціального  захисту та надання соціальних послуг населенню Чорноморської міської територіальної громади на 2021-2025 роки</t>
  </si>
  <si>
    <t>Міська цільова програма підтримки здобуття професійної (професійно-технічної), фахової передвищої освіти на умовах регіонального замовлення у відповідних закладах освіти, що розташовані та діють на території Чорноморської міської  територіальної громади, на 2025 рік</t>
  </si>
  <si>
    <t>Міська цільова програма фінансової підтримки діяльності  Одеської районної ради Одеської області на 2025 рік</t>
  </si>
  <si>
    <t>КНП "Чорноморський міський центр первинної медико-санітарної допомоги" Чорноморської міської ради Одеського району Одеської області</t>
  </si>
  <si>
    <t>КУ "Муніципальна варта" Чорноморської міської ради Одеського району Одеської області</t>
  </si>
  <si>
    <t>КНП "Чорноморська лікарня" Чорноморської міської ради Одеського району Одеської області</t>
  </si>
  <si>
    <t>КНП "Стоматологічна поліклініка міста Чорноморська" Чорноморської міської ради Одеського району Одеської області</t>
  </si>
  <si>
    <t>Управління соціальної політики Чорноморської мiської ради Одеського району Одеської областi</t>
  </si>
  <si>
    <t>Інша діяльність у сфері житлово-комунального господарства</t>
  </si>
  <si>
    <t>0640</t>
  </si>
  <si>
    <t>3116090</t>
  </si>
  <si>
    <t>Комунальна установа "Територіальний центр соціального обслуговування (надання соціальних послуг) Чорноморської міської ради Одеського району  Одеської області"</t>
  </si>
  <si>
    <t>Комунальна установа "Центр соціальних служб Чорноморської міської ради Одеського району Одеської області"</t>
  </si>
  <si>
    <t>0100</t>
  </si>
  <si>
    <t>Державне управління</t>
  </si>
  <si>
    <t>1000</t>
  </si>
  <si>
    <t>Освіта</t>
  </si>
  <si>
    <t>2000</t>
  </si>
  <si>
    <t>Охорона здоров'я</t>
  </si>
  <si>
    <t>3000</t>
  </si>
  <si>
    <t>Соціальний захист та соціальне забезпечення</t>
  </si>
  <si>
    <t>4000</t>
  </si>
  <si>
    <t>Культура і мистецтво</t>
  </si>
  <si>
    <t>5000</t>
  </si>
  <si>
    <t>Фізична культура і спорт</t>
  </si>
  <si>
    <t>6000</t>
  </si>
  <si>
    <t>Житлово-комунальне господарство</t>
  </si>
  <si>
    <t>7000</t>
  </si>
  <si>
    <t>Економічна діяльність</t>
  </si>
  <si>
    <t>8000</t>
  </si>
  <si>
    <t>Інша діяльність</t>
  </si>
  <si>
    <t>9000</t>
  </si>
  <si>
    <t>Міжбюджетні трансферти</t>
  </si>
  <si>
    <t>0217640</t>
  </si>
  <si>
    <t>7640</t>
  </si>
  <si>
    <t>0470</t>
  </si>
  <si>
    <t>Заходи з енергозбереження</t>
  </si>
  <si>
    <t>до рішення Чорноморської міської ради</t>
  </si>
  <si>
    <t>Здійснення соціальної роботи та надання соціальних послуг центрами соціальних служб та центрами надання соціальних послуг особам/сім'ям, які належать до вразливих груп населення та/або перебувають у складних життєвих обставинах</t>
  </si>
  <si>
    <t>Забезпечення молодіжними центрами соціального становлення та розвитку молоді та інші заходи у сфері  молодіжної політики</t>
  </si>
  <si>
    <t>Розвиток здібностей у дітей та молоді з фізичної культури та спорту комунальними дитячо-юнацькими спортивними школами</t>
  </si>
  <si>
    <t>"Додаток 3</t>
  </si>
  <si>
    <t>від  23.12.2024  № 754 - VIII"</t>
  </si>
  <si>
    <t>0218240</t>
  </si>
  <si>
    <t>0611152</t>
  </si>
  <si>
    <t>Забезпечення діяльності інклюзивно-ресурсних центрів за рахунок освітньої субвенції</t>
  </si>
  <si>
    <t>0611183</t>
  </si>
  <si>
    <t>0611184</t>
  </si>
  <si>
    <t>0611200</t>
  </si>
  <si>
    <t>0611403</t>
  </si>
  <si>
    <t>0611600</t>
  </si>
  <si>
    <t>1183</t>
  </si>
  <si>
    <t>1184</t>
  </si>
  <si>
    <t>1200</t>
  </si>
  <si>
    <t>1403</t>
  </si>
  <si>
    <t>1600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</si>
  <si>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</si>
  <si>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</si>
  <si>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</si>
  <si>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</si>
  <si>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</si>
  <si>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в тому числі:</t>
  </si>
  <si>
    <t>комунальні заклади загальної середньої освіти</t>
  </si>
  <si>
    <t>приватний заклад загальної середньої освіти</t>
  </si>
  <si>
    <t>Експлуатація та технічне обслуговування житлового фонду</t>
  </si>
  <si>
    <t>0610</t>
  </si>
  <si>
    <t>Реалізація проектів (заходів) з відновлення об'єктів житлово-комунального господарства, пошкоджених/знищених внаслідок збройної агресії, за рахунок коштів місцевих бюджетів</t>
  </si>
  <si>
    <t>1217670</t>
  </si>
  <si>
    <t>7670</t>
  </si>
  <si>
    <t>Внески до статутного капіталу суб'єктів господарювання</t>
  </si>
  <si>
    <t>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</si>
  <si>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</si>
  <si>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1300</t>
  </si>
  <si>
    <t>2171</t>
  </si>
  <si>
    <t>6091</t>
  </si>
  <si>
    <t>7368</t>
  </si>
  <si>
    <t>7370</t>
  </si>
  <si>
    <t>1518110</t>
  </si>
  <si>
    <t>Будівництво освітніх установ та закладів</t>
  </si>
  <si>
    <t>Реалізація проектів (заходів) з відновлення закладів охорони здоров'я, пошкоджених/знищених внаслідок збройної агресії, за рахунок коштів місцевих бюджетів</t>
  </si>
  <si>
    <t>Будівництво об'єктів житлово-комунального господарства</t>
  </si>
  <si>
    <t>Виконання інвестиційних проектів за рахунок субвенцій з інших бюджетів</t>
  </si>
  <si>
    <t>Реалізація інших заходів щодо соціально-економічного розвитку територій</t>
  </si>
  <si>
    <t>Субвенція з місцевого бюджету державному бюджету на виконання програм соціально-економічного розвитку регіонів</t>
  </si>
  <si>
    <t>Міська цільова програма підтримки Сил оборони і безпеки України, а також посилення  заходів громадської безпеки в умовах воєнного стану на території Чорноморської міської  територіальної громади на 2025 рік</t>
  </si>
  <si>
    <t>Міська цільова програма протидії злочинності на території Чорноморської міської територіальної громади на 2025 рік</t>
  </si>
  <si>
    <t>1217691</t>
  </si>
  <si>
    <t>1218240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</si>
  <si>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</si>
  <si>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0813193</t>
  </si>
  <si>
    <t>Міська цільова програма підтримки Територіального управління Державного бюро розслідувань, розташованого у місті Миколаєві, на 2025 рік</t>
  </si>
  <si>
    <t>Міська програма "Здоров'я населення Чорноморської міської територіальної громади на 2021-2025 роки"</t>
  </si>
  <si>
    <t>Міська цільова програма "Поліцейський офіцер громади" Чорноморської міської територіальної громади на 2025 рік</t>
  </si>
  <si>
    <t>0217351</t>
  </si>
  <si>
    <t>7351</t>
  </si>
  <si>
    <t>Розроблення комплексних планів просторового розвитку територій територіальних громад</t>
  </si>
  <si>
    <t>Виконання окремих заходів з реалізації соціального проекту "Активні парки - локації здорової України"</t>
  </si>
  <si>
    <t>1218733</t>
  </si>
  <si>
    <t>1218741</t>
  </si>
  <si>
    <t>Заходи із запобігання та ліквідації наслідків надзвичайної ситуації на об'єктах транспортної та дорожньої інфраструктури за рахунок коштів резервного фонду місцевого бюджету</t>
  </si>
  <si>
    <t>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</t>
  </si>
  <si>
    <t>Інша субвенція з місцевого бюджету бюджету Великодолинської селищної територіальної громади</t>
  </si>
  <si>
    <t>0611310</t>
  </si>
  <si>
    <t>1310</t>
  </si>
  <si>
    <t>Реалізація проектів (заходів) з відновлення освітніх установ та закладів, пошкоджених/знищених внаслідок збройної агресії, за рахунок коштів місцевих бюджетів</t>
  </si>
  <si>
    <t>1217640</t>
  </si>
  <si>
    <t>Забезпечення діяльності місцевих центрів фізичного здоров`я населення "Спорт для всіх" та проведення фізкультурно-масових заходів серед населення регіону</t>
  </si>
  <si>
    <t>0212170</t>
  </si>
  <si>
    <t>Будівництво закладів охорони здоров'я</t>
  </si>
  <si>
    <t>0217330</t>
  </si>
  <si>
    <t>7330</t>
  </si>
  <si>
    <t>Будівництво інших об'єктів комунальної власності</t>
  </si>
  <si>
    <t>0813225</t>
  </si>
  <si>
    <t>Реалізація публічного інвестиційного проекту із виплати грошової компенсації за належні для отримання жилі приміщення для сімей осіб, визначених пунктами 2–5 частини першої статті 10-1 Закону України «Про статус ветеранів війни, гарантії їх соціального захисту», для осіб з інвалідністю I–II груп,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зв’язку з військовою агресією Російської Федерації проти України, визначених пунктами 11–14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</si>
  <si>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Додаток 3</t>
  </si>
  <si>
    <t>0217691</t>
  </si>
  <si>
    <t xml:space="preserve">Міська цільова програма співпраці виконавчих органів Чорноморської міської ради Одеського району Одеської області та ГУ ДПС в Одеській області з питань забезпечення контролю за дотриманням зобов'язань щодо платежів підприємств, установ, організацій, суб’єктів господарювання, фізичних осіб до бюджету Чорноморської  міської територіальної громади на 2025 рік </t>
  </si>
  <si>
    <t>Підтримка спорту вищих досягнень та організацій, які здійснюють фізкультурно-спортивну діяльність в регіоні</t>
  </si>
  <si>
    <t>Забезпечення діяльності водопровідно-каналізаційного господарства</t>
  </si>
  <si>
    <t>1218745</t>
  </si>
  <si>
    <t>Заходи із запобігання та ліквідації наслідків надзвичайної ситуації в системах забезпечення населення питною водою за рахунок коштів резервного фонду місцевого бюджету</t>
  </si>
  <si>
    <t>0910180</t>
  </si>
  <si>
    <t>1218340</t>
  </si>
  <si>
    <t>0611279</t>
  </si>
  <si>
    <t>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</si>
  <si>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</si>
  <si>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0611501</t>
  </si>
  <si>
    <t>1501</t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</si>
  <si>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</t>
  </si>
  <si>
    <t>0611700</t>
  </si>
  <si>
    <t>Виконання заходів за рахунок субвенції з державного бюджету місцевим бюджетам на покращення якості гарячого харчування  та фінансування харчування учнів початкових класів закладів загальної середньої освіти</t>
  </si>
  <si>
    <t>1117691</t>
  </si>
  <si>
    <t>Міська цільова програма підтримки Регіонального сервісного  центру  ГСЦ МВС  в  Одеській, Миколаївській  та  Херсонській  областях  у сфері  надання адміністративних  послуг на 2024-2025 роки</t>
  </si>
  <si>
    <t>0611702</t>
  </si>
  <si>
    <t xml:space="preserve">Забезпечення харчуванням учнів закладів загальної середньої освіти за рахунок субвенції з державного бюджету місцевим бюджетам </t>
  </si>
  <si>
    <t>1517691</t>
  </si>
  <si>
    <t>1218746</t>
  </si>
  <si>
    <t>Заходи із запобігання та ліквідації наслідків надзвичайної ситуації в інших системах та об'єктах житлово-комунального господарства за рахунок коштів резервного фонду місцевого бюджету</t>
  </si>
  <si>
    <t>від_____.12.2025  №_____-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</si>
</sst>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\-#,##0.00;#,&quot;-&quot;"/>
    <numFmt numFmtId="165" formatCode="#,##0.00_ ;\-#,##0.00\ "/>
    <numFmt numFmtId="166" formatCode="#,##0.000"/>
  </numFmts>
  <fonts count="16">
    <font>
      <sz val="10"/>
      <color theme="1"/>
      <name val="Шрифт текста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8" fillId="0" borderId="0"/>
    <xf numFmtId="0" fontId="12" fillId="0" borderId="0"/>
    <xf numFmtId="0" fontId="13" fillId="0" borderId="0"/>
    <xf numFmtId="0" fontId="1" fillId="0" borderId="0"/>
    <xf numFmtId="0" fontId="12" fillId="0" borderId="0"/>
    <xf numFmtId="0" fontId="14" fillId="0" borderId="0"/>
    <xf numFmtId="0" fontId="1" fillId="0" borderId="0"/>
    <xf numFmtId="0" fontId="1" fillId="0" borderId="0"/>
    <xf numFmtId="0" fontId="15" fillId="0" borderId="0"/>
  </cellStyleXfs>
  <cellXfs count="43">
    <xf numFmtId="0" fontId="0" fillId="0" borderId="0" xfId="0"/>
    <xf numFmtId="0" fontId="3" fillId="2" borderId="1" xfId="0" quotePrefix="1" applyFont="1" applyFill="1" applyBorder="1" applyAlignment="1">
      <alignment vertical="center" wrapText="1"/>
    </xf>
    <xf numFmtId="0" fontId="2" fillId="0" borderId="0" xfId="0" applyFont="1"/>
    <xf numFmtId="0" fontId="5" fillId="0" borderId="0" xfId="0" quotePrefix="1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vertical="center" wrapText="1"/>
    </xf>
    <xf numFmtId="0" fontId="2" fillId="2" borderId="1" xfId="0" quotePrefix="1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164" fontId="4" fillId="2" borderId="0" xfId="0" applyNumberFormat="1" applyFont="1" applyFill="1" applyAlignment="1">
      <alignment vertical="center"/>
    </xf>
    <xf numFmtId="49" fontId="7" fillId="2" borderId="1" xfId="0" applyNumberFormat="1" applyFont="1" applyFill="1" applyBorder="1"/>
    <xf numFmtId="49" fontId="7" fillId="2" borderId="1" xfId="0" applyNumberFormat="1" applyFont="1" applyFill="1" applyBorder="1" applyAlignment="1">
      <alignment horizontal="center"/>
    </xf>
    <xf numFmtId="166" fontId="9" fillId="2" borderId="1" xfId="1" applyNumberFormat="1" applyFont="1" applyFill="1" applyBorder="1" applyAlignment="1">
      <alignment wrapText="1"/>
    </xf>
    <xf numFmtId="0" fontId="9" fillId="2" borderId="0" xfId="0" applyFont="1" applyFill="1"/>
    <xf numFmtId="0" fontId="10" fillId="2" borderId="0" xfId="0" applyFont="1" applyFill="1"/>
    <xf numFmtId="0" fontId="4" fillId="2" borderId="1" xfId="0" applyFont="1" applyFill="1" applyBorder="1" applyAlignment="1">
      <alignment wrapText="1"/>
    </xf>
    <xf numFmtId="165" fontId="4" fillId="2" borderId="1" xfId="0" applyNumberFormat="1" applyFont="1" applyFill="1" applyBorder="1"/>
    <xf numFmtId="0" fontId="3" fillId="2" borderId="0" xfId="0" applyFont="1" applyFill="1"/>
    <xf numFmtId="0" fontId="2" fillId="2" borderId="1" xfId="0" applyFont="1" applyFill="1" applyBorder="1" applyAlignment="1">
      <alignment horizontal="left" vertical="center" wrapText="1"/>
    </xf>
    <xf numFmtId="0" fontId="11" fillId="2" borderId="0" xfId="0" applyFont="1" applyFill="1"/>
    <xf numFmtId="165" fontId="2" fillId="0" borderId="0" xfId="0" applyNumberFormat="1" applyFont="1"/>
    <xf numFmtId="164" fontId="4" fillId="2" borderId="1" xfId="0" applyNumberFormat="1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/>
    <xf numFmtId="0" fontId="9" fillId="2" borderId="1" xfId="0" quotePrefix="1" applyFont="1" applyFill="1" applyBorder="1" applyAlignment="1">
      <alignment vertical="center" wrapText="1"/>
    </xf>
    <xf numFmtId="0" fontId="9" fillId="2" borderId="0" xfId="0" applyFont="1" applyFill="1" applyAlignment="1">
      <alignment vertical="center"/>
    </xf>
    <xf numFmtId="164" fontId="2" fillId="2" borderId="1" xfId="0" applyNumberFormat="1" applyFont="1" applyFill="1" applyBorder="1" applyAlignment="1">
      <alignment horizontal="right" vertical="center"/>
    </xf>
    <xf numFmtId="4" fontId="9" fillId="2" borderId="1" xfId="1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165" fontId="9" fillId="2" borderId="0" xfId="0" applyNumberFormat="1" applyFont="1" applyFill="1"/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</cellXfs>
  <cellStyles count="10">
    <cellStyle name="Звичайний" xfId="0" builtinId="0"/>
    <cellStyle name="Звичайний 2" xfId="7" xr:uid="{00000000-0005-0000-0000-000001000000}"/>
    <cellStyle name="Звичайний 2 2" xfId="8" xr:uid="{00000000-0005-0000-0000-000002000000}"/>
    <cellStyle name="Обычный 2" xfId="5" xr:uid="{00000000-0005-0000-0000-000003000000}"/>
    <cellStyle name="Обычный 3" xfId="3" xr:uid="{00000000-0005-0000-0000-000004000000}"/>
    <cellStyle name="Обычный 4" xfId="6" xr:uid="{00000000-0005-0000-0000-000005000000}"/>
    <cellStyle name="Обычный 5" xfId="2" xr:uid="{00000000-0005-0000-0000-000006000000}"/>
    <cellStyle name="Обычный 6" xfId="4" xr:uid="{00000000-0005-0000-0000-000007000000}"/>
    <cellStyle name="Обычный 9" xfId="9" xr:uid="{00000000-0005-0000-0000-000008000000}"/>
    <cellStyle name="Обычный_дод 3" xfId="1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29"/>
  <sheetViews>
    <sheetView tabSelected="1" view="pageBreakPreview" zoomScale="70" zoomScaleNormal="70" zoomScaleSheetLayoutView="70" workbookViewId="0">
      <pane xSplit="4" ySplit="16" topLeftCell="E221" activePane="bottomRight" state="frozen"/>
      <selection pane="topRight" activeCell="E1" sqref="E1"/>
      <selection pane="bottomLeft" activeCell="A14" sqref="A14"/>
      <selection pane="bottomRight" activeCell="M7" sqref="M7"/>
    </sheetView>
  </sheetViews>
  <sheetFormatPr defaultColWidth="8.88671875" defaultRowHeight="15.6"/>
  <cols>
    <col min="1" max="3" width="12.109375" style="2" customWidth="1"/>
    <col min="4" max="4" width="40.6640625" style="2" customWidth="1"/>
    <col min="5" max="5" width="20.109375" style="2" customWidth="1"/>
    <col min="6" max="6" width="19.5546875" style="2" customWidth="1"/>
    <col min="7" max="7" width="17.33203125" style="2" customWidth="1"/>
    <col min="8" max="8" width="18.5546875" style="2" customWidth="1"/>
    <col min="9" max="9" width="18.6640625" style="2" customWidth="1"/>
    <col min="10" max="11" width="17.6640625" style="2" customWidth="1"/>
    <col min="12" max="12" width="17.5546875" style="2" customWidth="1"/>
    <col min="13" max="14" width="15.6640625" style="2" customWidth="1"/>
    <col min="15" max="15" width="17.33203125" style="2" customWidth="1"/>
    <col min="16" max="16" width="20.5546875" style="2" customWidth="1"/>
    <col min="17" max="16384" width="8.88671875" style="2"/>
  </cols>
  <sheetData>
    <row r="1" spans="1:16">
      <c r="M1" s="2" t="s">
        <v>414</v>
      </c>
    </row>
    <row r="2" spans="1:16">
      <c r="M2" s="2" t="s">
        <v>337</v>
      </c>
    </row>
    <row r="3" spans="1:16">
      <c r="M3" s="2" t="s">
        <v>438</v>
      </c>
    </row>
    <row r="4" spans="1:16" ht="20.399999999999999" customHeight="1">
      <c r="M4" s="2" t="s">
        <v>341</v>
      </c>
    </row>
    <row r="5" spans="1:16" ht="20.399999999999999" customHeight="1">
      <c r="M5" s="2" t="s">
        <v>337</v>
      </c>
    </row>
    <row r="6" spans="1:16" ht="20.399999999999999" customHeight="1">
      <c r="M6" s="2" t="s">
        <v>342</v>
      </c>
    </row>
    <row r="8" spans="1:16">
      <c r="A8" s="40" t="s">
        <v>0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</row>
    <row r="9" spans="1:16">
      <c r="A9" s="40" t="s">
        <v>287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</row>
    <row r="10" spans="1:16">
      <c r="A10" s="3" t="s">
        <v>1</v>
      </c>
    </row>
    <row r="11" spans="1:16">
      <c r="A11" s="2" t="s">
        <v>2</v>
      </c>
      <c r="P11" s="4" t="s">
        <v>3</v>
      </c>
    </row>
    <row r="12" spans="1:16" ht="26.4" customHeight="1">
      <c r="A12" s="42" t="s">
        <v>4</v>
      </c>
      <c r="B12" s="42" t="s">
        <v>5</v>
      </c>
      <c r="C12" s="42" t="s">
        <v>6</v>
      </c>
      <c r="D12" s="39" t="s">
        <v>7</v>
      </c>
      <c r="E12" s="39" t="s">
        <v>8</v>
      </c>
      <c r="F12" s="39"/>
      <c r="G12" s="39"/>
      <c r="H12" s="39"/>
      <c r="I12" s="39"/>
      <c r="J12" s="39" t="s">
        <v>15</v>
      </c>
      <c r="K12" s="39"/>
      <c r="L12" s="39"/>
      <c r="M12" s="39"/>
      <c r="N12" s="39"/>
      <c r="O12" s="39"/>
      <c r="P12" s="39" t="s">
        <v>17</v>
      </c>
    </row>
    <row r="13" spans="1:16" ht="26.4" customHeight="1">
      <c r="A13" s="42"/>
      <c r="B13" s="42"/>
      <c r="C13" s="42"/>
      <c r="D13" s="39"/>
      <c r="E13" s="39" t="s">
        <v>9</v>
      </c>
      <c r="F13" s="39" t="s">
        <v>10</v>
      </c>
      <c r="G13" s="39" t="s">
        <v>11</v>
      </c>
      <c r="H13" s="39"/>
      <c r="I13" s="39" t="s">
        <v>14</v>
      </c>
      <c r="J13" s="39" t="s">
        <v>9</v>
      </c>
      <c r="K13" s="39" t="s">
        <v>16</v>
      </c>
      <c r="L13" s="39" t="s">
        <v>10</v>
      </c>
      <c r="M13" s="39" t="s">
        <v>11</v>
      </c>
      <c r="N13" s="39"/>
      <c r="O13" s="39" t="s">
        <v>14</v>
      </c>
      <c r="P13" s="39"/>
    </row>
    <row r="14" spans="1:16" ht="30.6" customHeight="1">
      <c r="A14" s="42"/>
      <c r="B14" s="42"/>
      <c r="C14" s="42"/>
      <c r="D14" s="39"/>
      <c r="E14" s="39"/>
      <c r="F14" s="39"/>
      <c r="G14" s="39" t="s">
        <v>12</v>
      </c>
      <c r="H14" s="39" t="s">
        <v>13</v>
      </c>
      <c r="I14" s="39"/>
      <c r="J14" s="39"/>
      <c r="K14" s="39"/>
      <c r="L14" s="39"/>
      <c r="M14" s="39" t="s">
        <v>12</v>
      </c>
      <c r="N14" s="39" t="s">
        <v>13</v>
      </c>
      <c r="O14" s="39"/>
      <c r="P14" s="39"/>
    </row>
    <row r="15" spans="1:16" ht="26.4" customHeight="1">
      <c r="A15" s="42"/>
      <c r="B15" s="42"/>
      <c r="C15" s="42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</row>
    <row r="16" spans="1:16">
      <c r="A16" s="37">
        <v>1</v>
      </c>
      <c r="B16" s="37">
        <v>2</v>
      </c>
      <c r="C16" s="37">
        <v>3</v>
      </c>
      <c r="D16" s="37">
        <v>4</v>
      </c>
      <c r="E16" s="37">
        <v>5</v>
      </c>
      <c r="F16" s="37">
        <v>6</v>
      </c>
      <c r="G16" s="37">
        <v>7</v>
      </c>
      <c r="H16" s="37">
        <v>8</v>
      </c>
      <c r="I16" s="37">
        <v>9</v>
      </c>
      <c r="J16" s="37">
        <v>10</v>
      </c>
      <c r="K16" s="37">
        <v>11</v>
      </c>
      <c r="L16" s="37">
        <v>12</v>
      </c>
      <c r="M16" s="37">
        <v>13</v>
      </c>
      <c r="N16" s="37">
        <v>14</v>
      </c>
      <c r="O16" s="37">
        <v>15</v>
      </c>
      <c r="P16" s="37">
        <v>16</v>
      </c>
    </row>
    <row r="17" spans="1:16" ht="46.8">
      <c r="A17" s="6" t="s">
        <v>18</v>
      </c>
      <c r="B17" s="6" t="s">
        <v>19</v>
      </c>
      <c r="C17" s="6" t="s">
        <v>19</v>
      </c>
      <c r="D17" s="7" t="s">
        <v>20</v>
      </c>
      <c r="E17" s="30">
        <f>F17+I17</f>
        <v>226046681.09999999</v>
      </c>
      <c r="F17" s="30">
        <f>F18</f>
        <v>225904681.09999999</v>
      </c>
      <c r="G17" s="30">
        <f>G18</f>
        <v>117530850</v>
      </c>
      <c r="H17" s="30">
        <f>H18</f>
        <v>4797700</v>
      </c>
      <c r="I17" s="30">
        <f>I18</f>
        <v>142000</v>
      </c>
      <c r="J17" s="30">
        <f>L17+O17</f>
        <v>27684494.119999997</v>
      </c>
      <c r="K17" s="30">
        <f>K18</f>
        <v>25055138.899999999</v>
      </c>
      <c r="L17" s="30">
        <f>L18</f>
        <v>525200</v>
      </c>
      <c r="M17" s="30">
        <f>M18</f>
        <v>0</v>
      </c>
      <c r="N17" s="30">
        <f>N18</f>
        <v>0</v>
      </c>
      <c r="O17" s="30">
        <f>O18</f>
        <v>27159294.119999997</v>
      </c>
      <c r="P17" s="30">
        <f t="shared" ref="P17:P90" si="0">E17 + J17</f>
        <v>253731175.22</v>
      </c>
    </row>
    <row r="18" spans="1:16" ht="46.8">
      <c r="A18" s="6" t="s">
        <v>21</v>
      </c>
      <c r="B18" s="6" t="s">
        <v>19</v>
      </c>
      <c r="C18" s="6" t="s">
        <v>19</v>
      </c>
      <c r="D18" s="7" t="s">
        <v>20</v>
      </c>
      <c r="E18" s="30">
        <f>F18+I18</f>
        <v>226046681.09999999</v>
      </c>
      <c r="F18" s="30">
        <f>F19+F24+F25+F26+F27+F28+F29+F33+F34+F35+F39+F40+F41+F42+F50+F51+F52+F53+F57+F58+F59+F60+F61</f>
        <v>225904681.09999999</v>
      </c>
      <c r="G18" s="30">
        <f t="shared" ref="G18:O18" si="1">G19+G24+G25+G26+G27+G28+G29+G33+G34+G35+G39+G40+G41+G42+G50+G51+G52+G53+G57+G58+G59+G60+G61</f>
        <v>117530850</v>
      </c>
      <c r="H18" s="30">
        <f t="shared" si="1"/>
        <v>4797700</v>
      </c>
      <c r="I18" s="30">
        <f t="shared" si="1"/>
        <v>142000</v>
      </c>
      <c r="J18" s="30">
        <f>L18+O18</f>
        <v>27684494.119999997</v>
      </c>
      <c r="K18" s="30">
        <f t="shared" si="1"/>
        <v>25055138.899999999</v>
      </c>
      <c r="L18" s="30">
        <f t="shared" si="1"/>
        <v>525200</v>
      </c>
      <c r="M18" s="30">
        <f t="shared" si="1"/>
        <v>0</v>
      </c>
      <c r="N18" s="30">
        <f t="shared" si="1"/>
        <v>0</v>
      </c>
      <c r="O18" s="30">
        <f t="shared" si="1"/>
        <v>27159294.119999997</v>
      </c>
      <c r="P18" s="30">
        <f>E18 + J18</f>
        <v>253731175.22</v>
      </c>
    </row>
    <row r="19" spans="1:16" ht="102" customHeight="1">
      <c r="A19" s="37" t="s">
        <v>22</v>
      </c>
      <c r="B19" s="37" t="s">
        <v>23</v>
      </c>
      <c r="C19" s="37" t="s">
        <v>24</v>
      </c>
      <c r="D19" s="8" t="s">
        <v>25</v>
      </c>
      <c r="E19" s="9">
        <f>F19+I19</f>
        <v>102239341</v>
      </c>
      <c r="F19" s="9">
        <f>F20+F21+F22+F23</f>
        <v>102239341</v>
      </c>
      <c r="G19" s="9">
        <f>G20+G21+G22+G23</f>
        <v>91792200</v>
      </c>
      <c r="H19" s="9">
        <f t="shared" ref="H19:I19" si="2">H20+H21+H22+H23</f>
        <v>4735200</v>
      </c>
      <c r="I19" s="9">
        <f t="shared" si="2"/>
        <v>0</v>
      </c>
      <c r="J19" s="9">
        <f>L19+O19</f>
        <v>169600</v>
      </c>
      <c r="K19" s="9">
        <f>K20+K21+K22+K23</f>
        <v>52000</v>
      </c>
      <c r="L19" s="9">
        <f t="shared" ref="L19:O19" si="3">L20+L21+L22+L23</f>
        <v>117600</v>
      </c>
      <c r="M19" s="9">
        <f t="shared" si="3"/>
        <v>0</v>
      </c>
      <c r="N19" s="9">
        <f t="shared" si="3"/>
        <v>0</v>
      </c>
      <c r="O19" s="9">
        <f t="shared" si="3"/>
        <v>52000</v>
      </c>
      <c r="P19" s="9">
        <f t="shared" si="0"/>
        <v>102408941</v>
      </c>
    </row>
    <row r="20" spans="1:16" s="5" customFormat="1" ht="58.5" customHeight="1">
      <c r="A20" s="10"/>
      <c r="B20" s="10"/>
      <c r="C20" s="10"/>
      <c r="D20" s="1" t="s">
        <v>20</v>
      </c>
      <c r="E20" s="11">
        <f>F20+I20</f>
        <v>90898541</v>
      </c>
      <c r="F20" s="11">
        <f>93697400+730000-202000-77800+47000-556459-700000-52000+192400-680000-1500000</f>
        <v>90898541</v>
      </c>
      <c r="G20" s="11">
        <f>69039000+15188600-680000-1500000</f>
        <v>82047600</v>
      </c>
      <c r="H20" s="11">
        <f>1900000+150000+2200000+43100+730000-211000-700000+266000+15600</f>
        <v>4393700</v>
      </c>
      <c r="I20" s="11"/>
      <c r="J20" s="11">
        <f>L20+O20</f>
        <v>169598</v>
      </c>
      <c r="K20" s="11">
        <f>47000-47000+52000</f>
        <v>52000</v>
      </c>
      <c r="L20" s="11">
        <v>117598</v>
      </c>
      <c r="M20" s="11"/>
      <c r="N20" s="11"/>
      <c r="O20" s="11">
        <f>47000-47000+52000</f>
        <v>52000</v>
      </c>
      <c r="P20" s="11">
        <f t="shared" si="0"/>
        <v>91068139</v>
      </c>
    </row>
    <row r="21" spans="1:16" s="5" customFormat="1" ht="74.25" customHeight="1">
      <c r="A21" s="10"/>
      <c r="B21" s="10"/>
      <c r="C21" s="10"/>
      <c r="D21" s="1" t="s">
        <v>276</v>
      </c>
      <c r="E21" s="11">
        <f t="shared" ref="E21:E61" si="4">F21+I21</f>
        <v>4349700</v>
      </c>
      <c r="F21" s="11">
        <f>4058100+73000+2600+216000</f>
        <v>4349700</v>
      </c>
      <c r="G21" s="11">
        <f>2963900+652000+216000</f>
        <v>3831900</v>
      </c>
      <c r="H21" s="11">
        <f>2500+58000+90000+5000-5000</f>
        <v>150500</v>
      </c>
      <c r="I21" s="11"/>
      <c r="J21" s="11">
        <f t="shared" ref="J21:J61" si="5">L21+O21</f>
        <v>1</v>
      </c>
      <c r="K21" s="11"/>
      <c r="L21" s="11">
        <v>1</v>
      </c>
      <c r="M21" s="11"/>
      <c r="N21" s="11"/>
      <c r="O21" s="11"/>
      <c r="P21" s="11">
        <f t="shared" si="0"/>
        <v>4349701</v>
      </c>
    </row>
    <row r="22" spans="1:16" s="5" customFormat="1" ht="70.5" customHeight="1">
      <c r="A22" s="10"/>
      <c r="B22" s="10"/>
      <c r="C22" s="10"/>
      <c r="D22" s="1" t="s">
        <v>277</v>
      </c>
      <c r="E22" s="11">
        <f t="shared" si="4"/>
        <v>3249600</v>
      </c>
      <c r="F22" s="11">
        <f>2910600-50000+304000+85000</f>
        <v>3249600</v>
      </c>
      <c r="G22" s="11">
        <f>2149400+472900+85000</f>
        <v>2707300</v>
      </c>
      <c r="H22" s="11">
        <f>3200+38000+36600+10000</f>
        <v>87800</v>
      </c>
      <c r="I22" s="11"/>
      <c r="J22" s="11">
        <f t="shared" si="5"/>
        <v>0</v>
      </c>
      <c r="K22" s="11"/>
      <c r="L22" s="11"/>
      <c r="M22" s="11"/>
      <c r="N22" s="11"/>
      <c r="O22" s="11"/>
      <c r="P22" s="11">
        <f t="shared" si="0"/>
        <v>3249600</v>
      </c>
    </row>
    <row r="23" spans="1:16" s="5" customFormat="1" ht="71.25" customHeight="1">
      <c r="A23" s="10"/>
      <c r="B23" s="10"/>
      <c r="C23" s="10"/>
      <c r="D23" s="1" t="s">
        <v>278</v>
      </c>
      <c r="E23" s="11">
        <f t="shared" si="4"/>
        <v>3741500</v>
      </c>
      <c r="F23" s="11">
        <f>3364500+200000+177000</f>
        <v>3741500</v>
      </c>
      <c r="G23" s="11">
        <f>2482300+546100+177000</f>
        <v>3205400</v>
      </c>
      <c r="H23" s="11">
        <f>3200+40000+55000+5000</f>
        <v>103200</v>
      </c>
      <c r="I23" s="11"/>
      <c r="J23" s="11">
        <f t="shared" si="5"/>
        <v>1</v>
      </c>
      <c r="K23" s="11"/>
      <c r="L23" s="11">
        <v>1</v>
      </c>
      <c r="M23" s="11"/>
      <c r="N23" s="11"/>
      <c r="O23" s="11"/>
      <c r="P23" s="11">
        <f t="shared" si="0"/>
        <v>3741501</v>
      </c>
    </row>
    <row r="24" spans="1:16" ht="46.8">
      <c r="A24" s="37" t="s">
        <v>26</v>
      </c>
      <c r="B24" s="37" t="s">
        <v>27</v>
      </c>
      <c r="C24" s="37" t="s">
        <v>28</v>
      </c>
      <c r="D24" s="8" t="s">
        <v>29</v>
      </c>
      <c r="E24" s="9">
        <f t="shared" si="4"/>
        <v>50000</v>
      </c>
      <c r="F24" s="9">
        <v>50000</v>
      </c>
      <c r="G24" s="9">
        <v>0</v>
      </c>
      <c r="H24" s="9">
        <v>0</v>
      </c>
      <c r="I24" s="9">
        <v>0</v>
      </c>
      <c r="J24" s="9">
        <f t="shared" si="5"/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f t="shared" si="0"/>
        <v>50000</v>
      </c>
    </row>
    <row r="25" spans="1:16" ht="31.2">
      <c r="A25" s="37" t="s">
        <v>30</v>
      </c>
      <c r="B25" s="37" t="s">
        <v>31</v>
      </c>
      <c r="C25" s="37" t="s">
        <v>32</v>
      </c>
      <c r="D25" s="8" t="s">
        <v>33</v>
      </c>
      <c r="E25" s="9">
        <f t="shared" si="4"/>
        <v>2317819</v>
      </c>
      <c r="F25" s="9">
        <f>2589200-294000+18000+202000-375640+556459-25000-130800-192400-30000</f>
        <v>2317819</v>
      </c>
      <c r="G25" s="9">
        <v>0</v>
      </c>
      <c r="H25" s="9">
        <v>0</v>
      </c>
      <c r="I25" s="9">
        <v>0</v>
      </c>
      <c r="J25" s="9">
        <f t="shared" si="5"/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f t="shared" si="0"/>
        <v>2317819</v>
      </c>
    </row>
    <row r="26" spans="1:16" ht="31.2">
      <c r="A26" s="37" t="s">
        <v>34</v>
      </c>
      <c r="B26" s="37" t="s">
        <v>35</v>
      </c>
      <c r="C26" s="37" t="s">
        <v>36</v>
      </c>
      <c r="D26" s="8" t="s">
        <v>37</v>
      </c>
      <c r="E26" s="9">
        <f t="shared" si="4"/>
        <v>39124506.100000001</v>
      </c>
      <c r="F26" s="9">
        <f>34002900+511600+5000000+65630+200210+297600-9948+31948-975433.9</f>
        <v>39124506.100000001</v>
      </c>
      <c r="G26" s="9">
        <v>0</v>
      </c>
      <c r="H26" s="9">
        <v>0</v>
      </c>
      <c r="I26" s="9">
        <v>0</v>
      </c>
      <c r="J26" s="9">
        <f t="shared" si="5"/>
        <v>18400020.899999999</v>
      </c>
      <c r="K26" s="9">
        <f>2036600-65630+1822170+5800000+1695270+1611610.9+5500000</f>
        <v>18400020.899999999</v>
      </c>
      <c r="L26" s="9">
        <v>0</v>
      </c>
      <c r="M26" s="9">
        <v>0</v>
      </c>
      <c r="N26" s="9">
        <v>0</v>
      </c>
      <c r="O26" s="9">
        <f>2036600-65630+1822170+5800000+1695270+1611610.9+5500000</f>
        <v>18400020.899999999</v>
      </c>
      <c r="P26" s="9">
        <f t="shared" si="0"/>
        <v>57524527</v>
      </c>
    </row>
    <row r="27" spans="1:16">
      <c r="A27" s="37" t="s">
        <v>38</v>
      </c>
      <c r="B27" s="37" t="s">
        <v>39</v>
      </c>
      <c r="C27" s="37" t="s">
        <v>40</v>
      </c>
      <c r="D27" s="8" t="s">
        <v>41</v>
      </c>
      <c r="E27" s="9">
        <f t="shared" si="4"/>
        <v>9172200</v>
      </c>
      <c r="F27" s="9">
        <f>8701800+470400</f>
        <v>9172200</v>
      </c>
      <c r="G27" s="9">
        <v>0</v>
      </c>
      <c r="H27" s="9">
        <v>0</v>
      </c>
      <c r="I27" s="9">
        <v>0</v>
      </c>
      <c r="J27" s="9">
        <f t="shared" si="5"/>
        <v>1649100</v>
      </c>
      <c r="K27" s="9">
        <f>962100+687000</f>
        <v>1649100</v>
      </c>
      <c r="L27" s="9">
        <v>0</v>
      </c>
      <c r="M27" s="9">
        <v>0</v>
      </c>
      <c r="N27" s="9">
        <v>0</v>
      </c>
      <c r="O27" s="9">
        <f>962100+687000</f>
        <v>1649100</v>
      </c>
      <c r="P27" s="9">
        <f t="shared" si="0"/>
        <v>10821300</v>
      </c>
    </row>
    <row r="28" spans="1:16" ht="72" customHeight="1">
      <c r="A28" s="37" t="s">
        <v>42</v>
      </c>
      <c r="B28" s="37" t="s">
        <v>43</v>
      </c>
      <c r="C28" s="37" t="s">
        <v>44</v>
      </c>
      <c r="D28" s="8" t="s">
        <v>45</v>
      </c>
      <c r="E28" s="9">
        <f t="shared" si="4"/>
        <v>4134918</v>
      </c>
      <c r="F28" s="9">
        <f>13402400-8857000+68000+100000-60000+3500-190920-234262-96800</f>
        <v>4134918</v>
      </c>
      <c r="G28" s="9">
        <v>0</v>
      </c>
      <c r="H28" s="9">
        <v>0</v>
      </c>
      <c r="I28" s="9">
        <v>0</v>
      </c>
      <c r="J28" s="9">
        <f t="shared" si="5"/>
        <v>807395</v>
      </c>
      <c r="K28" s="9">
        <f>1426100+192000+100000+45000+60000-714700-301005</f>
        <v>807395</v>
      </c>
      <c r="L28" s="9">
        <v>0</v>
      </c>
      <c r="M28" s="9">
        <v>0</v>
      </c>
      <c r="N28" s="9">
        <v>0</v>
      </c>
      <c r="O28" s="9">
        <f>1426100+192000+100000+45000+60000-714700-301005</f>
        <v>807395</v>
      </c>
      <c r="P28" s="9">
        <f t="shared" si="0"/>
        <v>4942313</v>
      </c>
    </row>
    <row r="29" spans="1:16" ht="31.2">
      <c r="A29" s="37" t="s">
        <v>46</v>
      </c>
      <c r="B29" s="37" t="s">
        <v>47</v>
      </c>
      <c r="C29" s="37" t="s">
        <v>48</v>
      </c>
      <c r="D29" s="8" t="s">
        <v>49</v>
      </c>
      <c r="E29" s="9">
        <f t="shared" si="4"/>
        <v>14104337</v>
      </c>
      <c r="F29" s="9">
        <f>SUM(F30:F32)</f>
        <v>14104337</v>
      </c>
      <c r="G29" s="9">
        <v>0</v>
      </c>
      <c r="H29" s="9">
        <v>0</v>
      </c>
      <c r="I29" s="9">
        <v>0</v>
      </c>
      <c r="J29" s="9">
        <f t="shared" si="5"/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f t="shared" si="0"/>
        <v>14104337</v>
      </c>
    </row>
    <row r="30" spans="1:16" s="5" customFormat="1" ht="60" customHeight="1">
      <c r="A30" s="10"/>
      <c r="B30" s="10"/>
      <c r="C30" s="10"/>
      <c r="D30" s="1" t="s">
        <v>305</v>
      </c>
      <c r="E30" s="11">
        <f t="shared" si="4"/>
        <v>930910</v>
      </c>
      <c r="F30" s="11">
        <f>718300-22000+4100+230510</f>
        <v>930910</v>
      </c>
      <c r="G30" s="11"/>
      <c r="H30" s="11"/>
      <c r="I30" s="11"/>
      <c r="J30" s="11"/>
      <c r="K30" s="11"/>
      <c r="L30" s="11"/>
      <c r="M30" s="11"/>
      <c r="N30" s="11"/>
      <c r="O30" s="11"/>
      <c r="P30" s="11">
        <f t="shared" si="0"/>
        <v>930910</v>
      </c>
    </row>
    <row r="31" spans="1:16" s="5" customFormat="1" ht="87" customHeight="1">
      <c r="A31" s="10"/>
      <c r="B31" s="10"/>
      <c r="C31" s="10"/>
      <c r="D31" s="1" t="s">
        <v>303</v>
      </c>
      <c r="E31" s="11">
        <f t="shared" si="4"/>
        <v>10862827</v>
      </c>
      <c r="F31" s="11">
        <f>8857000+905620+500207+600000</f>
        <v>10862827</v>
      </c>
      <c r="G31" s="11"/>
      <c r="H31" s="11"/>
      <c r="I31" s="11"/>
      <c r="J31" s="11"/>
      <c r="K31" s="11"/>
      <c r="L31" s="11"/>
      <c r="M31" s="11"/>
      <c r="N31" s="11"/>
      <c r="O31" s="11"/>
      <c r="P31" s="11">
        <f t="shared" si="0"/>
        <v>10862827</v>
      </c>
    </row>
    <row r="32" spans="1:16" s="5" customFormat="1" ht="74.25" customHeight="1">
      <c r="A32" s="10"/>
      <c r="B32" s="10"/>
      <c r="C32" s="10"/>
      <c r="D32" s="1" t="s">
        <v>306</v>
      </c>
      <c r="E32" s="11">
        <f t="shared" si="4"/>
        <v>2310600</v>
      </c>
      <c r="F32" s="11">
        <f>1260600+550000+500000</f>
        <v>2310600</v>
      </c>
      <c r="G32" s="11"/>
      <c r="H32" s="11"/>
      <c r="I32" s="11"/>
      <c r="J32" s="11"/>
      <c r="K32" s="11"/>
      <c r="L32" s="11"/>
      <c r="M32" s="11"/>
      <c r="N32" s="11"/>
      <c r="O32" s="11"/>
      <c r="P32" s="11">
        <f t="shared" si="0"/>
        <v>2310600</v>
      </c>
    </row>
    <row r="33" spans="1:16" s="15" customFormat="1" ht="25.95" customHeight="1">
      <c r="A33" s="31" t="s">
        <v>407</v>
      </c>
      <c r="B33" s="37">
        <v>2170</v>
      </c>
      <c r="C33" s="31" t="s">
        <v>48</v>
      </c>
      <c r="D33" s="8" t="s">
        <v>408</v>
      </c>
      <c r="E33" s="9">
        <f t="shared" si="4"/>
        <v>0</v>
      </c>
      <c r="F33" s="9"/>
      <c r="G33" s="9"/>
      <c r="H33" s="9"/>
      <c r="I33" s="9"/>
      <c r="J33" s="9">
        <f t="shared" si="5"/>
        <v>197300</v>
      </c>
      <c r="K33" s="9">
        <v>197300</v>
      </c>
      <c r="L33" s="9"/>
      <c r="M33" s="9"/>
      <c r="N33" s="9"/>
      <c r="O33" s="9">
        <v>197300</v>
      </c>
      <c r="P33" s="9">
        <f t="shared" si="0"/>
        <v>197300</v>
      </c>
    </row>
    <row r="34" spans="1:16" ht="41.25" customHeight="1">
      <c r="A34" s="37" t="s">
        <v>50</v>
      </c>
      <c r="B34" s="37" t="s">
        <v>51</v>
      </c>
      <c r="C34" s="37" t="s">
        <v>52</v>
      </c>
      <c r="D34" s="8" t="s">
        <v>53</v>
      </c>
      <c r="E34" s="9">
        <f t="shared" si="4"/>
        <v>3500000</v>
      </c>
      <c r="F34" s="9">
        <f>5000000-500000-1000000</f>
        <v>3500000</v>
      </c>
      <c r="G34" s="9">
        <v>0</v>
      </c>
      <c r="H34" s="9">
        <v>0</v>
      </c>
      <c r="I34" s="9">
        <v>0</v>
      </c>
      <c r="J34" s="9">
        <f t="shared" si="5"/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f t="shared" si="0"/>
        <v>3500000</v>
      </c>
    </row>
    <row r="35" spans="1:16" ht="31.2">
      <c r="A35" s="37" t="s">
        <v>54</v>
      </c>
      <c r="B35" s="37" t="s">
        <v>55</v>
      </c>
      <c r="C35" s="37" t="s">
        <v>56</v>
      </c>
      <c r="D35" s="8" t="s">
        <v>57</v>
      </c>
      <c r="E35" s="9">
        <f t="shared" si="4"/>
        <v>15359700</v>
      </c>
      <c r="F35" s="9">
        <f>SUM(F36:F38)</f>
        <v>15359700</v>
      </c>
      <c r="G35" s="9">
        <f t="shared" ref="G35:I35" si="6">SUM(G36:G38)</f>
        <v>0</v>
      </c>
      <c r="H35" s="9">
        <f t="shared" si="6"/>
        <v>0</v>
      </c>
      <c r="I35" s="9">
        <f t="shared" si="6"/>
        <v>0</v>
      </c>
      <c r="J35" s="9">
        <f t="shared" si="5"/>
        <v>0</v>
      </c>
      <c r="K35" s="9">
        <f>SUM(K36:K38)</f>
        <v>0</v>
      </c>
      <c r="L35" s="9">
        <f t="shared" ref="L35:O35" si="7">SUM(L36:L38)</f>
        <v>0</v>
      </c>
      <c r="M35" s="9">
        <f t="shared" si="7"/>
        <v>0</v>
      </c>
      <c r="N35" s="9">
        <f t="shared" si="7"/>
        <v>0</v>
      </c>
      <c r="O35" s="9">
        <f t="shared" si="7"/>
        <v>0</v>
      </c>
      <c r="P35" s="9">
        <f t="shared" si="0"/>
        <v>15359700</v>
      </c>
    </row>
    <row r="36" spans="1:16" s="5" customFormat="1" ht="75.75" customHeight="1">
      <c r="A36" s="10"/>
      <c r="B36" s="10"/>
      <c r="C36" s="10"/>
      <c r="D36" s="1" t="s">
        <v>276</v>
      </c>
      <c r="E36" s="11">
        <f>F36+I36</f>
        <v>9950600</v>
      </c>
      <c r="F36" s="11">
        <f>3978400-73000+2000000-15600+1500000-29000+1900000+469800+220000</f>
        <v>9950600</v>
      </c>
      <c r="G36" s="11"/>
      <c r="H36" s="11"/>
      <c r="I36" s="11"/>
      <c r="J36" s="11">
        <f t="shared" si="5"/>
        <v>0</v>
      </c>
      <c r="K36" s="11"/>
      <c r="L36" s="11"/>
      <c r="M36" s="11"/>
      <c r="N36" s="11"/>
      <c r="O36" s="11"/>
      <c r="P36" s="11">
        <f t="shared" si="0"/>
        <v>9950600</v>
      </c>
    </row>
    <row r="37" spans="1:16" s="5" customFormat="1" ht="72.75" customHeight="1">
      <c r="A37" s="10"/>
      <c r="B37" s="10"/>
      <c r="C37" s="10"/>
      <c r="D37" s="1" t="s">
        <v>277</v>
      </c>
      <c r="E37" s="11">
        <f t="shared" ref="E37:E38" si="8">F37+I37</f>
        <v>1634200</v>
      </c>
      <c r="F37" s="11">
        <f>1888200-254000</f>
        <v>1634200</v>
      </c>
      <c r="G37" s="11"/>
      <c r="H37" s="11"/>
      <c r="I37" s="11"/>
      <c r="J37" s="11">
        <f t="shared" si="5"/>
        <v>0</v>
      </c>
      <c r="K37" s="11"/>
      <c r="L37" s="11"/>
      <c r="M37" s="11"/>
      <c r="N37" s="11"/>
      <c r="O37" s="11"/>
      <c r="P37" s="11">
        <f t="shared" si="0"/>
        <v>1634200</v>
      </c>
    </row>
    <row r="38" spans="1:16" s="5" customFormat="1" ht="57" customHeight="1">
      <c r="A38" s="10"/>
      <c r="B38" s="10"/>
      <c r="C38" s="10"/>
      <c r="D38" s="1" t="s">
        <v>278</v>
      </c>
      <c r="E38" s="11">
        <f t="shared" si="8"/>
        <v>3774900</v>
      </c>
      <c r="F38" s="11">
        <f>2274900+1500000</f>
        <v>3774900</v>
      </c>
      <c r="G38" s="11"/>
      <c r="H38" s="11"/>
      <c r="I38" s="11"/>
      <c r="J38" s="11">
        <f t="shared" si="5"/>
        <v>0</v>
      </c>
      <c r="K38" s="11"/>
      <c r="L38" s="11"/>
      <c r="M38" s="11"/>
      <c r="N38" s="11"/>
      <c r="O38" s="11"/>
      <c r="P38" s="11">
        <f t="shared" si="0"/>
        <v>3774900</v>
      </c>
    </row>
    <row r="39" spans="1:16" s="15" customFormat="1" ht="44.25" customHeight="1">
      <c r="A39" s="31" t="s">
        <v>409</v>
      </c>
      <c r="B39" s="31" t="s">
        <v>410</v>
      </c>
      <c r="C39" s="31" t="s">
        <v>255</v>
      </c>
      <c r="D39" s="8" t="s">
        <v>411</v>
      </c>
      <c r="E39" s="9">
        <f t="shared" si="4"/>
        <v>0</v>
      </c>
      <c r="F39" s="9"/>
      <c r="G39" s="9"/>
      <c r="H39" s="9"/>
      <c r="I39" s="9"/>
      <c r="J39" s="9">
        <f t="shared" si="5"/>
        <v>90000</v>
      </c>
      <c r="K39" s="9">
        <v>90000</v>
      </c>
      <c r="L39" s="9"/>
      <c r="M39" s="9"/>
      <c r="N39" s="9"/>
      <c r="O39" s="9">
        <v>90000</v>
      </c>
      <c r="P39" s="9">
        <f t="shared" si="0"/>
        <v>90000</v>
      </c>
    </row>
    <row r="40" spans="1:16" ht="53.25" customHeight="1">
      <c r="A40" s="31" t="s">
        <v>281</v>
      </c>
      <c r="B40" s="31" t="s">
        <v>254</v>
      </c>
      <c r="C40" s="31" t="s">
        <v>255</v>
      </c>
      <c r="D40" s="8" t="s">
        <v>256</v>
      </c>
      <c r="E40" s="9">
        <f t="shared" si="4"/>
        <v>0</v>
      </c>
      <c r="F40" s="9"/>
      <c r="G40" s="9"/>
      <c r="H40" s="9"/>
      <c r="I40" s="9"/>
      <c r="J40" s="9">
        <f t="shared" si="5"/>
        <v>283400</v>
      </c>
      <c r="K40" s="9">
        <f>7000000+340000-7000000-56600</f>
        <v>283400</v>
      </c>
      <c r="L40" s="9"/>
      <c r="M40" s="9"/>
      <c r="N40" s="9"/>
      <c r="O40" s="9">
        <f>7000000+340000-7000000-56600</f>
        <v>283400</v>
      </c>
      <c r="P40" s="9">
        <f t="shared" si="0"/>
        <v>283400</v>
      </c>
    </row>
    <row r="41" spans="1:16" ht="56.25" customHeight="1">
      <c r="A41" s="31" t="s">
        <v>393</v>
      </c>
      <c r="B41" s="31" t="s">
        <v>394</v>
      </c>
      <c r="C41" s="31" t="s">
        <v>255</v>
      </c>
      <c r="D41" s="8" t="s">
        <v>395</v>
      </c>
      <c r="E41" s="9">
        <f t="shared" si="4"/>
        <v>80000</v>
      </c>
      <c r="F41" s="9">
        <v>80000</v>
      </c>
      <c r="G41" s="9"/>
      <c r="H41" s="9"/>
      <c r="I41" s="9"/>
      <c r="J41" s="9">
        <f t="shared" si="5"/>
        <v>0</v>
      </c>
      <c r="K41" s="9">
        <f>7000000-80000-3000000-3920000</f>
        <v>0</v>
      </c>
      <c r="L41" s="9"/>
      <c r="M41" s="9"/>
      <c r="N41" s="9"/>
      <c r="O41" s="9">
        <f>7000000-80000-3000000-3920000</f>
        <v>0</v>
      </c>
      <c r="P41" s="9">
        <f t="shared" si="0"/>
        <v>80000</v>
      </c>
    </row>
    <row r="42" spans="1:16" ht="39" customHeight="1">
      <c r="A42" s="31" t="s">
        <v>282</v>
      </c>
      <c r="B42" s="31" t="s">
        <v>283</v>
      </c>
      <c r="C42" s="31" t="s">
        <v>285</v>
      </c>
      <c r="D42" s="8" t="s">
        <v>284</v>
      </c>
      <c r="E42" s="9">
        <f t="shared" si="4"/>
        <v>1601340</v>
      </c>
      <c r="F42" s="9">
        <f>SUM(F43:F49)</f>
        <v>1459340</v>
      </c>
      <c r="G42" s="9">
        <f t="shared" ref="G42:I42" si="9">SUM(G43:G49)</f>
        <v>0</v>
      </c>
      <c r="H42" s="9">
        <f t="shared" si="9"/>
        <v>0</v>
      </c>
      <c r="I42" s="9">
        <f t="shared" si="9"/>
        <v>142000</v>
      </c>
      <c r="J42" s="9">
        <f t="shared" si="5"/>
        <v>978600</v>
      </c>
      <c r="K42" s="9">
        <f>SUM(K43:K49)</f>
        <v>978600</v>
      </c>
      <c r="L42" s="9">
        <f t="shared" ref="L42:O42" si="10">SUM(L43:L49)</f>
        <v>0</v>
      </c>
      <c r="M42" s="9">
        <f t="shared" si="10"/>
        <v>0</v>
      </c>
      <c r="N42" s="9">
        <f t="shared" si="10"/>
        <v>0</v>
      </c>
      <c r="O42" s="9">
        <f t="shared" si="10"/>
        <v>978600</v>
      </c>
      <c r="P42" s="9">
        <f t="shared" si="0"/>
        <v>2579940</v>
      </c>
    </row>
    <row r="43" spans="1:16" ht="54.75" customHeight="1">
      <c r="A43" s="31"/>
      <c r="B43" s="31"/>
      <c r="C43" s="31"/>
      <c r="D43" s="1" t="s">
        <v>20</v>
      </c>
      <c r="E43" s="11">
        <f t="shared" si="4"/>
        <v>1296600</v>
      </c>
      <c r="F43" s="11">
        <f>1287300+89300-80000</f>
        <v>1296600</v>
      </c>
      <c r="G43" s="9"/>
      <c r="H43" s="9"/>
      <c r="I43" s="9"/>
      <c r="J43" s="9">
        <f>L43+O43</f>
        <v>391600</v>
      </c>
      <c r="K43" s="9">
        <f>191600+40180+159820</f>
        <v>391600</v>
      </c>
      <c r="L43" s="9"/>
      <c r="M43" s="9"/>
      <c r="N43" s="9"/>
      <c r="O43" s="9">
        <f>191600+40180+159820</f>
        <v>391600</v>
      </c>
      <c r="P43" s="11">
        <f t="shared" si="0"/>
        <v>1688200</v>
      </c>
    </row>
    <row r="44" spans="1:16" ht="74.25" customHeight="1">
      <c r="A44" s="31"/>
      <c r="B44" s="31"/>
      <c r="C44" s="31"/>
      <c r="D44" s="1" t="s">
        <v>276</v>
      </c>
      <c r="E44" s="11">
        <f t="shared" si="4"/>
        <v>10400</v>
      </c>
      <c r="F44" s="11">
        <v>10400</v>
      </c>
      <c r="G44" s="9"/>
      <c r="H44" s="9"/>
      <c r="I44" s="9"/>
      <c r="J44" s="9">
        <f>L44+O44</f>
        <v>29000</v>
      </c>
      <c r="K44" s="9">
        <v>29000</v>
      </c>
      <c r="L44" s="9"/>
      <c r="M44" s="9"/>
      <c r="N44" s="9"/>
      <c r="O44" s="9">
        <v>29000</v>
      </c>
      <c r="P44" s="11">
        <f t="shared" si="0"/>
        <v>39400</v>
      </c>
    </row>
    <row r="45" spans="1:16" ht="72" customHeight="1">
      <c r="A45" s="31"/>
      <c r="B45" s="31"/>
      <c r="C45" s="31"/>
      <c r="D45" s="1" t="s">
        <v>277</v>
      </c>
      <c r="E45" s="11">
        <f t="shared" si="4"/>
        <v>18800</v>
      </c>
      <c r="F45" s="11">
        <v>18800</v>
      </c>
      <c r="G45" s="9"/>
      <c r="H45" s="9"/>
      <c r="I45" s="9"/>
      <c r="J45" s="9"/>
      <c r="K45" s="9"/>
      <c r="L45" s="9"/>
      <c r="M45" s="9"/>
      <c r="N45" s="9"/>
      <c r="O45" s="9"/>
      <c r="P45" s="11">
        <f t="shared" si="0"/>
        <v>18800</v>
      </c>
    </row>
    <row r="46" spans="1:16" ht="72" customHeight="1">
      <c r="A46" s="31"/>
      <c r="B46" s="31"/>
      <c r="C46" s="31"/>
      <c r="D46" s="1" t="s">
        <v>278</v>
      </c>
      <c r="E46" s="11">
        <f t="shared" si="4"/>
        <v>10400</v>
      </c>
      <c r="F46" s="11">
        <v>10400</v>
      </c>
      <c r="G46" s="9"/>
      <c r="H46" s="9"/>
      <c r="I46" s="9"/>
      <c r="J46" s="9">
        <f t="shared" ref="J46:J50" si="11">L46+O46</f>
        <v>0</v>
      </c>
      <c r="K46" s="9"/>
      <c r="L46" s="9"/>
      <c r="M46" s="9"/>
      <c r="N46" s="9"/>
      <c r="O46" s="9"/>
      <c r="P46" s="11">
        <f t="shared" si="0"/>
        <v>10400</v>
      </c>
    </row>
    <row r="47" spans="1:16" ht="93" customHeight="1">
      <c r="A47" s="31"/>
      <c r="B47" s="31"/>
      <c r="C47" s="31"/>
      <c r="D47" s="1" t="s">
        <v>303</v>
      </c>
      <c r="E47" s="11">
        <f t="shared" si="4"/>
        <v>142000</v>
      </c>
      <c r="F47" s="11"/>
      <c r="G47" s="9"/>
      <c r="H47" s="9"/>
      <c r="I47" s="11">
        <f>145500-3500</f>
        <v>142000</v>
      </c>
      <c r="J47" s="9">
        <f t="shared" si="11"/>
        <v>0</v>
      </c>
      <c r="K47" s="9"/>
      <c r="L47" s="9"/>
      <c r="M47" s="9"/>
      <c r="N47" s="9"/>
      <c r="O47" s="9"/>
      <c r="P47" s="11">
        <f t="shared" si="0"/>
        <v>142000</v>
      </c>
    </row>
    <row r="48" spans="1:16" s="5" customFormat="1" ht="58.5" customHeight="1">
      <c r="A48" s="14"/>
      <c r="B48" s="14"/>
      <c r="C48" s="14"/>
      <c r="D48" s="1" t="s">
        <v>305</v>
      </c>
      <c r="E48" s="11"/>
      <c r="F48" s="11"/>
      <c r="G48" s="11"/>
      <c r="H48" s="11"/>
      <c r="I48" s="11"/>
      <c r="J48" s="9">
        <f t="shared" si="11"/>
        <v>534000</v>
      </c>
      <c r="K48" s="11">
        <v>534000</v>
      </c>
      <c r="L48" s="11"/>
      <c r="M48" s="11"/>
      <c r="N48" s="11"/>
      <c r="O48" s="11">
        <v>534000</v>
      </c>
      <c r="P48" s="11">
        <f t="shared" si="0"/>
        <v>534000</v>
      </c>
    </row>
    <row r="49" spans="1:16" ht="53.25" customHeight="1">
      <c r="A49" s="31"/>
      <c r="B49" s="31"/>
      <c r="C49" s="31"/>
      <c r="D49" s="1" t="s">
        <v>304</v>
      </c>
      <c r="E49" s="11">
        <f t="shared" si="4"/>
        <v>123140</v>
      </c>
      <c r="F49" s="11">
        <f>56900+39240+18000+9000</f>
        <v>123140</v>
      </c>
      <c r="G49" s="9"/>
      <c r="H49" s="9"/>
      <c r="I49" s="9"/>
      <c r="J49" s="9">
        <f t="shared" si="11"/>
        <v>24000</v>
      </c>
      <c r="K49" s="9">
        <v>24000</v>
      </c>
      <c r="L49" s="9"/>
      <c r="M49" s="9"/>
      <c r="N49" s="9"/>
      <c r="O49" s="9">
        <v>24000</v>
      </c>
      <c r="P49" s="11">
        <f t="shared" si="0"/>
        <v>147140</v>
      </c>
    </row>
    <row r="50" spans="1:16">
      <c r="A50" s="31" t="s">
        <v>333</v>
      </c>
      <c r="B50" s="31" t="s">
        <v>334</v>
      </c>
      <c r="C50" s="31" t="s">
        <v>335</v>
      </c>
      <c r="D50" s="8" t="s">
        <v>336</v>
      </c>
      <c r="E50" s="9">
        <f t="shared" si="4"/>
        <v>0</v>
      </c>
      <c r="F50" s="11"/>
      <c r="G50" s="9"/>
      <c r="H50" s="9"/>
      <c r="I50" s="9"/>
      <c r="J50" s="9">
        <f t="shared" si="11"/>
        <v>1500000</v>
      </c>
      <c r="K50" s="9">
        <f>1000000+500000</f>
        <v>1500000</v>
      </c>
      <c r="L50" s="9"/>
      <c r="M50" s="9"/>
      <c r="N50" s="9"/>
      <c r="O50" s="9">
        <f>1000000+500000</f>
        <v>1500000</v>
      </c>
      <c r="P50" s="9">
        <f>E50 + J50</f>
        <v>1500000</v>
      </c>
    </row>
    <row r="51" spans="1:16" ht="31.2">
      <c r="A51" s="37" t="s">
        <v>58</v>
      </c>
      <c r="B51" s="37" t="s">
        <v>59</v>
      </c>
      <c r="C51" s="37" t="s">
        <v>60</v>
      </c>
      <c r="D51" s="8" t="s">
        <v>61</v>
      </c>
      <c r="E51" s="9">
        <f>F51+I51</f>
        <v>180588</v>
      </c>
      <c r="F51" s="9">
        <f>112000-1400-12+70000</f>
        <v>180588</v>
      </c>
      <c r="G51" s="9">
        <v>0</v>
      </c>
      <c r="H51" s="9">
        <v>0</v>
      </c>
      <c r="I51" s="9">
        <v>0</v>
      </c>
      <c r="J51" s="9">
        <f>L51+O51</f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f>E51 + J51</f>
        <v>180588</v>
      </c>
    </row>
    <row r="52" spans="1:16" ht="152.25" customHeight="1">
      <c r="A52" s="31" t="s">
        <v>415</v>
      </c>
      <c r="B52" s="31" t="s">
        <v>370</v>
      </c>
      <c r="C52" s="31" t="s">
        <v>60</v>
      </c>
      <c r="D52" s="8" t="s">
        <v>371</v>
      </c>
      <c r="E52" s="9">
        <f t="shared" ref="E52" si="12">F52+I52</f>
        <v>0</v>
      </c>
      <c r="F52" s="9"/>
      <c r="G52" s="9"/>
      <c r="H52" s="9"/>
      <c r="I52" s="9"/>
      <c r="J52" s="9">
        <f t="shared" ref="J52" si="13">L52+O52</f>
        <v>2074155.22</v>
      </c>
      <c r="K52" s="9"/>
      <c r="L52" s="9"/>
      <c r="M52" s="9"/>
      <c r="N52" s="9"/>
      <c r="O52" s="9">
        <f>2082045-7889.78</f>
        <v>2074155.22</v>
      </c>
      <c r="P52" s="9">
        <f t="shared" ref="P52" si="14">E52 + J52</f>
        <v>2074155.22</v>
      </c>
    </row>
    <row r="53" spans="1:16" ht="46.8">
      <c r="A53" s="31" t="s">
        <v>286</v>
      </c>
      <c r="B53" s="31">
        <v>8110</v>
      </c>
      <c r="C53" s="31" t="s">
        <v>238</v>
      </c>
      <c r="D53" s="8" t="s">
        <v>239</v>
      </c>
      <c r="E53" s="9">
        <f>F53+I53</f>
        <v>259660</v>
      </c>
      <c r="F53" s="9">
        <f>SUM(F54:F56)</f>
        <v>259660</v>
      </c>
      <c r="G53" s="9"/>
      <c r="H53" s="9"/>
      <c r="I53" s="9"/>
      <c r="J53" s="9"/>
      <c r="K53" s="9"/>
      <c r="L53" s="9"/>
      <c r="M53" s="9"/>
      <c r="N53" s="9"/>
      <c r="O53" s="9"/>
      <c r="P53" s="9">
        <f>E53 + J53</f>
        <v>259660</v>
      </c>
    </row>
    <row r="54" spans="1:16" s="5" customFormat="1" ht="46.8">
      <c r="A54" s="14"/>
      <c r="B54" s="14"/>
      <c r="C54" s="14"/>
      <c r="D54" s="1" t="s">
        <v>20</v>
      </c>
      <c r="E54" s="11">
        <f t="shared" ref="E54:E55" si="15">F54+I54</f>
        <v>72000</v>
      </c>
      <c r="F54" s="11">
        <f>42000+30000</f>
        <v>72000</v>
      </c>
      <c r="G54" s="11"/>
      <c r="H54" s="11"/>
      <c r="I54" s="11"/>
      <c r="J54" s="11"/>
      <c r="K54" s="11"/>
      <c r="L54" s="11"/>
      <c r="M54" s="11"/>
      <c r="N54" s="11"/>
      <c r="O54" s="11"/>
      <c r="P54" s="11">
        <f t="shared" ref="P54:P56" si="16">E54 + J54</f>
        <v>72000</v>
      </c>
    </row>
    <row r="55" spans="1:16" s="5" customFormat="1" ht="62.4">
      <c r="A55" s="14"/>
      <c r="B55" s="14"/>
      <c r="C55" s="14"/>
      <c r="D55" s="1" t="s">
        <v>276</v>
      </c>
      <c r="E55" s="11">
        <f t="shared" si="15"/>
        <v>33000</v>
      </c>
      <c r="F55" s="11">
        <f>13000+20000</f>
        <v>33000</v>
      </c>
      <c r="G55" s="11"/>
      <c r="H55" s="11"/>
      <c r="I55" s="11"/>
      <c r="J55" s="11"/>
      <c r="K55" s="11"/>
      <c r="L55" s="11"/>
      <c r="M55" s="11"/>
      <c r="N55" s="11"/>
      <c r="O55" s="11"/>
      <c r="P55" s="11">
        <f t="shared" si="16"/>
        <v>33000</v>
      </c>
    </row>
    <row r="56" spans="1:16" s="5" customFormat="1" ht="62.4">
      <c r="A56" s="14"/>
      <c r="B56" s="14"/>
      <c r="C56" s="14"/>
      <c r="D56" s="1" t="s">
        <v>303</v>
      </c>
      <c r="E56" s="11">
        <f>F56+I56</f>
        <v>154660</v>
      </c>
      <c r="F56" s="11">
        <f>50000+107860-3200</f>
        <v>154660</v>
      </c>
      <c r="G56" s="11"/>
      <c r="H56" s="11"/>
      <c r="I56" s="11"/>
      <c r="J56" s="11"/>
      <c r="K56" s="11"/>
      <c r="L56" s="11"/>
      <c r="M56" s="11"/>
      <c r="N56" s="11"/>
      <c r="O56" s="11"/>
      <c r="P56" s="11">
        <f t="shared" si="16"/>
        <v>154660</v>
      </c>
    </row>
    <row r="57" spans="1:16" ht="31.2">
      <c r="A57" s="37" t="s">
        <v>62</v>
      </c>
      <c r="B57" s="37" t="s">
        <v>63</v>
      </c>
      <c r="C57" s="37" t="s">
        <v>64</v>
      </c>
      <c r="D57" s="8" t="s">
        <v>65</v>
      </c>
      <c r="E57" s="9">
        <f t="shared" si="4"/>
        <v>28020550</v>
      </c>
      <c r="F57" s="9">
        <f>24248400+2126950-39240+500000+488000-61000+1183400-18483-374477-33000</f>
        <v>28020550</v>
      </c>
      <c r="G57" s="9">
        <f>17626300+3877000+2126950+500000+488000+1183400-63000</f>
        <v>25738650</v>
      </c>
      <c r="H57" s="9">
        <f>53200+9300</f>
        <v>62500</v>
      </c>
      <c r="I57" s="9">
        <v>0</v>
      </c>
      <c r="J57" s="9">
        <f t="shared" si="5"/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f t="shared" si="0"/>
        <v>28020550</v>
      </c>
    </row>
    <row r="58" spans="1:16" ht="31.2">
      <c r="A58" s="37" t="s">
        <v>66</v>
      </c>
      <c r="B58" s="37" t="s">
        <v>67</v>
      </c>
      <c r="C58" s="37" t="s">
        <v>64</v>
      </c>
      <c r="D58" s="8" t="s">
        <v>68</v>
      </c>
      <c r="E58" s="9">
        <f t="shared" si="4"/>
        <v>233347</v>
      </c>
      <c r="F58" s="9">
        <f>2103400-20000-1000000-450000-400053</f>
        <v>233347</v>
      </c>
      <c r="G58" s="9">
        <v>0</v>
      </c>
      <c r="H58" s="9">
        <v>0</v>
      </c>
      <c r="I58" s="9">
        <v>0</v>
      </c>
      <c r="J58" s="9">
        <f t="shared" si="5"/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f t="shared" si="0"/>
        <v>233347</v>
      </c>
    </row>
    <row r="59" spans="1:16" ht="31.2">
      <c r="A59" s="37" t="s">
        <v>69</v>
      </c>
      <c r="B59" s="37" t="s">
        <v>70</v>
      </c>
      <c r="C59" s="37" t="s">
        <v>64</v>
      </c>
      <c r="D59" s="8" t="s">
        <v>71</v>
      </c>
      <c r="E59" s="9">
        <f t="shared" si="4"/>
        <v>4202677</v>
      </c>
      <c r="F59" s="9">
        <f>2673200+173800+604700+376500+374477</f>
        <v>4202677</v>
      </c>
      <c r="G59" s="9">
        <v>0</v>
      </c>
      <c r="H59" s="9">
        <v>0</v>
      </c>
      <c r="I59" s="9">
        <v>0</v>
      </c>
      <c r="J59" s="9">
        <f t="shared" si="5"/>
        <v>1040623</v>
      </c>
      <c r="K59" s="9">
        <f>514000+307000+201140+18483</f>
        <v>1040623</v>
      </c>
      <c r="L59" s="9">
        <v>0</v>
      </c>
      <c r="M59" s="9">
        <v>0</v>
      </c>
      <c r="N59" s="9">
        <v>0</v>
      </c>
      <c r="O59" s="9">
        <f>514000+307000+201140+18483</f>
        <v>1040623</v>
      </c>
      <c r="P59" s="9">
        <f t="shared" si="0"/>
        <v>5243300</v>
      </c>
    </row>
    <row r="60" spans="1:16" ht="31.2">
      <c r="A60" s="31" t="s">
        <v>343</v>
      </c>
      <c r="B60" s="37">
        <v>8240</v>
      </c>
      <c r="C60" s="31" t="s">
        <v>64</v>
      </c>
      <c r="D60" s="8" t="s">
        <v>260</v>
      </c>
      <c r="E60" s="9">
        <f t="shared" si="4"/>
        <v>1465698</v>
      </c>
      <c r="F60" s="9">
        <f>22800+500000+107500+385398+450000</f>
        <v>1465698</v>
      </c>
      <c r="G60" s="9"/>
      <c r="H60" s="9"/>
      <c r="I60" s="9"/>
      <c r="J60" s="9">
        <f t="shared" si="5"/>
        <v>56700</v>
      </c>
      <c r="K60" s="9">
        <f>200500-22800-121000</f>
        <v>56700</v>
      </c>
      <c r="L60" s="9"/>
      <c r="M60" s="9"/>
      <c r="N60" s="9"/>
      <c r="O60" s="9">
        <f>200500-22800-121000</f>
        <v>56700</v>
      </c>
      <c r="P60" s="9">
        <f t="shared" si="0"/>
        <v>1522398</v>
      </c>
    </row>
    <row r="61" spans="1:16" ht="31.2">
      <c r="A61" s="31" t="s">
        <v>275</v>
      </c>
      <c r="B61" s="37">
        <v>8340</v>
      </c>
      <c r="C61" s="37" t="s">
        <v>273</v>
      </c>
      <c r="D61" s="8" t="s">
        <v>274</v>
      </c>
      <c r="E61" s="9">
        <f t="shared" si="4"/>
        <v>0</v>
      </c>
      <c r="F61" s="9"/>
      <c r="G61" s="9"/>
      <c r="H61" s="9"/>
      <c r="I61" s="9"/>
      <c r="J61" s="9">
        <f t="shared" si="5"/>
        <v>437600</v>
      </c>
      <c r="K61" s="9"/>
      <c r="L61" s="9">
        <f>900000-130000-100000-262400</f>
        <v>407600</v>
      </c>
      <c r="M61" s="9"/>
      <c r="N61" s="9"/>
      <c r="O61" s="9">
        <f>30000+100000-100000</f>
        <v>30000</v>
      </c>
      <c r="P61" s="9">
        <f t="shared" si="0"/>
        <v>437600</v>
      </c>
    </row>
    <row r="62" spans="1:16" ht="46.8">
      <c r="A62" s="6" t="s">
        <v>72</v>
      </c>
      <c r="B62" s="6" t="s">
        <v>19</v>
      </c>
      <c r="C62" s="6" t="s">
        <v>19</v>
      </c>
      <c r="D62" s="7" t="s">
        <v>73</v>
      </c>
      <c r="E62" s="30">
        <f>F62+I62</f>
        <v>488965919.25</v>
      </c>
      <c r="F62" s="30">
        <f>F63</f>
        <v>488965919.25</v>
      </c>
      <c r="G62" s="30">
        <f>G63</f>
        <v>373326436.37</v>
      </c>
      <c r="H62" s="30">
        <f>H63</f>
        <v>35967225.68</v>
      </c>
      <c r="I62" s="30">
        <f>I63</f>
        <v>0</v>
      </c>
      <c r="J62" s="30">
        <f>L62+O62</f>
        <v>45699291.93</v>
      </c>
      <c r="K62" s="30">
        <f>K63</f>
        <v>21037791.93</v>
      </c>
      <c r="L62" s="30">
        <f t="shared" ref="L62:O62" si="17">L63</f>
        <v>24661500</v>
      </c>
      <c r="M62" s="30">
        <f t="shared" si="17"/>
        <v>0</v>
      </c>
      <c r="N62" s="30">
        <f t="shared" si="17"/>
        <v>0</v>
      </c>
      <c r="O62" s="30">
        <f t="shared" si="17"/>
        <v>21037791.93</v>
      </c>
      <c r="P62" s="30">
        <f t="shared" si="0"/>
        <v>534665211.18000001</v>
      </c>
    </row>
    <row r="63" spans="1:16" ht="46.8">
      <c r="A63" s="6" t="s">
        <v>74</v>
      </c>
      <c r="B63" s="6" t="s">
        <v>19</v>
      </c>
      <c r="C63" s="6" t="s">
        <v>19</v>
      </c>
      <c r="D63" s="7" t="s">
        <v>73</v>
      </c>
      <c r="E63" s="30">
        <f>F63+I63</f>
        <v>488965919.25</v>
      </c>
      <c r="F63" s="30">
        <f>SUM(F64:F93)-F70-F71</f>
        <v>488965919.25</v>
      </c>
      <c r="G63" s="30">
        <f>SUM(G64:G93)-G70-G71</f>
        <v>373326436.37</v>
      </c>
      <c r="H63" s="30">
        <f>SUM(H64:H93)-H70-H71</f>
        <v>35967225.68</v>
      </c>
      <c r="I63" s="30">
        <f>SUM(I64:I93)-I70-I71</f>
        <v>0</v>
      </c>
      <c r="J63" s="30">
        <f>L63+O63</f>
        <v>45699291.93</v>
      </c>
      <c r="K63" s="30">
        <f>SUM(K64:K93)-K70-K71</f>
        <v>21037791.93</v>
      </c>
      <c r="L63" s="30">
        <f>SUM(L64:L93)-L70-L71</f>
        <v>24661500</v>
      </c>
      <c r="M63" s="30">
        <f>SUM(M64:M93)-M70-M71</f>
        <v>0</v>
      </c>
      <c r="N63" s="30">
        <f>SUM(N64:N93)-N70-N71</f>
        <v>0</v>
      </c>
      <c r="O63" s="30">
        <f>SUM(O64:O93)-O70-O71</f>
        <v>21037791.93</v>
      </c>
      <c r="P63" s="30">
        <f>E63 + J63</f>
        <v>534665211.18000001</v>
      </c>
    </row>
    <row r="64" spans="1:16" ht="55.5" customHeight="1">
      <c r="A64" s="37" t="s">
        <v>75</v>
      </c>
      <c r="B64" s="37" t="s">
        <v>76</v>
      </c>
      <c r="C64" s="37" t="s">
        <v>24</v>
      </c>
      <c r="D64" s="8" t="s">
        <v>77</v>
      </c>
      <c r="E64" s="9">
        <f>F64+I64</f>
        <v>6484725.8799999999</v>
      </c>
      <c r="F64" s="9">
        <f>5954600+51300+400000+202000-865-122309.12</f>
        <v>6484725.8799999999</v>
      </c>
      <c r="G64" s="9">
        <f>4429700+974500+400000+202000+3000</f>
        <v>6009200</v>
      </c>
      <c r="H64" s="9">
        <f>222100+10400+210000+8800+51300-865-99804</f>
        <v>401931</v>
      </c>
      <c r="I64" s="9">
        <v>0</v>
      </c>
      <c r="J64" s="9">
        <f>L64+O64</f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f t="shared" si="0"/>
        <v>6484725.8799999999</v>
      </c>
    </row>
    <row r="65" spans="1:16" ht="22.5" customHeight="1">
      <c r="A65" s="37" t="s">
        <v>78</v>
      </c>
      <c r="B65" s="37" t="s">
        <v>79</v>
      </c>
      <c r="C65" s="37" t="s">
        <v>80</v>
      </c>
      <c r="D65" s="8" t="s">
        <v>81</v>
      </c>
      <c r="E65" s="9">
        <f t="shared" ref="E65:E92" si="18">F65+I65</f>
        <v>94515127</v>
      </c>
      <c r="F65" s="9">
        <f>101843700+145980+130000+3240500-1041260-2405300-2231800-1838375+259500-295784-2315000+800000-1300000-600000+77243+113350-67627</f>
        <v>94515127</v>
      </c>
      <c r="G65" s="9">
        <f>65000000+14300000-1041260-3225300-1838375-295784-1870000-600000+430000</f>
        <v>70859281</v>
      </c>
      <c r="H65" s="9">
        <f>8000000+660000+3656100+157600+320000+600000+77243-63680-8970-137056</f>
        <v>13261237</v>
      </c>
      <c r="I65" s="9">
        <v>0</v>
      </c>
      <c r="J65" s="9">
        <f t="shared" ref="J65:J93" si="19">L65+O65</f>
        <v>10587690</v>
      </c>
      <c r="K65" s="9">
        <f>1073037+700000+577000-260000-889997</f>
        <v>1200040</v>
      </c>
      <c r="L65" s="9">
        <v>9387650</v>
      </c>
      <c r="M65" s="9">
        <v>0</v>
      </c>
      <c r="N65" s="9">
        <v>0</v>
      </c>
      <c r="O65" s="9">
        <f>1073037+700000+577000-260000-889997</f>
        <v>1200040</v>
      </c>
      <c r="P65" s="9">
        <f t="shared" si="0"/>
        <v>105102817</v>
      </c>
    </row>
    <row r="66" spans="1:16" ht="60.75" customHeight="1">
      <c r="A66" s="37" t="s">
        <v>82</v>
      </c>
      <c r="B66" s="37" t="s">
        <v>83</v>
      </c>
      <c r="C66" s="37" t="s">
        <v>84</v>
      </c>
      <c r="D66" s="8" t="s">
        <v>85</v>
      </c>
      <c r="E66" s="9">
        <f t="shared" si="18"/>
        <v>112272132.37</v>
      </c>
      <c r="F66" s="9">
        <f>95351700+432180+146000+6788200+800000-2841388-492900-90000+457000+1284980+4822420-635800-167200-77243+2094746.37+4399437</f>
        <v>112272132.37</v>
      </c>
      <c r="G66" s="9">
        <f>38229200+8410300+4822420+2107599.37+6032000</f>
        <v>59601519.369999997</v>
      </c>
      <c r="H66" s="9">
        <f>10200000+608000+4800000+900000+675000+1200000-77243-240000-156440-773208</f>
        <v>17136109</v>
      </c>
      <c r="I66" s="9">
        <v>0</v>
      </c>
      <c r="J66" s="9">
        <f t="shared" si="19"/>
        <v>6139275.6100000003</v>
      </c>
      <c r="K66" s="9">
        <f>1800000+800000-200000-546750+1009000+2173375+610000+73549-92000+304412.61</f>
        <v>5931586.6100000003</v>
      </c>
      <c r="L66" s="9">
        <v>207689</v>
      </c>
      <c r="M66" s="9">
        <v>0</v>
      </c>
      <c r="N66" s="9">
        <v>0</v>
      </c>
      <c r="O66" s="9">
        <f>1800000+800000-200000-546750+1009000+2173375+610000+73549-92000+304412.61</f>
        <v>5931586.6100000003</v>
      </c>
      <c r="P66" s="9">
        <f t="shared" si="0"/>
        <v>118411407.98</v>
      </c>
    </row>
    <row r="67" spans="1:16" ht="109.5" customHeight="1">
      <c r="A67" s="37" t="s">
        <v>86</v>
      </c>
      <c r="B67" s="37" t="s">
        <v>87</v>
      </c>
      <c r="C67" s="37" t="s">
        <v>88</v>
      </c>
      <c r="D67" s="8" t="s">
        <v>89</v>
      </c>
      <c r="E67" s="9">
        <f t="shared" si="18"/>
        <v>14739788</v>
      </c>
      <c r="F67" s="9">
        <f>14574000+13000+837400+51000+4000-624700-700000+9524+261870+313694</f>
        <v>14739788</v>
      </c>
      <c r="G67" s="9">
        <f>7769100+1735200-700000+825000</f>
        <v>9629300</v>
      </c>
      <c r="H67" s="9">
        <f>871200+80500+661100+37300+51700+9524-1130-29744</f>
        <v>1680450</v>
      </c>
      <c r="I67" s="9">
        <v>0</v>
      </c>
      <c r="J67" s="9">
        <f t="shared" si="19"/>
        <v>684069</v>
      </c>
      <c r="K67" s="9">
        <f>9100-31+45000+630000</f>
        <v>684069</v>
      </c>
      <c r="L67" s="9">
        <v>0</v>
      </c>
      <c r="M67" s="9">
        <v>0</v>
      </c>
      <c r="N67" s="9">
        <v>0</v>
      </c>
      <c r="O67" s="9">
        <f>9100-31+45000+630000</f>
        <v>684069</v>
      </c>
      <c r="P67" s="9">
        <f t="shared" si="0"/>
        <v>15423857</v>
      </c>
    </row>
    <row r="68" spans="1:16" s="15" customFormat="1" ht="53.25" customHeight="1">
      <c r="A68" s="37" t="s">
        <v>90</v>
      </c>
      <c r="B68" s="37" t="s">
        <v>91</v>
      </c>
      <c r="C68" s="37" t="s">
        <v>84</v>
      </c>
      <c r="D68" s="8" t="s">
        <v>92</v>
      </c>
      <c r="E68" s="9">
        <f t="shared" si="18"/>
        <v>141649486</v>
      </c>
      <c r="F68" s="9">
        <f>F70+F71</f>
        <v>141649486</v>
      </c>
      <c r="G68" s="9">
        <f>G70+G71</f>
        <v>141649486</v>
      </c>
      <c r="H68" s="9">
        <v>0</v>
      </c>
      <c r="I68" s="9">
        <v>0</v>
      </c>
      <c r="J68" s="9">
        <f t="shared" si="19"/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f t="shared" si="0"/>
        <v>141649486</v>
      </c>
    </row>
    <row r="69" spans="1:16" s="26" customFormat="1">
      <c r="A69" s="10"/>
      <c r="B69" s="10"/>
      <c r="C69" s="10"/>
      <c r="D69" s="1" t="s">
        <v>361</v>
      </c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</row>
    <row r="70" spans="1:16" s="26" customFormat="1" ht="31.2">
      <c r="A70" s="10"/>
      <c r="B70" s="10"/>
      <c r="C70" s="10"/>
      <c r="D70" s="1" t="s">
        <v>362</v>
      </c>
      <c r="E70" s="11">
        <f t="shared" ref="E70:E71" si="20">F70+I70</f>
        <v>141296600</v>
      </c>
      <c r="F70" s="11">
        <f>92366200+46250400+2400000+280000</f>
        <v>141296600</v>
      </c>
      <c r="G70" s="11">
        <f>92366200+46250400+2400000+280000</f>
        <v>141296600</v>
      </c>
      <c r="H70" s="11"/>
      <c r="I70" s="11"/>
      <c r="J70" s="11"/>
      <c r="K70" s="11"/>
      <c r="L70" s="11"/>
      <c r="M70" s="11"/>
      <c r="N70" s="11"/>
      <c r="O70" s="11"/>
      <c r="P70" s="11">
        <f t="shared" si="0"/>
        <v>141296600</v>
      </c>
    </row>
    <row r="71" spans="1:16" s="26" customFormat="1" ht="31.2">
      <c r="A71" s="10"/>
      <c r="B71" s="10"/>
      <c r="C71" s="10"/>
      <c r="D71" s="1" t="s">
        <v>363</v>
      </c>
      <c r="E71" s="11">
        <f t="shared" si="20"/>
        <v>352886</v>
      </c>
      <c r="F71" s="11">
        <f>282574+70312</f>
        <v>352886</v>
      </c>
      <c r="G71" s="11">
        <f>282574+70312</f>
        <v>352886</v>
      </c>
      <c r="H71" s="11"/>
      <c r="I71" s="11"/>
      <c r="J71" s="11"/>
      <c r="K71" s="11"/>
      <c r="L71" s="11"/>
      <c r="M71" s="11"/>
      <c r="N71" s="11"/>
      <c r="O71" s="11"/>
      <c r="P71" s="11">
        <f t="shared" si="0"/>
        <v>352886</v>
      </c>
    </row>
    <row r="72" spans="1:16" s="15" customFormat="1" ht="107.25" customHeight="1">
      <c r="A72" s="37" t="s">
        <v>93</v>
      </c>
      <c r="B72" s="37" t="s">
        <v>94</v>
      </c>
      <c r="C72" s="37" t="s">
        <v>88</v>
      </c>
      <c r="D72" s="8" t="s">
        <v>95</v>
      </c>
      <c r="E72" s="9">
        <f t="shared" si="18"/>
        <v>13104200</v>
      </c>
      <c r="F72" s="9">
        <f>10645300+5138900-2400000-280000</f>
        <v>13104200</v>
      </c>
      <c r="G72" s="9">
        <f>10645300+5138900-2400000-280000</f>
        <v>13104200</v>
      </c>
      <c r="H72" s="9">
        <v>0</v>
      </c>
      <c r="I72" s="9">
        <v>0</v>
      </c>
      <c r="J72" s="9">
        <f t="shared" si="19"/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f t="shared" si="0"/>
        <v>13104200</v>
      </c>
    </row>
    <row r="73" spans="1:16" ht="57" customHeight="1">
      <c r="A73" s="37" t="s">
        <v>96</v>
      </c>
      <c r="B73" s="37" t="s">
        <v>97</v>
      </c>
      <c r="C73" s="37" t="s">
        <v>98</v>
      </c>
      <c r="D73" s="8" t="s">
        <v>99</v>
      </c>
      <c r="E73" s="9">
        <f t="shared" si="18"/>
        <v>22359853</v>
      </c>
      <c r="F73" s="9">
        <f>22476900+13050+16000+793500+100000-38800-1000000-978+181</f>
        <v>22359853</v>
      </c>
      <c r="G73" s="9">
        <f>15583500+3428400-1000000+590000</f>
        <v>18601900</v>
      </c>
      <c r="H73" s="9">
        <f>217600+352800+674300+79100-978-71220</f>
        <v>1251602</v>
      </c>
      <c r="I73" s="9">
        <v>0</v>
      </c>
      <c r="J73" s="9">
        <f t="shared" si="19"/>
        <v>192843</v>
      </c>
      <c r="K73" s="9">
        <f>4000-517</f>
        <v>3483</v>
      </c>
      <c r="L73" s="9">
        <v>189360</v>
      </c>
      <c r="M73" s="9">
        <v>0</v>
      </c>
      <c r="N73" s="9">
        <v>0</v>
      </c>
      <c r="O73" s="9">
        <f>4000-517</f>
        <v>3483</v>
      </c>
      <c r="P73" s="9">
        <f t="shared" si="0"/>
        <v>22552696</v>
      </c>
    </row>
    <row r="74" spans="1:16" ht="48.75" customHeight="1">
      <c r="A74" s="37" t="s">
        <v>100</v>
      </c>
      <c r="B74" s="37" t="s">
        <v>101</v>
      </c>
      <c r="C74" s="37" t="s">
        <v>102</v>
      </c>
      <c r="D74" s="8" t="s">
        <v>103</v>
      </c>
      <c r="E74" s="9">
        <f t="shared" si="18"/>
        <v>18000</v>
      </c>
      <c r="F74" s="9">
        <f>15000+30000-27000</f>
        <v>18000</v>
      </c>
      <c r="G74" s="9">
        <v>0</v>
      </c>
      <c r="H74" s="9">
        <v>0</v>
      </c>
      <c r="I74" s="9">
        <v>0</v>
      </c>
      <c r="J74" s="9">
        <f t="shared" si="19"/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f t="shared" si="0"/>
        <v>18000</v>
      </c>
    </row>
    <row r="75" spans="1:16" ht="41.25" customHeight="1">
      <c r="A75" s="37" t="s">
        <v>104</v>
      </c>
      <c r="B75" s="37" t="s">
        <v>105</v>
      </c>
      <c r="C75" s="37" t="s">
        <v>106</v>
      </c>
      <c r="D75" s="8" t="s">
        <v>107</v>
      </c>
      <c r="E75" s="9">
        <f t="shared" si="18"/>
        <v>24652873</v>
      </c>
      <c r="F75" s="9">
        <f>27706400+25000+70000-5973000-300000+65000-137000+1160100-9524-29880+2075777</f>
        <v>24652873</v>
      </c>
      <c r="G75" s="9">
        <f>13803000+3036500+1160100+1400000</f>
        <v>19399600</v>
      </c>
      <c r="H75" s="9">
        <f>605500+60000+850000+111400-137000-9524-5880-24000-215323</f>
        <v>1235173</v>
      </c>
      <c r="I75" s="9"/>
      <c r="J75" s="9">
        <f t="shared" si="19"/>
        <v>3733001</v>
      </c>
      <c r="K75" s="9">
        <f>3750000-17000</f>
        <v>3733000</v>
      </c>
      <c r="L75" s="9">
        <v>1</v>
      </c>
      <c r="M75" s="9">
        <v>0</v>
      </c>
      <c r="N75" s="9">
        <v>0</v>
      </c>
      <c r="O75" s="9">
        <f>3750000-17000</f>
        <v>3733000</v>
      </c>
      <c r="P75" s="9">
        <f t="shared" si="0"/>
        <v>28385874</v>
      </c>
    </row>
    <row r="76" spans="1:16" ht="60" customHeight="1">
      <c r="A76" s="37" t="s">
        <v>108</v>
      </c>
      <c r="B76" s="37" t="s">
        <v>109</v>
      </c>
      <c r="C76" s="37" t="s">
        <v>106</v>
      </c>
      <c r="D76" s="8" t="s">
        <v>110</v>
      </c>
      <c r="E76" s="9">
        <f t="shared" si="18"/>
        <v>711515</v>
      </c>
      <c r="F76" s="9">
        <f>703000+100000+6000+100000-100000-97485</f>
        <v>711515</v>
      </c>
      <c r="G76" s="9">
        <f>349500+76200-100000-55000</f>
        <v>270700</v>
      </c>
      <c r="H76" s="9">
        <f>50000+6500+58900+7900-7485</f>
        <v>115815</v>
      </c>
      <c r="I76" s="9">
        <v>0</v>
      </c>
      <c r="J76" s="9">
        <f t="shared" si="19"/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f t="shared" si="0"/>
        <v>711515</v>
      </c>
    </row>
    <row r="77" spans="1:16" s="15" customFormat="1" ht="62.25" customHeight="1">
      <c r="A77" s="31" t="s">
        <v>344</v>
      </c>
      <c r="B77" s="37">
        <v>1152</v>
      </c>
      <c r="C77" s="37" t="s">
        <v>106</v>
      </c>
      <c r="D77" s="8" t="s">
        <v>345</v>
      </c>
      <c r="E77" s="9">
        <f t="shared" si="18"/>
        <v>2782950</v>
      </c>
      <c r="F77" s="9">
        <f>1387870+507390+887690</f>
        <v>2782950</v>
      </c>
      <c r="G77" s="9">
        <f>1387870+507390+887690</f>
        <v>2782950</v>
      </c>
      <c r="H77" s="9"/>
      <c r="I77" s="9"/>
      <c r="J77" s="9"/>
      <c r="K77" s="9"/>
      <c r="L77" s="9"/>
      <c r="M77" s="9"/>
      <c r="N77" s="9"/>
      <c r="O77" s="9"/>
      <c r="P77" s="9">
        <f t="shared" si="0"/>
        <v>2782950</v>
      </c>
    </row>
    <row r="78" spans="1:16" ht="60" customHeight="1">
      <c r="A78" s="37" t="s">
        <v>111</v>
      </c>
      <c r="B78" s="37" t="s">
        <v>112</v>
      </c>
      <c r="C78" s="37" t="s">
        <v>106</v>
      </c>
      <c r="D78" s="8" t="s">
        <v>113</v>
      </c>
      <c r="E78" s="9">
        <f t="shared" si="18"/>
        <v>4507894</v>
      </c>
      <c r="F78" s="9">
        <f>4125500+145600+800000+2800+25000-700169+109163</f>
        <v>4507894</v>
      </c>
      <c r="G78" s="9">
        <f>3167900+696900+25000+256000</f>
        <v>4145800</v>
      </c>
      <c r="H78" s="9">
        <f>18400+4300+15700+1800-169-1337</f>
        <v>38694</v>
      </c>
      <c r="I78" s="9">
        <v>0</v>
      </c>
      <c r="J78" s="9">
        <f t="shared" si="19"/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f t="shared" si="0"/>
        <v>4507894</v>
      </c>
    </row>
    <row r="79" spans="1:16" ht="143.25" customHeight="1">
      <c r="A79" s="31" t="s">
        <v>346</v>
      </c>
      <c r="B79" s="31" t="s">
        <v>351</v>
      </c>
      <c r="C79" s="31" t="s">
        <v>106</v>
      </c>
      <c r="D79" s="8" t="s">
        <v>356</v>
      </c>
      <c r="E79" s="9">
        <f t="shared" si="18"/>
        <v>0</v>
      </c>
      <c r="F79" s="9"/>
      <c r="G79" s="9"/>
      <c r="H79" s="9"/>
      <c r="I79" s="9"/>
      <c r="J79" s="9">
        <f t="shared" si="19"/>
        <v>1291800</v>
      </c>
      <c r="K79" s="9">
        <f>1304329-12529</f>
        <v>1291800</v>
      </c>
      <c r="L79" s="9"/>
      <c r="M79" s="9"/>
      <c r="N79" s="9"/>
      <c r="O79" s="9">
        <f>1304329-12529</f>
        <v>1291800</v>
      </c>
      <c r="P79" s="9">
        <f t="shared" si="0"/>
        <v>1291800</v>
      </c>
    </row>
    <row r="80" spans="1:16" ht="137.25" customHeight="1">
      <c r="A80" s="31" t="s">
        <v>347</v>
      </c>
      <c r="B80" s="31" t="s">
        <v>352</v>
      </c>
      <c r="C80" s="31" t="s">
        <v>106</v>
      </c>
      <c r="D80" s="8" t="s">
        <v>357</v>
      </c>
      <c r="E80" s="9">
        <f t="shared" si="18"/>
        <v>0</v>
      </c>
      <c r="F80" s="9"/>
      <c r="G80" s="9"/>
      <c r="H80" s="9"/>
      <c r="I80" s="9"/>
      <c r="J80" s="9">
        <f t="shared" si="19"/>
        <v>3043200</v>
      </c>
      <c r="K80" s="9">
        <v>3043200</v>
      </c>
      <c r="L80" s="9"/>
      <c r="M80" s="9"/>
      <c r="N80" s="9"/>
      <c r="O80" s="9">
        <v>3043200</v>
      </c>
      <c r="P80" s="9">
        <f t="shared" si="0"/>
        <v>3043200</v>
      </c>
    </row>
    <row r="81" spans="1:16" ht="125.25" customHeight="1">
      <c r="A81" s="31" t="s">
        <v>348</v>
      </c>
      <c r="B81" s="31" t="s">
        <v>353</v>
      </c>
      <c r="C81" s="31" t="s">
        <v>106</v>
      </c>
      <c r="D81" s="8" t="s">
        <v>358</v>
      </c>
      <c r="E81" s="9">
        <f t="shared" si="18"/>
        <v>330900</v>
      </c>
      <c r="F81" s="9">
        <v>330900</v>
      </c>
      <c r="G81" s="9"/>
      <c r="H81" s="9"/>
      <c r="I81" s="9"/>
      <c r="J81" s="9">
        <f t="shared" si="19"/>
        <v>0</v>
      </c>
      <c r="K81" s="9"/>
      <c r="L81" s="9"/>
      <c r="M81" s="9"/>
      <c r="N81" s="9"/>
      <c r="O81" s="9"/>
      <c r="P81" s="9">
        <f t="shared" si="0"/>
        <v>330900</v>
      </c>
    </row>
    <row r="82" spans="1:16" ht="93.6">
      <c r="A82" s="31" t="s">
        <v>423</v>
      </c>
      <c r="B82" s="31" t="s">
        <v>424</v>
      </c>
      <c r="C82" s="31" t="s">
        <v>106</v>
      </c>
      <c r="D82" s="8" t="s">
        <v>425</v>
      </c>
      <c r="E82" s="35">
        <f t="shared" si="18"/>
        <v>0</v>
      </c>
      <c r="F82" s="35"/>
      <c r="G82" s="35"/>
      <c r="H82" s="35"/>
      <c r="I82" s="35"/>
      <c r="J82" s="35">
        <f t="shared" si="19"/>
        <v>4508100</v>
      </c>
      <c r="K82" s="35"/>
      <c r="L82" s="35">
        <v>4508100</v>
      </c>
      <c r="M82" s="35"/>
      <c r="N82" s="35"/>
      <c r="O82" s="35"/>
      <c r="P82" s="35">
        <f t="shared" si="0"/>
        <v>4508100</v>
      </c>
    </row>
    <row r="83" spans="1:16" ht="88.5" customHeight="1">
      <c r="A83" s="31" t="s">
        <v>402</v>
      </c>
      <c r="B83" s="31" t="s">
        <v>403</v>
      </c>
      <c r="C83" s="31" t="s">
        <v>106</v>
      </c>
      <c r="D83" s="8" t="s">
        <v>404</v>
      </c>
      <c r="E83" s="9">
        <f t="shared" si="18"/>
        <v>0</v>
      </c>
      <c r="F83" s="9"/>
      <c r="G83" s="9"/>
      <c r="H83" s="9"/>
      <c r="I83" s="9"/>
      <c r="J83" s="9">
        <f t="shared" si="19"/>
        <v>964613.8</v>
      </c>
      <c r="K83" s="9">
        <f>1400000-400000-35386.2</f>
        <v>964613.8</v>
      </c>
      <c r="L83" s="9"/>
      <c r="M83" s="9"/>
      <c r="N83" s="9"/>
      <c r="O83" s="9">
        <f>1400000-400000-35386.2</f>
        <v>964613.8</v>
      </c>
      <c r="P83" s="9">
        <f t="shared" si="0"/>
        <v>964613.8</v>
      </c>
    </row>
    <row r="84" spans="1:16" ht="88.5" customHeight="1">
      <c r="A84" s="31" t="s">
        <v>349</v>
      </c>
      <c r="B84" s="31" t="s">
        <v>354</v>
      </c>
      <c r="C84" s="31" t="s">
        <v>106</v>
      </c>
      <c r="D84" s="8" t="s">
        <v>359</v>
      </c>
      <c r="E84" s="9">
        <f t="shared" si="18"/>
        <v>0</v>
      </c>
      <c r="F84" s="9"/>
      <c r="G84" s="9"/>
      <c r="H84" s="9"/>
      <c r="I84" s="9"/>
      <c r="J84" s="9">
        <f t="shared" si="19"/>
        <v>7220800</v>
      </c>
      <c r="K84" s="9"/>
      <c r="L84" s="9">
        <v>7220800</v>
      </c>
      <c r="M84" s="9"/>
      <c r="N84" s="9"/>
      <c r="O84" s="9"/>
      <c r="P84" s="9">
        <f t="shared" si="0"/>
        <v>7220800</v>
      </c>
    </row>
    <row r="85" spans="1:16" ht="140.4">
      <c r="A85" s="31" t="s">
        <v>426</v>
      </c>
      <c r="B85" s="31" t="s">
        <v>427</v>
      </c>
      <c r="C85" s="31" t="s">
        <v>106</v>
      </c>
      <c r="D85" s="8" t="s">
        <v>428</v>
      </c>
      <c r="E85" s="35">
        <f t="shared" si="18"/>
        <v>0</v>
      </c>
      <c r="F85" s="35"/>
      <c r="G85" s="35"/>
      <c r="H85" s="35"/>
      <c r="I85" s="35"/>
      <c r="J85" s="35">
        <f t="shared" si="19"/>
        <v>254500</v>
      </c>
      <c r="K85" s="35"/>
      <c r="L85" s="35">
        <v>254500</v>
      </c>
      <c r="M85" s="35"/>
      <c r="N85" s="35"/>
      <c r="O85" s="35"/>
      <c r="P85" s="35">
        <f t="shared" si="0"/>
        <v>254500</v>
      </c>
    </row>
    <row r="86" spans="1:16" ht="90" customHeight="1">
      <c r="A86" s="31" t="s">
        <v>350</v>
      </c>
      <c r="B86" s="31" t="s">
        <v>355</v>
      </c>
      <c r="C86" s="31" t="s">
        <v>106</v>
      </c>
      <c r="D86" s="8" t="s">
        <v>360</v>
      </c>
      <c r="E86" s="9">
        <f t="shared" si="18"/>
        <v>17981800</v>
      </c>
      <c r="F86" s="9">
        <f>7051000+781800+10149000</f>
        <v>17981800</v>
      </c>
      <c r="G86" s="9">
        <f>7051000+781800+10149000</f>
        <v>17981800</v>
      </c>
      <c r="H86" s="9"/>
      <c r="I86" s="9"/>
      <c r="J86" s="9">
        <f t="shared" si="19"/>
        <v>0</v>
      </c>
      <c r="K86" s="9"/>
      <c r="L86" s="9"/>
      <c r="M86" s="9"/>
      <c r="N86" s="9"/>
      <c r="O86" s="9"/>
      <c r="P86" s="9">
        <f t="shared" si="0"/>
        <v>17981800</v>
      </c>
    </row>
    <row r="87" spans="1:16" s="34" customFormat="1" ht="96.75" customHeight="1">
      <c r="A87" s="31" t="s">
        <v>429</v>
      </c>
      <c r="B87" s="37">
        <v>1700</v>
      </c>
      <c r="C87" s="37" t="s">
        <v>106</v>
      </c>
      <c r="D87" s="33" t="s">
        <v>430</v>
      </c>
      <c r="E87" s="35">
        <f t="shared" si="18"/>
        <v>0</v>
      </c>
      <c r="F87" s="36"/>
      <c r="G87" s="36"/>
      <c r="H87" s="36"/>
      <c r="I87" s="36"/>
      <c r="J87" s="36">
        <f>L87+O87</f>
        <v>2893400</v>
      </c>
      <c r="K87" s="36"/>
      <c r="L87" s="36">
        <f>1446700+1446700</f>
        <v>2893400</v>
      </c>
      <c r="M87" s="36"/>
      <c r="N87" s="36"/>
      <c r="O87" s="36"/>
      <c r="P87" s="36">
        <f t="shared" ref="P87:P88" si="21">E87+J87</f>
        <v>2893400</v>
      </c>
    </row>
    <row r="88" spans="1:16" s="34" customFormat="1" ht="68.25" customHeight="1">
      <c r="A88" s="31" t="s">
        <v>433</v>
      </c>
      <c r="B88" s="37">
        <v>1702</v>
      </c>
      <c r="C88" s="37" t="s">
        <v>106</v>
      </c>
      <c r="D88" s="33" t="s">
        <v>434</v>
      </c>
      <c r="E88" s="35">
        <v>12957600</v>
      </c>
      <c r="F88" s="36">
        <v>12957600</v>
      </c>
      <c r="G88" s="36"/>
      <c r="H88" s="36"/>
      <c r="I88" s="36"/>
      <c r="J88" s="36">
        <f>L88+O88</f>
        <v>0</v>
      </c>
      <c r="K88" s="36"/>
      <c r="L88" s="36"/>
      <c r="M88" s="36"/>
      <c r="N88" s="36"/>
      <c r="O88" s="36"/>
      <c r="P88" s="36">
        <f t="shared" si="21"/>
        <v>12957600</v>
      </c>
    </row>
    <row r="89" spans="1:16" ht="100.5" customHeight="1">
      <c r="A89" s="37" t="s">
        <v>114</v>
      </c>
      <c r="B89" s="37" t="s">
        <v>115</v>
      </c>
      <c r="C89" s="37" t="s">
        <v>116</v>
      </c>
      <c r="D89" s="8" t="s">
        <v>117</v>
      </c>
      <c r="E89" s="9">
        <f t="shared" si="18"/>
        <v>2184645.3199999998</v>
      </c>
      <c r="F89" s="9">
        <f>4638400-500000-1152400-630000-66834.68-104520</f>
        <v>2184645.3199999998</v>
      </c>
      <c r="G89" s="9">
        <v>0</v>
      </c>
      <c r="H89" s="9">
        <v>0</v>
      </c>
      <c r="I89" s="9">
        <v>0</v>
      </c>
      <c r="J89" s="9">
        <f t="shared" si="19"/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f t="shared" si="0"/>
        <v>2184645.3199999998</v>
      </c>
    </row>
    <row r="90" spans="1:16" ht="37.5" customHeight="1">
      <c r="A90" s="37" t="s">
        <v>118</v>
      </c>
      <c r="B90" s="37" t="s">
        <v>51</v>
      </c>
      <c r="C90" s="37" t="s">
        <v>52</v>
      </c>
      <c r="D90" s="8" t="s">
        <v>53</v>
      </c>
      <c r="E90" s="9">
        <f t="shared" si="18"/>
        <v>3512500</v>
      </c>
      <c r="F90" s="9">
        <f>4101000-588500</f>
        <v>3512500</v>
      </c>
      <c r="G90" s="9">
        <v>0</v>
      </c>
      <c r="H90" s="9">
        <v>0</v>
      </c>
      <c r="I90" s="9">
        <v>0</v>
      </c>
      <c r="J90" s="9">
        <f t="shared" si="19"/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f t="shared" si="0"/>
        <v>3512500</v>
      </c>
    </row>
    <row r="91" spans="1:16" ht="74.25" customHeight="1">
      <c r="A91" s="37" t="s">
        <v>119</v>
      </c>
      <c r="B91" s="37" t="s">
        <v>120</v>
      </c>
      <c r="C91" s="37" t="s">
        <v>121</v>
      </c>
      <c r="D91" s="8" t="s">
        <v>340</v>
      </c>
      <c r="E91" s="9">
        <f t="shared" si="18"/>
        <v>11919314.68</v>
      </c>
      <c r="F91" s="9">
        <f>12646800+12000+473000+248000-310000+500000-176300-65302.32-1800000-1475+392592</f>
        <v>11919314.68</v>
      </c>
      <c r="G91" s="9">
        <f>8709600+1916100-1800000+465000</f>
        <v>9290700</v>
      </c>
      <c r="H91" s="9">
        <f>657600+21600+127000+14900+33997.68-1475-7408</f>
        <v>846214.68</v>
      </c>
      <c r="I91" s="9">
        <v>0</v>
      </c>
      <c r="J91" s="9">
        <f t="shared" si="19"/>
        <v>477270</v>
      </c>
      <c r="K91" s="9">
        <f>310000+444270+92000+500000-869000</f>
        <v>477270</v>
      </c>
      <c r="L91" s="9">
        <v>0</v>
      </c>
      <c r="M91" s="9">
        <v>0</v>
      </c>
      <c r="N91" s="9">
        <v>0</v>
      </c>
      <c r="O91" s="9">
        <f>310000+444270+92000+500000-869000</f>
        <v>477270</v>
      </c>
      <c r="P91" s="9">
        <f t="shared" ref="P91:P154" si="22">E91 + J91</f>
        <v>12396584.68</v>
      </c>
    </row>
    <row r="92" spans="1:16" ht="35.25" customHeight="1">
      <c r="A92" s="31" t="s">
        <v>288</v>
      </c>
      <c r="B92" s="31" t="s">
        <v>283</v>
      </c>
      <c r="C92" s="31" t="s">
        <v>285</v>
      </c>
      <c r="D92" s="8" t="s">
        <v>284</v>
      </c>
      <c r="E92" s="9">
        <f t="shared" si="18"/>
        <v>1153000</v>
      </c>
      <c r="F92" s="9">
        <f>500000+600000+173000-120000</f>
        <v>1153000</v>
      </c>
      <c r="G92" s="9"/>
      <c r="H92" s="9"/>
      <c r="I92" s="9"/>
      <c r="J92" s="9">
        <f t="shared" si="19"/>
        <v>0</v>
      </c>
      <c r="K92" s="9"/>
      <c r="L92" s="9"/>
      <c r="M92" s="9"/>
      <c r="N92" s="9"/>
      <c r="O92" s="9"/>
      <c r="P92" s="9">
        <f t="shared" si="22"/>
        <v>1153000</v>
      </c>
    </row>
    <row r="93" spans="1:16" ht="54.75" customHeight="1">
      <c r="A93" s="31" t="s">
        <v>289</v>
      </c>
      <c r="B93" s="31">
        <v>8110</v>
      </c>
      <c r="C93" s="31" t="s">
        <v>238</v>
      </c>
      <c r="D93" s="8" t="s">
        <v>239</v>
      </c>
      <c r="E93" s="9">
        <f>F93+I93</f>
        <v>1127615</v>
      </c>
      <c r="F93" s="9">
        <f>780000+20000-208385+371000+165000</f>
        <v>1127615</v>
      </c>
      <c r="G93" s="9"/>
      <c r="H93" s="9"/>
      <c r="I93" s="9"/>
      <c r="J93" s="9">
        <f t="shared" si="19"/>
        <v>3708729.5199999996</v>
      </c>
      <c r="K93" s="9">
        <f>200000+6894650+200000-37590-211300+780000-130000+295784+1820000-6099362.19-3452.29</f>
        <v>3708729.5199999996</v>
      </c>
      <c r="L93" s="9"/>
      <c r="M93" s="9"/>
      <c r="N93" s="9"/>
      <c r="O93" s="9">
        <f>200000+6894650+200000-37590-211300+780000-130000+295784+1820000-6099362.19-3452.29</f>
        <v>3708729.5199999996</v>
      </c>
      <c r="P93" s="9">
        <f>E93 + J93</f>
        <v>4836344.5199999996</v>
      </c>
    </row>
    <row r="94" spans="1:16" ht="58.5" customHeight="1">
      <c r="A94" s="6" t="s">
        <v>122</v>
      </c>
      <c r="B94" s="6" t="s">
        <v>19</v>
      </c>
      <c r="C94" s="6" t="s">
        <v>19</v>
      </c>
      <c r="D94" s="7" t="s">
        <v>123</v>
      </c>
      <c r="E94" s="30">
        <f>F94+I94</f>
        <v>113339947.87</v>
      </c>
      <c r="F94" s="30">
        <f>F95</f>
        <v>113339947.87</v>
      </c>
      <c r="G94" s="30">
        <f>G95</f>
        <v>47627042.870000005</v>
      </c>
      <c r="H94" s="30">
        <f>H95</f>
        <v>1477200</v>
      </c>
      <c r="I94" s="30">
        <f>I95</f>
        <v>0</v>
      </c>
      <c r="J94" s="30">
        <f>L94+O94</f>
        <v>7822299</v>
      </c>
      <c r="K94" s="30">
        <f>K95</f>
        <v>7640299</v>
      </c>
      <c r="L94" s="30">
        <f t="shared" ref="L94:O94" si="23">L95</f>
        <v>57000</v>
      </c>
      <c r="M94" s="30">
        <f t="shared" si="23"/>
        <v>0</v>
      </c>
      <c r="N94" s="30">
        <f t="shared" si="23"/>
        <v>0</v>
      </c>
      <c r="O94" s="30">
        <f t="shared" si="23"/>
        <v>7765299</v>
      </c>
      <c r="P94" s="30">
        <f t="shared" si="22"/>
        <v>121162246.87</v>
      </c>
    </row>
    <row r="95" spans="1:16" ht="60.75" customHeight="1">
      <c r="A95" s="6" t="s">
        <v>124</v>
      </c>
      <c r="B95" s="6" t="s">
        <v>19</v>
      </c>
      <c r="C95" s="6" t="s">
        <v>19</v>
      </c>
      <c r="D95" s="7" t="s">
        <v>123</v>
      </c>
      <c r="E95" s="30">
        <f>F95+I95</f>
        <v>113339947.87</v>
      </c>
      <c r="F95" s="30">
        <f>SUM(F96:F114)</f>
        <v>113339947.87</v>
      </c>
      <c r="G95" s="30">
        <f t="shared" ref="G95:O95" si="24">SUM(G96:G114)</f>
        <v>47627042.870000005</v>
      </c>
      <c r="H95" s="30">
        <f t="shared" si="24"/>
        <v>1477200</v>
      </c>
      <c r="I95" s="30">
        <f t="shared" si="24"/>
        <v>0</v>
      </c>
      <c r="J95" s="30">
        <f>L95+O95</f>
        <v>7822299</v>
      </c>
      <c r="K95" s="30">
        <f t="shared" si="24"/>
        <v>7640299</v>
      </c>
      <c r="L95" s="30">
        <f t="shared" si="24"/>
        <v>57000</v>
      </c>
      <c r="M95" s="30">
        <f t="shared" si="24"/>
        <v>0</v>
      </c>
      <c r="N95" s="30">
        <f t="shared" si="24"/>
        <v>0</v>
      </c>
      <c r="O95" s="30">
        <f t="shared" si="24"/>
        <v>7765299</v>
      </c>
      <c r="P95" s="30">
        <f t="shared" si="22"/>
        <v>121162246.87</v>
      </c>
    </row>
    <row r="96" spans="1:16" ht="69.75" customHeight="1">
      <c r="A96" s="37" t="s">
        <v>125</v>
      </c>
      <c r="B96" s="37" t="s">
        <v>76</v>
      </c>
      <c r="C96" s="37" t="s">
        <v>24</v>
      </c>
      <c r="D96" s="8" t="s">
        <v>77</v>
      </c>
      <c r="E96" s="9">
        <f>F96+I96</f>
        <v>22512700</v>
      </c>
      <c r="F96" s="9">
        <v>22512700</v>
      </c>
      <c r="G96" s="9">
        <f>17437500+3836200</f>
        <v>21273700</v>
      </c>
      <c r="H96" s="9">
        <f>500000+20000+300000</f>
        <v>820000</v>
      </c>
      <c r="I96" s="9">
        <v>0</v>
      </c>
      <c r="J96" s="9">
        <f>L96+O96</f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f t="shared" si="22"/>
        <v>22512700</v>
      </c>
    </row>
    <row r="97" spans="1:16" ht="42.75" customHeight="1">
      <c r="A97" s="37" t="s">
        <v>126</v>
      </c>
      <c r="B97" s="37" t="s">
        <v>31</v>
      </c>
      <c r="C97" s="37" t="s">
        <v>32</v>
      </c>
      <c r="D97" s="8" t="s">
        <v>33</v>
      </c>
      <c r="E97" s="9">
        <f t="shared" ref="E97:E159" si="25">F97+I97</f>
        <v>155200</v>
      </c>
      <c r="F97" s="9">
        <f>50000+55000+50200</f>
        <v>155200</v>
      </c>
      <c r="G97" s="9">
        <v>0</v>
      </c>
      <c r="H97" s="9">
        <v>0</v>
      </c>
      <c r="I97" s="9">
        <v>0</v>
      </c>
      <c r="J97" s="9">
        <f t="shared" ref="J97:J194" si="26">L97+O97</f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f t="shared" si="22"/>
        <v>155200</v>
      </c>
    </row>
    <row r="98" spans="1:16" ht="46.8">
      <c r="A98" s="37" t="s">
        <v>127</v>
      </c>
      <c r="B98" s="37" t="s">
        <v>128</v>
      </c>
      <c r="C98" s="37" t="s">
        <v>129</v>
      </c>
      <c r="D98" s="8" t="s">
        <v>130</v>
      </c>
      <c r="E98" s="9">
        <f t="shared" si="25"/>
        <v>1726000</v>
      </c>
      <c r="F98" s="9">
        <f>3161000-246000-1000000-189000</f>
        <v>1726000</v>
      </c>
      <c r="G98" s="9">
        <v>0</v>
      </c>
      <c r="H98" s="9">
        <v>0</v>
      </c>
      <c r="I98" s="9">
        <v>0</v>
      </c>
      <c r="J98" s="9">
        <f t="shared" si="26"/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f t="shared" si="22"/>
        <v>1726000</v>
      </c>
    </row>
    <row r="99" spans="1:16" ht="37.5" customHeight="1">
      <c r="A99" s="37" t="s">
        <v>131</v>
      </c>
      <c r="B99" s="37" t="s">
        <v>132</v>
      </c>
      <c r="C99" s="37" t="s">
        <v>97</v>
      </c>
      <c r="D99" s="8" t="s">
        <v>133</v>
      </c>
      <c r="E99" s="9">
        <f t="shared" si="25"/>
        <v>5000</v>
      </c>
      <c r="F99" s="9">
        <v>5000</v>
      </c>
      <c r="G99" s="9">
        <v>0</v>
      </c>
      <c r="H99" s="9">
        <v>0</v>
      </c>
      <c r="I99" s="9">
        <v>0</v>
      </c>
      <c r="J99" s="9">
        <f t="shared" si="26"/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f t="shared" si="22"/>
        <v>5000</v>
      </c>
    </row>
    <row r="100" spans="1:16" s="15" customFormat="1" ht="57" customHeight="1">
      <c r="A100" s="37" t="s">
        <v>134</v>
      </c>
      <c r="B100" s="37" t="s">
        <v>135</v>
      </c>
      <c r="C100" s="37" t="s">
        <v>97</v>
      </c>
      <c r="D100" s="8" t="s">
        <v>136</v>
      </c>
      <c r="E100" s="9">
        <f t="shared" si="25"/>
        <v>444119</v>
      </c>
      <c r="F100" s="9">
        <v>444119</v>
      </c>
      <c r="G100" s="9">
        <v>0</v>
      </c>
      <c r="H100" s="9">
        <v>0</v>
      </c>
      <c r="I100" s="9">
        <v>0</v>
      </c>
      <c r="J100" s="9">
        <f t="shared" si="26"/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f t="shared" si="22"/>
        <v>444119</v>
      </c>
    </row>
    <row r="101" spans="1:16" s="15" customFormat="1" ht="57" customHeight="1">
      <c r="A101" s="37" t="s">
        <v>137</v>
      </c>
      <c r="B101" s="37" t="s">
        <v>138</v>
      </c>
      <c r="C101" s="37" t="s">
        <v>129</v>
      </c>
      <c r="D101" s="8" t="s">
        <v>139</v>
      </c>
      <c r="E101" s="9">
        <f t="shared" si="25"/>
        <v>139516</v>
      </c>
      <c r="F101" s="9">
        <f>83516+56000</f>
        <v>139516</v>
      </c>
      <c r="G101" s="9">
        <v>0</v>
      </c>
      <c r="H101" s="9">
        <v>0</v>
      </c>
      <c r="I101" s="9">
        <v>0</v>
      </c>
      <c r="J101" s="9">
        <f t="shared" si="26"/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f t="shared" si="22"/>
        <v>139516</v>
      </c>
    </row>
    <row r="102" spans="1:16" ht="84.75" customHeight="1">
      <c r="A102" s="37" t="s">
        <v>140</v>
      </c>
      <c r="B102" s="37" t="s">
        <v>141</v>
      </c>
      <c r="C102" s="37" t="s">
        <v>142</v>
      </c>
      <c r="D102" s="8" t="s">
        <v>143</v>
      </c>
      <c r="E102" s="9">
        <f t="shared" si="25"/>
        <v>18475774.870000001</v>
      </c>
      <c r="F102" s="9">
        <f>17480300+1200000+175474.87-380000</f>
        <v>18475774.870000001</v>
      </c>
      <c r="G102" s="9">
        <f>13304500+2932600+1200000+175474.87-380000</f>
        <v>17232574.870000001</v>
      </c>
      <c r="H102" s="9">
        <f>190000+6000+140000</f>
        <v>336000</v>
      </c>
      <c r="I102" s="9">
        <v>0</v>
      </c>
      <c r="J102" s="9">
        <f t="shared" si="26"/>
        <v>182000</v>
      </c>
      <c r="K102" s="9">
        <v>0</v>
      </c>
      <c r="L102" s="9">
        <v>57000</v>
      </c>
      <c r="M102" s="9">
        <v>0</v>
      </c>
      <c r="N102" s="9">
        <v>0</v>
      </c>
      <c r="O102" s="9">
        <v>125000</v>
      </c>
      <c r="P102" s="9">
        <f t="shared" si="22"/>
        <v>18657774.870000001</v>
      </c>
    </row>
    <row r="103" spans="1:16" ht="126.75" customHeight="1">
      <c r="A103" s="37" t="s">
        <v>144</v>
      </c>
      <c r="B103" s="37" t="s">
        <v>145</v>
      </c>
      <c r="C103" s="37" t="s">
        <v>116</v>
      </c>
      <c r="D103" s="8" t="s">
        <v>338</v>
      </c>
      <c r="E103" s="9">
        <f t="shared" si="25"/>
        <v>10922500</v>
      </c>
      <c r="F103" s="9">
        <f>9208500+93000+98000+894700+35000+347300+246000</f>
        <v>10922500</v>
      </c>
      <c r="G103" s="9">
        <f>6040000+1344700+334650+517300+246000</f>
        <v>8482650</v>
      </c>
      <c r="H103" s="9">
        <f>123600+18800+178800</f>
        <v>321200</v>
      </c>
      <c r="I103" s="9">
        <v>0</v>
      </c>
      <c r="J103" s="9">
        <f t="shared" si="26"/>
        <v>991625</v>
      </c>
      <c r="K103" s="9">
        <v>991625</v>
      </c>
      <c r="L103" s="9">
        <v>0</v>
      </c>
      <c r="M103" s="9">
        <v>0</v>
      </c>
      <c r="N103" s="9">
        <v>0</v>
      </c>
      <c r="O103" s="9">
        <v>991625</v>
      </c>
      <c r="P103" s="9">
        <f t="shared" si="22"/>
        <v>11914125</v>
      </c>
    </row>
    <row r="104" spans="1:16" ht="44.25" customHeight="1">
      <c r="A104" s="37" t="s">
        <v>146</v>
      </c>
      <c r="B104" s="37" t="s">
        <v>147</v>
      </c>
      <c r="C104" s="37" t="s">
        <v>116</v>
      </c>
      <c r="D104" s="8" t="s">
        <v>148</v>
      </c>
      <c r="E104" s="9">
        <f t="shared" si="25"/>
        <v>353500</v>
      </c>
      <c r="F104" s="9">
        <f>707500-55000-200000-99000</f>
        <v>353500</v>
      </c>
      <c r="G104" s="9">
        <v>0</v>
      </c>
      <c r="H104" s="9">
        <v>0</v>
      </c>
      <c r="I104" s="9">
        <v>0</v>
      </c>
      <c r="J104" s="9">
        <f t="shared" si="26"/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f t="shared" si="22"/>
        <v>353500</v>
      </c>
    </row>
    <row r="105" spans="1:16" ht="106.95" hidden="1" customHeight="1">
      <c r="A105" s="31" t="s">
        <v>290</v>
      </c>
      <c r="B105" s="37" t="s">
        <v>115</v>
      </c>
      <c r="C105" s="37" t="s">
        <v>116</v>
      </c>
      <c r="D105" s="8" t="s">
        <v>117</v>
      </c>
      <c r="E105" s="9">
        <f t="shared" si="25"/>
        <v>0</v>
      </c>
      <c r="F105" s="9">
        <f>200000+1000000-287300-912700</f>
        <v>0</v>
      </c>
      <c r="G105" s="9">
        <v>0</v>
      </c>
      <c r="H105" s="9">
        <v>0</v>
      </c>
      <c r="I105" s="9">
        <v>0</v>
      </c>
      <c r="J105" s="9">
        <f t="shared" si="26"/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f t="shared" si="22"/>
        <v>0</v>
      </c>
    </row>
    <row r="106" spans="1:16" ht="121.5" customHeight="1">
      <c r="A106" s="37" t="s">
        <v>149</v>
      </c>
      <c r="B106" s="37" t="s">
        <v>150</v>
      </c>
      <c r="C106" s="37" t="s">
        <v>79</v>
      </c>
      <c r="D106" s="8" t="s">
        <v>151</v>
      </c>
      <c r="E106" s="9">
        <f t="shared" si="25"/>
        <v>2236000</v>
      </c>
      <c r="F106" s="9">
        <f>3300000-350000-700000-14000</f>
        <v>2236000</v>
      </c>
      <c r="G106" s="9">
        <v>0</v>
      </c>
      <c r="H106" s="9">
        <v>0</v>
      </c>
      <c r="I106" s="9">
        <v>0</v>
      </c>
      <c r="J106" s="9">
        <f t="shared" si="26"/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f t="shared" si="22"/>
        <v>2236000</v>
      </c>
    </row>
    <row r="107" spans="1:16" s="15" customFormat="1" ht="86.25" customHeight="1">
      <c r="A107" s="37" t="s">
        <v>152</v>
      </c>
      <c r="B107" s="37" t="s">
        <v>153</v>
      </c>
      <c r="C107" s="37" t="s">
        <v>79</v>
      </c>
      <c r="D107" s="8" t="s">
        <v>154</v>
      </c>
      <c r="E107" s="9">
        <f t="shared" si="25"/>
        <v>28720</v>
      </c>
      <c r="F107" s="9">
        <v>28720</v>
      </c>
      <c r="G107" s="9">
        <v>0</v>
      </c>
      <c r="H107" s="9">
        <v>0</v>
      </c>
      <c r="I107" s="9">
        <v>0</v>
      </c>
      <c r="J107" s="9">
        <f t="shared" si="26"/>
        <v>0</v>
      </c>
      <c r="K107" s="9">
        <v>0</v>
      </c>
      <c r="L107" s="9">
        <v>0</v>
      </c>
      <c r="M107" s="9">
        <v>0</v>
      </c>
      <c r="N107" s="9">
        <v>0</v>
      </c>
      <c r="O107" s="9">
        <v>0</v>
      </c>
      <c r="P107" s="9">
        <f t="shared" si="22"/>
        <v>28720</v>
      </c>
    </row>
    <row r="108" spans="1:16" ht="93.6">
      <c r="A108" s="37" t="s">
        <v>155</v>
      </c>
      <c r="B108" s="37" t="s">
        <v>156</v>
      </c>
      <c r="C108" s="37" t="s">
        <v>157</v>
      </c>
      <c r="D108" s="8" t="s">
        <v>158</v>
      </c>
      <c r="E108" s="9">
        <f t="shared" si="25"/>
        <v>760000</v>
      </c>
      <c r="F108" s="9">
        <f>1000000-240000</f>
        <v>760000</v>
      </c>
      <c r="G108" s="9">
        <v>0</v>
      </c>
      <c r="H108" s="9">
        <v>0</v>
      </c>
      <c r="I108" s="9">
        <v>0</v>
      </c>
      <c r="J108" s="9">
        <f t="shared" si="26"/>
        <v>0</v>
      </c>
      <c r="K108" s="9">
        <v>0</v>
      </c>
      <c r="L108" s="9">
        <v>0</v>
      </c>
      <c r="M108" s="9">
        <v>0</v>
      </c>
      <c r="N108" s="9">
        <v>0</v>
      </c>
      <c r="O108" s="9">
        <v>0</v>
      </c>
      <c r="P108" s="9">
        <f t="shared" si="22"/>
        <v>760000</v>
      </c>
    </row>
    <row r="109" spans="1:16" ht="74.25" customHeight="1">
      <c r="A109" s="37" t="s">
        <v>159</v>
      </c>
      <c r="B109" s="37" t="s">
        <v>160</v>
      </c>
      <c r="C109" s="37" t="s">
        <v>129</v>
      </c>
      <c r="D109" s="8" t="s">
        <v>161</v>
      </c>
      <c r="E109" s="9">
        <f t="shared" si="25"/>
        <v>71000</v>
      </c>
      <c r="F109" s="9">
        <v>71000</v>
      </c>
      <c r="G109" s="9">
        <v>0</v>
      </c>
      <c r="H109" s="9">
        <v>0</v>
      </c>
      <c r="I109" s="9">
        <v>0</v>
      </c>
      <c r="J109" s="9">
        <f t="shared" si="26"/>
        <v>0</v>
      </c>
      <c r="K109" s="9">
        <v>0</v>
      </c>
      <c r="L109" s="9">
        <v>0</v>
      </c>
      <c r="M109" s="9">
        <v>0</v>
      </c>
      <c r="N109" s="9">
        <v>0</v>
      </c>
      <c r="O109" s="9">
        <v>0</v>
      </c>
      <c r="P109" s="9">
        <f t="shared" si="22"/>
        <v>71000</v>
      </c>
    </row>
    <row r="110" spans="1:16" ht="100.5" customHeight="1">
      <c r="A110" s="31" t="s">
        <v>389</v>
      </c>
      <c r="B110" s="37">
        <v>3193</v>
      </c>
      <c r="C110" s="37">
        <v>1030</v>
      </c>
      <c r="D110" s="8" t="s">
        <v>388</v>
      </c>
      <c r="E110" s="9">
        <f t="shared" si="25"/>
        <v>638118</v>
      </c>
      <c r="F110" s="9">
        <f>604618+33500</f>
        <v>638118</v>
      </c>
      <c r="G110" s="9">
        <f>604618+33500</f>
        <v>638118</v>
      </c>
      <c r="H110" s="9"/>
      <c r="I110" s="9"/>
      <c r="J110" s="9">
        <f t="shared" si="26"/>
        <v>0</v>
      </c>
      <c r="K110" s="9"/>
      <c r="L110" s="9"/>
      <c r="M110" s="9"/>
      <c r="N110" s="9"/>
      <c r="O110" s="9"/>
      <c r="P110" s="9">
        <f t="shared" si="22"/>
        <v>638118</v>
      </c>
    </row>
    <row r="111" spans="1:16" s="15" customFormat="1" ht="409.6">
      <c r="A111" s="31" t="s">
        <v>412</v>
      </c>
      <c r="B111" s="37">
        <v>3225</v>
      </c>
      <c r="C111" s="37">
        <v>1060</v>
      </c>
      <c r="D111" s="8" t="s">
        <v>413</v>
      </c>
      <c r="E111" s="9">
        <f t="shared" si="25"/>
        <v>0</v>
      </c>
      <c r="F111" s="9"/>
      <c r="G111" s="9"/>
      <c r="H111" s="9"/>
      <c r="I111" s="9"/>
      <c r="J111" s="9">
        <f t="shared" si="26"/>
        <v>6648674</v>
      </c>
      <c r="K111" s="9">
        <v>6648674</v>
      </c>
      <c r="L111" s="9"/>
      <c r="M111" s="9"/>
      <c r="N111" s="9"/>
      <c r="O111" s="9">
        <v>6648674</v>
      </c>
      <c r="P111" s="9">
        <f t="shared" si="22"/>
        <v>6648674</v>
      </c>
    </row>
    <row r="112" spans="1:16" ht="72.75" customHeight="1">
      <c r="A112" s="37" t="s">
        <v>162</v>
      </c>
      <c r="B112" s="37" t="s">
        <v>163</v>
      </c>
      <c r="C112" s="37" t="s">
        <v>97</v>
      </c>
      <c r="D112" s="8" t="s">
        <v>164</v>
      </c>
      <c r="E112" s="9">
        <f t="shared" si="25"/>
        <v>371600</v>
      </c>
      <c r="F112" s="9">
        <f>497600+200000-326000</f>
        <v>371600</v>
      </c>
      <c r="G112" s="9">
        <v>0</v>
      </c>
      <c r="H112" s="9">
        <v>0</v>
      </c>
      <c r="I112" s="9">
        <v>0</v>
      </c>
      <c r="J112" s="9">
        <f t="shared" si="26"/>
        <v>0</v>
      </c>
      <c r="K112" s="9">
        <v>0</v>
      </c>
      <c r="L112" s="9">
        <v>0</v>
      </c>
      <c r="M112" s="9">
        <v>0</v>
      </c>
      <c r="N112" s="9">
        <v>0</v>
      </c>
      <c r="O112" s="9">
        <v>0</v>
      </c>
      <c r="P112" s="9">
        <f t="shared" si="22"/>
        <v>371600</v>
      </c>
    </row>
    <row r="113" spans="1:16" ht="41.25" customHeight="1">
      <c r="A113" s="37" t="s">
        <v>165</v>
      </c>
      <c r="B113" s="37" t="s">
        <v>51</v>
      </c>
      <c r="C113" s="37" t="s">
        <v>52</v>
      </c>
      <c r="D113" s="8" t="s">
        <v>53</v>
      </c>
      <c r="E113" s="9">
        <f t="shared" si="25"/>
        <v>54116400</v>
      </c>
      <c r="F113" s="9">
        <f>57048400-35000000+1000000+35000000-1000000+600000+1000000+100000-3000000-1632000</f>
        <v>54116400</v>
      </c>
      <c r="G113" s="9">
        <v>0</v>
      </c>
      <c r="H113" s="9">
        <v>0</v>
      </c>
      <c r="I113" s="9">
        <v>0</v>
      </c>
      <c r="J113" s="9">
        <f t="shared" si="26"/>
        <v>0</v>
      </c>
      <c r="K113" s="9">
        <v>0</v>
      </c>
      <c r="L113" s="9">
        <v>0</v>
      </c>
      <c r="M113" s="9">
        <v>0</v>
      </c>
      <c r="N113" s="9">
        <v>0</v>
      </c>
      <c r="O113" s="9">
        <v>0</v>
      </c>
      <c r="P113" s="9">
        <f t="shared" si="22"/>
        <v>54116400</v>
      </c>
    </row>
    <row r="114" spans="1:16" ht="31.2">
      <c r="A114" s="31" t="s">
        <v>291</v>
      </c>
      <c r="B114" s="31" t="s">
        <v>283</v>
      </c>
      <c r="C114" s="31" t="s">
        <v>285</v>
      </c>
      <c r="D114" s="8" t="s">
        <v>284</v>
      </c>
      <c r="E114" s="9">
        <f t="shared" si="25"/>
        <v>383800</v>
      </c>
      <c r="F114" s="9">
        <f>SUM(F115:F117)</f>
        <v>383800</v>
      </c>
      <c r="G114" s="9"/>
      <c r="H114" s="9"/>
      <c r="I114" s="9"/>
      <c r="J114" s="9">
        <f t="shared" si="26"/>
        <v>0</v>
      </c>
      <c r="K114" s="9"/>
      <c r="L114" s="9"/>
      <c r="M114" s="9"/>
      <c r="N114" s="9"/>
      <c r="O114" s="9"/>
      <c r="P114" s="9">
        <f t="shared" si="22"/>
        <v>383800</v>
      </c>
    </row>
    <row r="115" spans="1:16" s="5" customFormat="1" ht="46.8">
      <c r="A115" s="14"/>
      <c r="B115" s="14"/>
      <c r="C115" s="14"/>
      <c r="D115" s="1" t="s">
        <v>307</v>
      </c>
      <c r="E115" s="11">
        <f t="shared" si="25"/>
        <v>96200</v>
      </c>
      <c r="F115" s="11">
        <v>96200</v>
      </c>
      <c r="G115" s="11"/>
      <c r="H115" s="11"/>
      <c r="I115" s="11"/>
      <c r="J115" s="11"/>
      <c r="K115" s="11"/>
      <c r="L115" s="11"/>
      <c r="M115" s="11"/>
      <c r="N115" s="11"/>
      <c r="O115" s="11"/>
      <c r="P115" s="11">
        <f t="shared" si="22"/>
        <v>96200</v>
      </c>
    </row>
    <row r="116" spans="1:16" s="5" customFormat="1" ht="62.4">
      <c r="A116" s="14"/>
      <c r="B116" s="14"/>
      <c r="C116" s="14"/>
      <c r="D116" s="1" t="s">
        <v>312</v>
      </c>
      <c r="E116" s="11">
        <f t="shared" si="25"/>
        <v>232200</v>
      </c>
      <c r="F116" s="11">
        <f>126900+105300</f>
        <v>232200</v>
      </c>
      <c r="G116" s="11"/>
      <c r="H116" s="11"/>
      <c r="I116" s="11"/>
      <c r="J116" s="11"/>
      <c r="K116" s="11"/>
      <c r="L116" s="11"/>
      <c r="M116" s="11"/>
      <c r="N116" s="11"/>
      <c r="O116" s="11"/>
      <c r="P116" s="11">
        <f t="shared" si="22"/>
        <v>232200</v>
      </c>
    </row>
    <row r="117" spans="1:16" s="5" customFormat="1" ht="78">
      <c r="A117" s="14"/>
      <c r="B117" s="14"/>
      <c r="C117" s="14"/>
      <c r="D117" s="1" t="s">
        <v>311</v>
      </c>
      <c r="E117" s="11">
        <f t="shared" si="25"/>
        <v>55400</v>
      </c>
      <c r="F117" s="11">
        <v>55400</v>
      </c>
      <c r="G117" s="11"/>
      <c r="H117" s="11"/>
      <c r="I117" s="11"/>
      <c r="J117" s="11"/>
      <c r="K117" s="11"/>
      <c r="L117" s="11"/>
      <c r="M117" s="11"/>
      <c r="N117" s="11"/>
      <c r="O117" s="11"/>
      <c r="P117" s="11">
        <f t="shared" si="22"/>
        <v>55400</v>
      </c>
    </row>
    <row r="118" spans="1:16" ht="46.8">
      <c r="A118" s="6" t="s">
        <v>166</v>
      </c>
      <c r="B118" s="6" t="s">
        <v>19</v>
      </c>
      <c r="C118" s="6" t="s">
        <v>19</v>
      </c>
      <c r="D118" s="7" t="s">
        <v>167</v>
      </c>
      <c r="E118" s="30">
        <f t="shared" si="25"/>
        <v>3922800</v>
      </c>
      <c r="F118" s="30">
        <f>F119</f>
        <v>3922800</v>
      </c>
      <c r="G118" s="30">
        <f t="shared" ref="G118:I118" si="27">G119</f>
        <v>3377300</v>
      </c>
      <c r="H118" s="30">
        <f t="shared" si="27"/>
        <v>0</v>
      </c>
      <c r="I118" s="30">
        <f t="shared" si="27"/>
        <v>0</v>
      </c>
      <c r="J118" s="30">
        <f t="shared" si="26"/>
        <v>0</v>
      </c>
      <c r="K118" s="30">
        <f>K119</f>
        <v>0</v>
      </c>
      <c r="L118" s="30">
        <f t="shared" ref="L118:O118" si="28">L119</f>
        <v>0</v>
      </c>
      <c r="M118" s="30">
        <f t="shared" si="28"/>
        <v>0</v>
      </c>
      <c r="N118" s="30">
        <f t="shared" si="28"/>
        <v>0</v>
      </c>
      <c r="O118" s="30">
        <f t="shared" si="28"/>
        <v>0</v>
      </c>
      <c r="P118" s="30">
        <f t="shared" si="22"/>
        <v>3922800</v>
      </c>
    </row>
    <row r="119" spans="1:16" ht="46.8">
      <c r="A119" s="6" t="s">
        <v>168</v>
      </c>
      <c r="B119" s="6" t="s">
        <v>19</v>
      </c>
      <c r="C119" s="6" t="s">
        <v>19</v>
      </c>
      <c r="D119" s="7" t="s">
        <v>167</v>
      </c>
      <c r="E119" s="30">
        <f t="shared" si="25"/>
        <v>3922800</v>
      </c>
      <c r="F119" s="30">
        <f>SUM(F120:F123)</f>
        <v>3922800</v>
      </c>
      <c r="G119" s="30">
        <f t="shared" ref="G119:O119" si="29">SUM(G120:G123)</f>
        <v>3377300</v>
      </c>
      <c r="H119" s="30">
        <f t="shared" si="29"/>
        <v>0</v>
      </c>
      <c r="I119" s="30">
        <f t="shared" si="29"/>
        <v>0</v>
      </c>
      <c r="J119" s="30">
        <f t="shared" si="26"/>
        <v>0</v>
      </c>
      <c r="K119" s="30">
        <f t="shared" si="29"/>
        <v>0</v>
      </c>
      <c r="L119" s="30">
        <f t="shared" si="29"/>
        <v>0</v>
      </c>
      <c r="M119" s="30">
        <f t="shared" si="29"/>
        <v>0</v>
      </c>
      <c r="N119" s="30">
        <f t="shared" si="29"/>
        <v>0</v>
      </c>
      <c r="O119" s="30">
        <f t="shared" si="29"/>
        <v>0</v>
      </c>
      <c r="P119" s="30">
        <f t="shared" si="22"/>
        <v>3922800</v>
      </c>
    </row>
    <row r="120" spans="1:16" ht="66" customHeight="1">
      <c r="A120" s="37" t="s">
        <v>169</v>
      </c>
      <c r="B120" s="37" t="s">
        <v>76</v>
      </c>
      <c r="C120" s="37" t="s">
        <v>24</v>
      </c>
      <c r="D120" s="8" t="s">
        <v>77</v>
      </c>
      <c r="E120" s="9">
        <f t="shared" si="25"/>
        <v>3485600</v>
      </c>
      <c r="F120" s="9">
        <f>3342500+153000-9900</f>
        <v>3485600</v>
      </c>
      <c r="G120" s="9">
        <f>2642900+581400+153000</f>
        <v>3377300</v>
      </c>
      <c r="H120" s="9">
        <v>0</v>
      </c>
      <c r="I120" s="9">
        <v>0</v>
      </c>
      <c r="J120" s="9">
        <f t="shared" si="26"/>
        <v>0</v>
      </c>
      <c r="K120" s="9">
        <v>0</v>
      </c>
      <c r="L120" s="9">
        <v>0</v>
      </c>
      <c r="M120" s="9">
        <v>0</v>
      </c>
      <c r="N120" s="9">
        <v>0</v>
      </c>
      <c r="O120" s="9">
        <v>0</v>
      </c>
      <c r="P120" s="9">
        <f t="shared" si="22"/>
        <v>3485600</v>
      </c>
    </row>
    <row r="121" spans="1:16" ht="31.2">
      <c r="A121" s="31" t="s">
        <v>421</v>
      </c>
      <c r="B121" s="31" t="s">
        <v>31</v>
      </c>
      <c r="C121" s="37" t="s">
        <v>24</v>
      </c>
      <c r="D121" s="8" t="s">
        <v>33</v>
      </c>
      <c r="E121" s="9">
        <f t="shared" si="25"/>
        <v>49000</v>
      </c>
      <c r="F121" s="9">
        <v>49000</v>
      </c>
      <c r="G121" s="9"/>
      <c r="H121" s="9"/>
      <c r="I121" s="9"/>
      <c r="J121" s="9"/>
      <c r="K121" s="9"/>
      <c r="L121" s="9"/>
      <c r="M121" s="9"/>
      <c r="N121" s="9"/>
      <c r="O121" s="9"/>
      <c r="P121" s="9">
        <f t="shared" si="22"/>
        <v>49000</v>
      </c>
    </row>
    <row r="122" spans="1:16" ht="31.2">
      <c r="A122" s="37" t="s">
        <v>170</v>
      </c>
      <c r="B122" s="37" t="s">
        <v>171</v>
      </c>
      <c r="C122" s="37" t="s">
        <v>116</v>
      </c>
      <c r="D122" s="8" t="s">
        <v>172</v>
      </c>
      <c r="E122" s="9">
        <f t="shared" si="25"/>
        <v>278000</v>
      </c>
      <c r="F122" s="9">
        <v>278000</v>
      </c>
      <c r="G122" s="9">
        <v>0</v>
      </c>
      <c r="H122" s="9">
        <v>0</v>
      </c>
      <c r="I122" s="9">
        <v>0</v>
      </c>
      <c r="J122" s="9">
        <f t="shared" si="26"/>
        <v>0</v>
      </c>
      <c r="K122" s="9">
        <v>0</v>
      </c>
      <c r="L122" s="9">
        <v>0</v>
      </c>
      <c r="M122" s="9">
        <v>0</v>
      </c>
      <c r="N122" s="9">
        <v>0</v>
      </c>
      <c r="O122" s="9">
        <v>0</v>
      </c>
      <c r="P122" s="9">
        <f t="shared" si="22"/>
        <v>278000</v>
      </c>
    </row>
    <row r="123" spans="1:16" ht="31.2">
      <c r="A123" s="31" t="s">
        <v>292</v>
      </c>
      <c r="B123" s="31" t="s">
        <v>283</v>
      </c>
      <c r="C123" s="31" t="s">
        <v>285</v>
      </c>
      <c r="D123" s="8" t="s">
        <v>284</v>
      </c>
      <c r="E123" s="9">
        <f t="shared" si="25"/>
        <v>110200</v>
      </c>
      <c r="F123" s="9">
        <f>100300+9900</f>
        <v>110200</v>
      </c>
      <c r="G123" s="9"/>
      <c r="H123" s="9"/>
      <c r="I123" s="9"/>
      <c r="J123" s="9">
        <f t="shared" si="26"/>
        <v>0</v>
      </c>
      <c r="K123" s="9"/>
      <c r="L123" s="9"/>
      <c r="M123" s="9"/>
      <c r="N123" s="9"/>
      <c r="O123" s="9"/>
      <c r="P123" s="9">
        <f t="shared" si="22"/>
        <v>110200</v>
      </c>
    </row>
    <row r="124" spans="1:16" ht="46.8">
      <c r="A124" s="6" t="s">
        <v>173</v>
      </c>
      <c r="B124" s="6" t="s">
        <v>19</v>
      </c>
      <c r="C124" s="6" t="s">
        <v>19</v>
      </c>
      <c r="D124" s="7" t="s">
        <v>174</v>
      </c>
      <c r="E124" s="30">
        <f t="shared" si="25"/>
        <v>58146800</v>
      </c>
      <c r="F124" s="30">
        <f>F125</f>
        <v>58146800</v>
      </c>
      <c r="G124" s="30">
        <f t="shared" ref="G124:I124" si="30">G125</f>
        <v>48289700</v>
      </c>
      <c r="H124" s="30">
        <f t="shared" si="30"/>
        <v>3687100</v>
      </c>
      <c r="I124" s="30">
        <f t="shared" si="30"/>
        <v>0</v>
      </c>
      <c r="J124" s="30">
        <f t="shared" si="26"/>
        <v>1866100</v>
      </c>
      <c r="K124" s="30">
        <f>K125</f>
        <v>500100</v>
      </c>
      <c r="L124" s="30">
        <f t="shared" ref="L124:O124" si="31">L125</f>
        <v>1136000</v>
      </c>
      <c r="M124" s="30">
        <f t="shared" si="31"/>
        <v>507100</v>
      </c>
      <c r="N124" s="30">
        <f t="shared" si="31"/>
        <v>0</v>
      </c>
      <c r="O124" s="30">
        <f t="shared" si="31"/>
        <v>730100</v>
      </c>
      <c r="P124" s="30">
        <f t="shared" si="22"/>
        <v>60012900</v>
      </c>
    </row>
    <row r="125" spans="1:16" ht="46.8">
      <c r="A125" s="6" t="s">
        <v>175</v>
      </c>
      <c r="B125" s="6" t="s">
        <v>19</v>
      </c>
      <c r="C125" s="6" t="s">
        <v>19</v>
      </c>
      <c r="D125" s="7" t="s">
        <v>174</v>
      </c>
      <c r="E125" s="30">
        <f t="shared" si="25"/>
        <v>58146800</v>
      </c>
      <c r="F125" s="30">
        <f>SUM(F126:F134)</f>
        <v>58146800</v>
      </c>
      <c r="G125" s="30">
        <f t="shared" ref="G125:O125" si="32">SUM(G126:G134)</f>
        <v>48289700</v>
      </c>
      <c r="H125" s="30">
        <f t="shared" si="32"/>
        <v>3687100</v>
      </c>
      <c r="I125" s="30">
        <f t="shared" si="32"/>
        <v>0</v>
      </c>
      <c r="J125" s="30">
        <f t="shared" si="26"/>
        <v>1866100</v>
      </c>
      <c r="K125" s="30">
        <f t="shared" si="32"/>
        <v>500100</v>
      </c>
      <c r="L125" s="30">
        <f t="shared" si="32"/>
        <v>1136000</v>
      </c>
      <c r="M125" s="30">
        <f t="shared" si="32"/>
        <v>507100</v>
      </c>
      <c r="N125" s="30">
        <f t="shared" si="32"/>
        <v>0</v>
      </c>
      <c r="O125" s="30">
        <f t="shared" si="32"/>
        <v>730100</v>
      </c>
      <c r="P125" s="30">
        <f t="shared" si="22"/>
        <v>60012900</v>
      </c>
    </row>
    <row r="126" spans="1:16" ht="54" customHeight="1">
      <c r="A126" s="37" t="s">
        <v>176</v>
      </c>
      <c r="B126" s="37" t="s">
        <v>76</v>
      </c>
      <c r="C126" s="37" t="s">
        <v>24</v>
      </c>
      <c r="D126" s="8" t="s">
        <v>77</v>
      </c>
      <c r="E126" s="9">
        <f t="shared" si="25"/>
        <v>1441500</v>
      </c>
      <c r="F126" s="9">
        <f>1352500+69000+20000</f>
        <v>1441500</v>
      </c>
      <c r="G126" s="9">
        <f>1085700+238900+69000+20000</f>
        <v>1413600</v>
      </c>
      <c r="H126" s="9">
        <v>0</v>
      </c>
      <c r="I126" s="9">
        <v>0</v>
      </c>
      <c r="J126" s="9">
        <f t="shared" si="26"/>
        <v>0</v>
      </c>
      <c r="K126" s="9">
        <v>0</v>
      </c>
      <c r="L126" s="9">
        <v>0</v>
      </c>
      <c r="M126" s="9">
        <v>0</v>
      </c>
      <c r="N126" s="9">
        <v>0</v>
      </c>
      <c r="O126" s="9">
        <v>0</v>
      </c>
      <c r="P126" s="9">
        <f t="shared" si="22"/>
        <v>1441500</v>
      </c>
    </row>
    <row r="127" spans="1:16" ht="31.2">
      <c r="A127" s="37" t="s">
        <v>177</v>
      </c>
      <c r="B127" s="37" t="s">
        <v>178</v>
      </c>
      <c r="C127" s="37" t="s">
        <v>98</v>
      </c>
      <c r="D127" s="8" t="s">
        <v>179</v>
      </c>
      <c r="E127" s="9">
        <f t="shared" si="25"/>
        <v>25436400</v>
      </c>
      <c r="F127" s="9">
        <f>25258300+587600-9500-200000-200000</f>
        <v>25436400</v>
      </c>
      <c r="G127" s="9">
        <f>19980300+4395600-9500-200000-285000</f>
        <v>23881400</v>
      </c>
      <c r="H127" s="9">
        <f>24500+399000+292900+34000-24000</f>
        <v>726400</v>
      </c>
      <c r="I127" s="9">
        <v>0</v>
      </c>
      <c r="J127" s="9">
        <f t="shared" si="26"/>
        <v>1086000</v>
      </c>
      <c r="K127" s="9">
        <v>0</v>
      </c>
      <c r="L127" s="9">
        <v>886000</v>
      </c>
      <c r="M127" s="9">
        <f>405800+89300</f>
        <v>495100</v>
      </c>
      <c r="N127" s="9">
        <v>0</v>
      </c>
      <c r="O127" s="9">
        <v>200000</v>
      </c>
      <c r="P127" s="9">
        <f t="shared" si="22"/>
        <v>26522400</v>
      </c>
    </row>
    <row r="128" spans="1:16" ht="108.75" customHeight="1">
      <c r="A128" s="37" t="s">
        <v>180</v>
      </c>
      <c r="B128" s="37" t="s">
        <v>115</v>
      </c>
      <c r="C128" s="37" t="s">
        <v>116</v>
      </c>
      <c r="D128" s="8" t="s">
        <v>117</v>
      </c>
      <c r="E128" s="9">
        <f t="shared" si="25"/>
        <v>150000</v>
      </c>
      <c r="F128" s="9">
        <v>150000</v>
      </c>
      <c r="G128" s="9">
        <v>0</v>
      </c>
      <c r="H128" s="9">
        <v>0</v>
      </c>
      <c r="I128" s="9">
        <v>0</v>
      </c>
      <c r="J128" s="9">
        <f t="shared" si="26"/>
        <v>0</v>
      </c>
      <c r="K128" s="9">
        <v>0</v>
      </c>
      <c r="L128" s="9">
        <v>0</v>
      </c>
      <c r="M128" s="9">
        <v>0</v>
      </c>
      <c r="N128" s="9">
        <v>0</v>
      </c>
      <c r="O128" s="9">
        <v>0</v>
      </c>
      <c r="P128" s="9">
        <f t="shared" si="22"/>
        <v>150000</v>
      </c>
    </row>
    <row r="129" spans="1:16">
      <c r="A129" s="37" t="s">
        <v>181</v>
      </c>
      <c r="B129" s="37" t="s">
        <v>182</v>
      </c>
      <c r="C129" s="37" t="s">
        <v>183</v>
      </c>
      <c r="D129" s="8" t="s">
        <v>184</v>
      </c>
      <c r="E129" s="9">
        <f t="shared" si="25"/>
        <v>9465700</v>
      </c>
      <c r="F129" s="9">
        <f>9205700+260000</f>
        <v>9465700</v>
      </c>
      <c r="G129" s="9">
        <f>6059000+1332900-120000</f>
        <v>7271900</v>
      </c>
      <c r="H129" s="9">
        <f>741700+20200+410400+36800+4700</f>
        <v>1213800</v>
      </c>
      <c r="I129" s="9">
        <v>0</v>
      </c>
      <c r="J129" s="9">
        <f t="shared" si="26"/>
        <v>80000</v>
      </c>
      <c r="K129" s="9">
        <v>0</v>
      </c>
      <c r="L129" s="9">
        <f>80000</f>
        <v>80000</v>
      </c>
      <c r="M129" s="9">
        <v>0</v>
      </c>
      <c r="N129" s="9">
        <v>0</v>
      </c>
      <c r="O129" s="9">
        <v>0</v>
      </c>
      <c r="P129" s="9">
        <f t="shared" si="22"/>
        <v>9545700</v>
      </c>
    </row>
    <row r="130" spans="1:16" ht="31.2">
      <c r="A130" s="37" t="s">
        <v>185</v>
      </c>
      <c r="B130" s="37" t="s">
        <v>186</v>
      </c>
      <c r="C130" s="37" t="s">
        <v>183</v>
      </c>
      <c r="D130" s="8" t="s">
        <v>187</v>
      </c>
      <c r="E130" s="9">
        <f t="shared" si="25"/>
        <v>4328000</v>
      </c>
      <c r="F130" s="9">
        <f>3595900+136500+195600+200000+200000</f>
        <v>4328000</v>
      </c>
      <c r="G130" s="9">
        <f>2170200+477400-30000</f>
        <v>2617600</v>
      </c>
      <c r="H130" s="9">
        <f>370700+10100+125400+3100</f>
        <v>509300</v>
      </c>
      <c r="I130" s="9">
        <v>0</v>
      </c>
      <c r="J130" s="9">
        <f t="shared" si="26"/>
        <v>40000</v>
      </c>
      <c r="K130" s="9">
        <v>0</v>
      </c>
      <c r="L130" s="9">
        <v>40000</v>
      </c>
      <c r="M130" s="9">
        <v>0</v>
      </c>
      <c r="N130" s="9">
        <v>0</v>
      </c>
      <c r="O130" s="9">
        <v>0</v>
      </c>
      <c r="P130" s="9">
        <f t="shared" si="22"/>
        <v>4368000</v>
      </c>
    </row>
    <row r="131" spans="1:16" ht="46.8">
      <c r="A131" s="37" t="s">
        <v>188</v>
      </c>
      <c r="B131" s="37" t="s">
        <v>189</v>
      </c>
      <c r="C131" s="37" t="s">
        <v>190</v>
      </c>
      <c r="D131" s="8" t="s">
        <v>191</v>
      </c>
      <c r="E131" s="9">
        <f t="shared" si="25"/>
        <v>13701900</v>
      </c>
      <c r="F131" s="9">
        <f>13136300+515900+30000-30000+29900+130800-91000-20000</f>
        <v>13701900</v>
      </c>
      <c r="G131" s="9">
        <f>8756500+1926400-91000-45000</f>
        <v>10546900</v>
      </c>
      <c r="H131" s="9">
        <f>44400+535800+392900+241000-48000</f>
        <v>1166100</v>
      </c>
      <c r="I131" s="9">
        <v>0</v>
      </c>
      <c r="J131" s="9">
        <f t="shared" si="26"/>
        <v>580100</v>
      </c>
      <c r="K131" s="9">
        <f>200000+30000+300000-109900</f>
        <v>420100</v>
      </c>
      <c r="L131" s="9">
        <v>130000</v>
      </c>
      <c r="M131" s="9">
        <f>10000+2000</f>
        <v>12000</v>
      </c>
      <c r="N131" s="9">
        <v>0</v>
      </c>
      <c r="O131" s="9">
        <f>30000+200000+30000+300000-109900</f>
        <v>450100</v>
      </c>
      <c r="P131" s="9">
        <f t="shared" si="22"/>
        <v>14282000</v>
      </c>
    </row>
    <row r="132" spans="1:16" ht="31.2">
      <c r="A132" s="37" t="s">
        <v>192</v>
      </c>
      <c r="B132" s="37" t="s">
        <v>193</v>
      </c>
      <c r="C132" s="37" t="s">
        <v>194</v>
      </c>
      <c r="D132" s="8" t="s">
        <v>195</v>
      </c>
      <c r="E132" s="9">
        <f t="shared" si="25"/>
        <v>2686800</v>
      </c>
      <c r="F132" s="9">
        <f>2595800+91000</f>
        <v>2686800</v>
      </c>
      <c r="G132" s="9">
        <f>2022400+444900+91000</f>
        <v>2558300</v>
      </c>
      <c r="H132" s="9">
        <f>24400+1500+45600</f>
        <v>71500</v>
      </c>
      <c r="I132" s="9">
        <v>0</v>
      </c>
      <c r="J132" s="9">
        <f t="shared" si="26"/>
        <v>0</v>
      </c>
      <c r="K132" s="9">
        <v>0</v>
      </c>
      <c r="L132" s="9">
        <v>0</v>
      </c>
      <c r="M132" s="9">
        <v>0</v>
      </c>
      <c r="N132" s="9">
        <v>0</v>
      </c>
      <c r="O132" s="9">
        <v>0</v>
      </c>
      <c r="P132" s="9">
        <f t="shared" si="22"/>
        <v>2686800</v>
      </c>
    </row>
    <row r="133" spans="1:16" ht="31.2">
      <c r="A133" s="37" t="s">
        <v>196</v>
      </c>
      <c r="B133" s="37" t="s">
        <v>197</v>
      </c>
      <c r="C133" s="37" t="s">
        <v>194</v>
      </c>
      <c r="D133" s="8" t="s">
        <v>198</v>
      </c>
      <c r="E133" s="9">
        <f t="shared" si="25"/>
        <v>760000</v>
      </c>
      <c r="F133" s="9">
        <f>600000+80000+60000+20000</f>
        <v>760000</v>
      </c>
      <c r="G133" s="9">
        <v>0</v>
      </c>
      <c r="H133" s="9">
        <v>0</v>
      </c>
      <c r="I133" s="9">
        <v>0</v>
      </c>
      <c r="J133" s="9">
        <f t="shared" si="26"/>
        <v>0</v>
      </c>
      <c r="K133" s="9">
        <v>0</v>
      </c>
      <c r="L133" s="9">
        <v>0</v>
      </c>
      <c r="M133" s="9">
        <v>0</v>
      </c>
      <c r="N133" s="9">
        <v>0</v>
      </c>
      <c r="O133" s="9">
        <v>0</v>
      </c>
      <c r="P133" s="9">
        <f t="shared" si="22"/>
        <v>760000</v>
      </c>
    </row>
    <row r="134" spans="1:16" ht="31.2">
      <c r="A134" s="31" t="s">
        <v>293</v>
      </c>
      <c r="B134" s="31" t="s">
        <v>283</v>
      </c>
      <c r="C134" s="31" t="s">
        <v>285</v>
      </c>
      <c r="D134" s="8" t="s">
        <v>284</v>
      </c>
      <c r="E134" s="9">
        <f t="shared" si="25"/>
        <v>176500</v>
      </c>
      <c r="F134" s="9">
        <f>167000+9500</f>
        <v>176500</v>
      </c>
      <c r="G134" s="9"/>
      <c r="H134" s="9"/>
      <c r="I134" s="9"/>
      <c r="J134" s="9">
        <f t="shared" si="26"/>
        <v>80000</v>
      </c>
      <c r="K134" s="9">
        <v>80000</v>
      </c>
      <c r="L134" s="9"/>
      <c r="M134" s="9"/>
      <c r="N134" s="9"/>
      <c r="O134" s="9">
        <v>80000</v>
      </c>
      <c r="P134" s="9">
        <f t="shared" si="22"/>
        <v>256500</v>
      </c>
    </row>
    <row r="135" spans="1:16" ht="46.8">
      <c r="A135" s="6" t="s">
        <v>199</v>
      </c>
      <c r="B135" s="6" t="s">
        <v>19</v>
      </c>
      <c r="C135" s="6" t="s">
        <v>19</v>
      </c>
      <c r="D135" s="7" t="s">
        <v>200</v>
      </c>
      <c r="E135" s="30">
        <f t="shared" si="25"/>
        <v>10801756</v>
      </c>
      <c r="F135" s="30">
        <f>F136</f>
        <v>10801756</v>
      </c>
      <c r="G135" s="30">
        <f t="shared" ref="G135:I135" si="33">G136</f>
        <v>3546700</v>
      </c>
      <c r="H135" s="30">
        <f t="shared" si="33"/>
        <v>70800</v>
      </c>
      <c r="I135" s="30">
        <f t="shared" si="33"/>
        <v>0</v>
      </c>
      <c r="J135" s="30">
        <f t="shared" si="26"/>
        <v>4393135</v>
      </c>
      <c r="K135" s="30">
        <f>K136</f>
        <v>35000</v>
      </c>
      <c r="L135" s="30">
        <f t="shared" ref="L135:O135" si="34">L136</f>
        <v>0</v>
      </c>
      <c r="M135" s="30">
        <f t="shared" si="34"/>
        <v>0</v>
      </c>
      <c r="N135" s="30">
        <f t="shared" si="34"/>
        <v>0</v>
      </c>
      <c r="O135" s="30">
        <f t="shared" si="34"/>
        <v>4393135</v>
      </c>
      <c r="P135" s="30">
        <f t="shared" si="22"/>
        <v>15194891</v>
      </c>
    </row>
    <row r="136" spans="1:16" ht="46.8">
      <c r="A136" s="6" t="s">
        <v>201</v>
      </c>
      <c r="B136" s="6" t="s">
        <v>19</v>
      </c>
      <c r="C136" s="6" t="s">
        <v>19</v>
      </c>
      <c r="D136" s="7" t="s">
        <v>200</v>
      </c>
      <c r="E136" s="30">
        <f t="shared" si="25"/>
        <v>10801756</v>
      </c>
      <c r="F136" s="30">
        <f>SUM(F137:F145)</f>
        <v>10801756</v>
      </c>
      <c r="G136" s="30">
        <f t="shared" ref="G136:O136" si="35">SUM(G137:G145)</f>
        <v>3546700</v>
      </c>
      <c r="H136" s="30">
        <f t="shared" si="35"/>
        <v>70800</v>
      </c>
      <c r="I136" s="30">
        <f t="shared" si="35"/>
        <v>0</v>
      </c>
      <c r="J136" s="30">
        <f t="shared" si="26"/>
        <v>4393135</v>
      </c>
      <c r="K136" s="30">
        <f t="shared" si="35"/>
        <v>35000</v>
      </c>
      <c r="L136" s="30">
        <f t="shared" si="35"/>
        <v>0</v>
      </c>
      <c r="M136" s="30">
        <f t="shared" si="35"/>
        <v>0</v>
      </c>
      <c r="N136" s="30">
        <f t="shared" si="35"/>
        <v>0</v>
      </c>
      <c r="O136" s="30">
        <f t="shared" si="35"/>
        <v>4393135</v>
      </c>
      <c r="P136" s="30">
        <f t="shared" si="22"/>
        <v>15194891</v>
      </c>
    </row>
    <row r="137" spans="1:16" ht="71.25" customHeight="1">
      <c r="A137" s="37" t="s">
        <v>202</v>
      </c>
      <c r="B137" s="37" t="s">
        <v>76</v>
      </c>
      <c r="C137" s="37" t="s">
        <v>24</v>
      </c>
      <c r="D137" s="8" t="s">
        <v>77</v>
      </c>
      <c r="E137" s="9">
        <f t="shared" si="25"/>
        <v>2956100</v>
      </c>
      <c r="F137" s="9">
        <f>2778600-7500+185000</f>
        <v>2956100</v>
      </c>
      <c r="G137" s="9">
        <f>2183700+480400+185000+5000</f>
        <v>2854100</v>
      </c>
      <c r="H137" s="9">
        <v>0</v>
      </c>
      <c r="I137" s="9">
        <v>0</v>
      </c>
      <c r="J137" s="9">
        <f t="shared" si="26"/>
        <v>35000</v>
      </c>
      <c r="K137" s="9">
        <v>35000</v>
      </c>
      <c r="L137" s="9">
        <v>0</v>
      </c>
      <c r="M137" s="9">
        <v>0</v>
      </c>
      <c r="N137" s="9">
        <v>0</v>
      </c>
      <c r="O137" s="9">
        <v>35000</v>
      </c>
      <c r="P137" s="9">
        <f t="shared" si="22"/>
        <v>2991100</v>
      </c>
    </row>
    <row r="138" spans="1:16" ht="62.4">
      <c r="A138" s="37" t="s">
        <v>203</v>
      </c>
      <c r="B138" s="37" t="s">
        <v>204</v>
      </c>
      <c r="C138" s="37" t="s">
        <v>116</v>
      </c>
      <c r="D138" s="8" t="s">
        <v>339</v>
      </c>
      <c r="E138" s="9">
        <f t="shared" si="25"/>
        <v>2036600</v>
      </c>
      <c r="F138" s="9">
        <f>1956300-35000+115300</f>
        <v>2036600</v>
      </c>
      <c r="G138" s="9">
        <f>473200+104100+115300</f>
        <v>692600</v>
      </c>
      <c r="H138" s="9">
        <f>54600+1600+14600</f>
        <v>70800</v>
      </c>
      <c r="I138" s="9">
        <v>0</v>
      </c>
      <c r="J138" s="9">
        <f t="shared" si="26"/>
        <v>0</v>
      </c>
      <c r="K138" s="9">
        <v>0</v>
      </c>
      <c r="L138" s="9">
        <v>0</v>
      </c>
      <c r="M138" s="9">
        <v>0</v>
      </c>
      <c r="N138" s="9">
        <v>0</v>
      </c>
      <c r="O138" s="9">
        <v>0</v>
      </c>
      <c r="P138" s="9">
        <f t="shared" si="22"/>
        <v>2036600</v>
      </c>
    </row>
    <row r="139" spans="1:16" ht="46.8">
      <c r="A139" s="37" t="s">
        <v>205</v>
      </c>
      <c r="B139" s="37" t="s">
        <v>206</v>
      </c>
      <c r="C139" s="37" t="s">
        <v>121</v>
      </c>
      <c r="D139" s="8" t="s">
        <v>207</v>
      </c>
      <c r="E139" s="9">
        <f t="shared" si="25"/>
        <v>1498900</v>
      </c>
      <c r="F139" s="9">
        <f>1400000+49000+49900</f>
        <v>1498900</v>
      </c>
      <c r="G139" s="9">
        <v>0</v>
      </c>
      <c r="H139" s="9">
        <v>0</v>
      </c>
      <c r="I139" s="9">
        <v>0</v>
      </c>
      <c r="J139" s="9">
        <f t="shared" si="26"/>
        <v>0</v>
      </c>
      <c r="K139" s="9">
        <v>0</v>
      </c>
      <c r="L139" s="9">
        <v>0</v>
      </c>
      <c r="M139" s="9">
        <v>0</v>
      </c>
      <c r="N139" s="9">
        <v>0</v>
      </c>
      <c r="O139" s="9">
        <v>0</v>
      </c>
      <c r="P139" s="9">
        <f t="shared" si="22"/>
        <v>1498900</v>
      </c>
    </row>
    <row r="140" spans="1:16" ht="46.8">
      <c r="A140" s="37" t="s">
        <v>208</v>
      </c>
      <c r="B140" s="37" t="s">
        <v>209</v>
      </c>
      <c r="C140" s="37" t="s">
        <v>121</v>
      </c>
      <c r="D140" s="8" t="s">
        <v>210</v>
      </c>
      <c r="E140" s="9">
        <f t="shared" si="25"/>
        <v>1193600</v>
      </c>
      <c r="F140" s="9">
        <f>990000+49000+49900-115300+220000</f>
        <v>1193600</v>
      </c>
      <c r="G140" s="9">
        <v>0</v>
      </c>
      <c r="H140" s="9">
        <v>0</v>
      </c>
      <c r="I140" s="9">
        <v>0</v>
      </c>
      <c r="J140" s="9">
        <f t="shared" si="26"/>
        <v>0</v>
      </c>
      <c r="K140" s="9">
        <v>0</v>
      </c>
      <c r="L140" s="9">
        <v>0</v>
      </c>
      <c r="M140" s="9">
        <v>0</v>
      </c>
      <c r="N140" s="9">
        <v>0</v>
      </c>
      <c r="O140" s="9">
        <v>0</v>
      </c>
      <c r="P140" s="9">
        <f t="shared" si="22"/>
        <v>1193600</v>
      </c>
    </row>
    <row r="141" spans="1:16" ht="71.25" customHeight="1">
      <c r="A141" s="37">
        <v>1115049</v>
      </c>
      <c r="B141" s="37">
        <v>5049</v>
      </c>
      <c r="C141" s="37" t="s">
        <v>121</v>
      </c>
      <c r="D141" s="8" t="s">
        <v>396</v>
      </c>
      <c r="E141" s="9">
        <f t="shared" si="25"/>
        <v>114192</v>
      </c>
      <c r="F141" s="9">
        <f>35136+79056</f>
        <v>114192</v>
      </c>
      <c r="G141" s="9"/>
      <c r="H141" s="9"/>
      <c r="I141" s="9">
        <v>0</v>
      </c>
      <c r="J141" s="9"/>
      <c r="K141" s="9"/>
      <c r="L141" s="9"/>
      <c r="M141" s="9"/>
      <c r="N141" s="9"/>
      <c r="O141" s="9"/>
      <c r="P141" s="9">
        <f t="shared" si="22"/>
        <v>114192</v>
      </c>
    </row>
    <row r="142" spans="1:16" ht="84" customHeight="1">
      <c r="A142" s="37" t="s">
        <v>211</v>
      </c>
      <c r="B142" s="37" t="s">
        <v>212</v>
      </c>
      <c r="C142" s="37" t="s">
        <v>121</v>
      </c>
      <c r="D142" s="8" t="s">
        <v>406</v>
      </c>
      <c r="E142" s="9">
        <f t="shared" si="25"/>
        <v>2749864</v>
      </c>
      <c r="F142" s="9">
        <f>3185000-35136-180000-340000+120000</f>
        <v>2749864</v>
      </c>
      <c r="G142" s="9">
        <v>0</v>
      </c>
      <c r="H142" s="9">
        <v>0</v>
      </c>
      <c r="I142" s="9">
        <v>0</v>
      </c>
      <c r="J142" s="9">
        <f t="shared" si="26"/>
        <v>0</v>
      </c>
      <c r="K142" s="9">
        <v>0</v>
      </c>
      <c r="L142" s="9">
        <v>0</v>
      </c>
      <c r="M142" s="9">
        <v>0</v>
      </c>
      <c r="N142" s="9">
        <v>0</v>
      </c>
      <c r="O142" s="9">
        <v>0</v>
      </c>
      <c r="P142" s="9">
        <f t="shared" si="22"/>
        <v>2749864</v>
      </c>
    </row>
    <row r="143" spans="1:16" ht="84" customHeight="1">
      <c r="A143" s="37">
        <v>1115062</v>
      </c>
      <c r="B143" s="37">
        <v>5062</v>
      </c>
      <c r="C143" s="31" t="s">
        <v>121</v>
      </c>
      <c r="D143" s="8" t="s">
        <v>417</v>
      </c>
      <c r="E143" s="9">
        <f t="shared" si="25"/>
        <v>180000</v>
      </c>
      <c r="F143" s="9">
        <v>180000</v>
      </c>
      <c r="G143" s="9"/>
      <c r="H143" s="9"/>
      <c r="I143" s="9"/>
      <c r="J143" s="9"/>
      <c r="K143" s="9"/>
      <c r="L143" s="9"/>
      <c r="M143" s="9"/>
      <c r="N143" s="9"/>
      <c r="O143" s="9"/>
      <c r="P143" s="9">
        <f t="shared" si="22"/>
        <v>180000</v>
      </c>
    </row>
    <row r="144" spans="1:16" ht="31.2">
      <c r="A144" s="31" t="s">
        <v>294</v>
      </c>
      <c r="B144" s="31" t="s">
        <v>283</v>
      </c>
      <c r="C144" s="31" t="s">
        <v>285</v>
      </c>
      <c r="D144" s="8" t="s">
        <v>284</v>
      </c>
      <c r="E144" s="9">
        <f t="shared" si="25"/>
        <v>72500</v>
      </c>
      <c r="F144" s="9">
        <f>65000+7500</f>
        <v>72500</v>
      </c>
      <c r="G144" s="9"/>
      <c r="H144" s="9"/>
      <c r="I144" s="9"/>
      <c r="J144" s="9">
        <f t="shared" ref="J144:J145" si="36">L144+O144</f>
        <v>0</v>
      </c>
      <c r="K144" s="9"/>
      <c r="L144" s="9"/>
      <c r="M144" s="9"/>
      <c r="N144" s="9"/>
      <c r="O144" s="9"/>
      <c r="P144" s="9">
        <f t="shared" si="22"/>
        <v>72500</v>
      </c>
    </row>
    <row r="145" spans="1:16" ht="140.4">
      <c r="A145" s="31" t="s">
        <v>431</v>
      </c>
      <c r="B145" s="31" t="s">
        <v>370</v>
      </c>
      <c r="C145" s="31" t="s">
        <v>60</v>
      </c>
      <c r="D145" s="8" t="s">
        <v>371</v>
      </c>
      <c r="E145" s="9">
        <f t="shared" si="25"/>
        <v>0</v>
      </c>
      <c r="F145" s="9"/>
      <c r="G145" s="9"/>
      <c r="H145" s="9"/>
      <c r="I145" s="9"/>
      <c r="J145" s="9">
        <f t="shared" si="36"/>
        <v>4358135</v>
      </c>
      <c r="K145" s="9"/>
      <c r="L145" s="9"/>
      <c r="M145" s="9"/>
      <c r="N145" s="9"/>
      <c r="O145" s="9">
        <v>4358135</v>
      </c>
      <c r="P145" s="9">
        <f t="shared" si="22"/>
        <v>4358135</v>
      </c>
    </row>
    <row r="146" spans="1:16" ht="62.4">
      <c r="A146" s="6" t="s">
        <v>213</v>
      </c>
      <c r="B146" s="6" t="s">
        <v>19</v>
      </c>
      <c r="C146" s="6" t="s">
        <v>19</v>
      </c>
      <c r="D146" s="7" t="s">
        <v>214</v>
      </c>
      <c r="E146" s="30">
        <f t="shared" si="25"/>
        <v>207801653</v>
      </c>
      <c r="F146" s="30">
        <f>F147</f>
        <v>63075359</v>
      </c>
      <c r="G146" s="30">
        <f t="shared" ref="G146:I146" si="37">G147</f>
        <v>5315400</v>
      </c>
      <c r="H146" s="30">
        <f t="shared" si="37"/>
        <v>15700</v>
      </c>
      <c r="I146" s="30">
        <f t="shared" si="37"/>
        <v>144726294</v>
      </c>
      <c r="J146" s="30">
        <f t="shared" si="26"/>
        <v>35900511.909999996</v>
      </c>
      <c r="K146" s="30">
        <f>K147</f>
        <v>31066015.82</v>
      </c>
      <c r="L146" s="30">
        <f t="shared" ref="L146:O146" si="38">L147</f>
        <v>1133700</v>
      </c>
      <c r="M146" s="30">
        <f t="shared" si="38"/>
        <v>0</v>
      </c>
      <c r="N146" s="30">
        <f t="shared" si="38"/>
        <v>0</v>
      </c>
      <c r="O146" s="30">
        <f t="shared" si="38"/>
        <v>34766811.909999996</v>
      </c>
      <c r="P146" s="30">
        <f t="shared" si="22"/>
        <v>243702164.91</v>
      </c>
    </row>
    <row r="147" spans="1:16" ht="62.4">
      <c r="A147" s="6" t="s">
        <v>215</v>
      </c>
      <c r="B147" s="6" t="s">
        <v>19</v>
      </c>
      <c r="C147" s="6" t="s">
        <v>19</v>
      </c>
      <c r="D147" s="7" t="s">
        <v>214</v>
      </c>
      <c r="E147" s="30">
        <f>F147+I147</f>
        <v>207801653</v>
      </c>
      <c r="F147" s="30">
        <f>SUM(F148:F170)</f>
        <v>63075359</v>
      </c>
      <c r="G147" s="30">
        <f t="shared" ref="G147:H147" si="39">SUM(G148:G170)</f>
        <v>5315400</v>
      </c>
      <c r="H147" s="30">
        <f t="shared" si="39"/>
        <v>15700</v>
      </c>
      <c r="I147" s="30">
        <f t="shared" ref="I147:K147" si="40">SUM(I148:I170)</f>
        <v>144726294</v>
      </c>
      <c r="J147" s="30">
        <f t="shared" si="26"/>
        <v>35900511.909999996</v>
      </c>
      <c r="K147" s="30">
        <f t="shared" si="40"/>
        <v>31066015.82</v>
      </c>
      <c r="L147" s="30">
        <f t="shared" ref="L147" si="41">SUM(L148:L170)</f>
        <v>1133700</v>
      </c>
      <c r="M147" s="30">
        <f t="shared" ref="M147" si="42">SUM(M148:M170)</f>
        <v>0</v>
      </c>
      <c r="N147" s="30">
        <f t="shared" ref="N147" si="43">SUM(N148:N170)</f>
        <v>0</v>
      </c>
      <c r="O147" s="30">
        <f t="shared" ref="O147" si="44">SUM(O148:O170)</f>
        <v>34766811.909999996</v>
      </c>
      <c r="P147" s="30">
        <f>E147 + J147</f>
        <v>243702164.91</v>
      </c>
    </row>
    <row r="148" spans="1:16" ht="46.8">
      <c r="A148" s="37" t="s">
        <v>216</v>
      </c>
      <c r="B148" s="37" t="s">
        <v>76</v>
      </c>
      <c r="C148" s="37" t="s">
        <v>24</v>
      </c>
      <c r="D148" s="8" t="s">
        <v>77</v>
      </c>
      <c r="E148" s="9">
        <f t="shared" si="25"/>
        <v>5665100</v>
      </c>
      <c r="F148" s="9">
        <v>5665100</v>
      </c>
      <c r="G148" s="9">
        <f>4356900+958500</f>
        <v>5315400</v>
      </c>
      <c r="H148" s="9">
        <f>7200+900+7600</f>
        <v>15700</v>
      </c>
      <c r="I148" s="9">
        <v>0</v>
      </c>
      <c r="J148" s="9">
        <f t="shared" si="26"/>
        <v>0</v>
      </c>
      <c r="K148" s="9">
        <v>0</v>
      </c>
      <c r="L148" s="9">
        <v>0</v>
      </c>
      <c r="M148" s="9">
        <v>0</v>
      </c>
      <c r="N148" s="9">
        <v>0</v>
      </c>
      <c r="O148" s="9">
        <v>0</v>
      </c>
      <c r="P148" s="9">
        <f t="shared" si="22"/>
        <v>5665100</v>
      </c>
    </row>
    <row r="149" spans="1:16" ht="46.8">
      <c r="A149" s="37" t="s">
        <v>217</v>
      </c>
      <c r="B149" s="37" t="s">
        <v>27</v>
      </c>
      <c r="C149" s="37" t="s">
        <v>28</v>
      </c>
      <c r="D149" s="8" t="s">
        <v>29</v>
      </c>
      <c r="E149" s="9">
        <f t="shared" si="25"/>
        <v>10000</v>
      </c>
      <c r="F149" s="9">
        <v>10000</v>
      </c>
      <c r="G149" s="9">
        <v>0</v>
      </c>
      <c r="H149" s="9">
        <v>0</v>
      </c>
      <c r="I149" s="9">
        <v>0</v>
      </c>
      <c r="J149" s="9">
        <f t="shared" si="26"/>
        <v>0</v>
      </c>
      <c r="K149" s="9">
        <v>0</v>
      </c>
      <c r="L149" s="9">
        <v>0</v>
      </c>
      <c r="M149" s="9">
        <v>0</v>
      </c>
      <c r="N149" s="9">
        <v>0</v>
      </c>
      <c r="O149" s="9">
        <v>0</v>
      </c>
      <c r="P149" s="9">
        <f t="shared" si="22"/>
        <v>10000</v>
      </c>
    </row>
    <row r="150" spans="1:16" ht="31.2">
      <c r="A150" s="37" t="s">
        <v>218</v>
      </c>
      <c r="B150" s="37" t="s">
        <v>219</v>
      </c>
      <c r="C150" s="37" t="s">
        <v>220</v>
      </c>
      <c r="D150" s="8" t="s">
        <v>221</v>
      </c>
      <c r="E150" s="9">
        <f t="shared" si="25"/>
        <v>30000</v>
      </c>
      <c r="F150" s="9">
        <f>50000-20000</f>
        <v>30000</v>
      </c>
      <c r="G150" s="9">
        <v>0</v>
      </c>
      <c r="H150" s="9">
        <v>0</v>
      </c>
      <c r="I150" s="9">
        <v>0</v>
      </c>
      <c r="J150" s="9">
        <f t="shared" si="26"/>
        <v>0</v>
      </c>
      <c r="K150" s="9">
        <v>0</v>
      </c>
      <c r="L150" s="9">
        <v>0</v>
      </c>
      <c r="M150" s="9">
        <v>0</v>
      </c>
      <c r="N150" s="9">
        <v>0</v>
      </c>
      <c r="O150" s="9">
        <v>0</v>
      </c>
      <c r="P150" s="9">
        <f t="shared" si="22"/>
        <v>30000</v>
      </c>
    </row>
    <row r="151" spans="1:16" ht="31.2">
      <c r="A151" s="37">
        <v>1216011</v>
      </c>
      <c r="B151" s="37">
        <v>6011</v>
      </c>
      <c r="C151" s="31" t="s">
        <v>365</v>
      </c>
      <c r="D151" s="8" t="s">
        <v>364</v>
      </c>
      <c r="E151" s="9">
        <f t="shared" si="25"/>
        <v>227819</v>
      </c>
      <c r="F151" s="9"/>
      <c r="G151" s="9"/>
      <c r="H151" s="9"/>
      <c r="I151" s="9">
        <f>319069-91250</f>
        <v>227819</v>
      </c>
      <c r="J151" s="9">
        <f t="shared" si="26"/>
        <v>4709123.75</v>
      </c>
      <c r="K151" s="9">
        <f>1660017+43200+600000+94300+1400000+27908+1413000+84762.75+15300+25406+3701-658471</f>
        <v>4709123.75</v>
      </c>
      <c r="L151" s="9"/>
      <c r="M151" s="9"/>
      <c r="N151" s="9"/>
      <c r="O151" s="9">
        <f>1660017+43200+600000+94300+1400000+27908+1413000+84762.75+15300+25406+3701-658471</f>
        <v>4709123.75</v>
      </c>
      <c r="P151" s="9">
        <f t="shared" si="22"/>
        <v>4936942.75</v>
      </c>
    </row>
    <row r="152" spans="1:16" ht="31.2">
      <c r="A152" s="37">
        <v>1216013</v>
      </c>
      <c r="B152" s="37">
        <v>6013</v>
      </c>
      <c r="C152" s="31" t="s">
        <v>56</v>
      </c>
      <c r="D152" s="8" t="s">
        <v>418</v>
      </c>
      <c r="E152" s="9">
        <f t="shared" si="25"/>
        <v>2274106</v>
      </c>
      <c r="F152" s="9"/>
      <c r="G152" s="9"/>
      <c r="H152" s="9"/>
      <c r="I152" s="9">
        <f>4148102-1873996</f>
        <v>2274106</v>
      </c>
      <c r="J152" s="9">
        <f t="shared" si="26"/>
        <v>137117</v>
      </c>
      <c r="K152" s="9">
        <v>137117</v>
      </c>
      <c r="L152" s="9"/>
      <c r="M152" s="9"/>
      <c r="N152" s="9"/>
      <c r="O152" s="9">
        <v>137117</v>
      </c>
      <c r="P152" s="9">
        <f t="shared" si="22"/>
        <v>2411223</v>
      </c>
    </row>
    <row r="153" spans="1:16" ht="31.2">
      <c r="A153" s="37" t="s">
        <v>222</v>
      </c>
      <c r="B153" s="37" t="s">
        <v>223</v>
      </c>
      <c r="C153" s="37" t="s">
        <v>56</v>
      </c>
      <c r="D153" s="8" t="s">
        <v>224</v>
      </c>
      <c r="E153" s="9">
        <f t="shared" si="25"/>
        <v>0</v>
      </c>
      <c r="F153" s="9">
        <v>0</v>
      </c>
      <c r="G153" s="9">
        <v>0</v>
      </c>
      <c r="H153" s="9">
        <v>0</v>
      </c>
      <c r="I153" s="9">
        <f>300000-150101-149899</f>
        <v>0</v>
      </c>
      <c r="J153" s="9">
        <f t="shared" si="26"/>
        <v>6754192.25</v>
      </c>
      <c r="K153" s="9">
        <f>7215287-321984+6487.25-15300-78454-3701-48143</f>
        <v>6754192.25</v>
      </c>
      <c r="L153" s="9">
        <v>0</v>
      </c>
      <c r="M153" s="9">
        <v>0</v>
      </c>
      <c r="N153" s="9">
        <v>0</v>
      </c>
      <c r="O153" s="9">
        <f>7215287-321984+6487.25-15300-78454-3701-48143</f>
        <v>6754192.25</v>
      </c>
      <c r="P153" s="9">
        <f t="shared" si="22"/>
        <v>6754192.25</v>
      </c>
    </row>
    <row r="154" spans="1:16" ht="46.8">
      <c r="A154" s="37" t="s">
        <v>225</v>
      </c>
      <c r="B154" s="37" t="s">
        <v>226</v>
      </c>
      <c r="C154" s="37" t="s">
        <v>56</v>
      </c>
      <c r="D154" s="8" t="s">
        <v>227</v>
      </c>
      <c r="E154" s="9">
        <f t="shared" si="25"/>
        <v>2051830</v>
      </c>
      <c r="F154" s="9">
        <v>0</v>
      </c>
      <c r="G154" s="9">
        <v>0</v>
      </c>
      <c r="H154" s="9">
        <v>0</v>
      </c>
      <c r="I154" s="9">
        <f>1720000+331830</f>
        <v>2051830</v>
      </c>
      <c r="J154" s="9">
        <f t="shared" si="26"/>
        <v>1095000</v>
      </c>
      <c r="K154" s="9">
        <v>1095000</v>
      </c>
      <c r="L154" s="9">
        <v>0</v>
      </c>
      <c r="M154" s="9">
        <v>0</v>
      </c>
      <c r="N154" s="9">
        <v>0</v>
      </c>
      <c r="O154" s="9">
        <v>1095000</v>
      </c>
      <c r="P154" s="9">
        <f t="shared" si="22"/>
        <v>3146830</v>
      </c>
    </row>
    <row r="155" spans="1:16" ht="31.2">
      <c r="A155" s="37" t="s">
        <v>228</v>
      </c>
      <c r="B155" s="37" t="s">
        <v>55</v>
      </c>
      <c r="C155" s="37" t="s">
        <v>56</v>
      </c>
      <c r="D155" s="8" t="s">
        <v>57</v>
      </c>
      <c r="E155" s="9">
        <f t="shared" si="25"/>
        <v>84891674</v>
      </c>
      <c r="F155" s="9">
        <f>12500000+11000000+15000-500000+195000-200000+500000-300000-224000-2000000-500000</f>
        <v>20486000</v>
      </c>
      <c r="G155" s="9">
        <v>0</v>
      </c>
      <c r="H155" s="9">
        <v>0</v>
      </c>
      <c r="I155" s="9">
        <f>60450000+195000+601000-195000+9490+200000+20000+758464-34000+224000+1523499+680800-27579</f>
        <v>64405674</v>
      </c>
      <c r="J155" s="9">
        <f t="shared" si="26"/>
        <v>7241679</v>
      </c>
      <c r="K155" s="9">
        <f>839500+252000+34000+6088600+27579</f>
        <v>7241679</v>
      </c>
      <c r="L155" s="9">
        <v>0</v>
      </c>
      <c r="M155" s="9">
        <v>0</v>
      </c>
      <c r="N155" s="9">
        <v>0</v>
      </c>
      <c r="O155" s="9">
        <f>839500+252000+34000+6088600+27579</f>
        <v>7241679</v>
      </c>
      <c r="P155" s="9">
        <f t="shared" ref="P155:P214" si="45">E155 + J155</f>
        <v>92133353</v>
      </c>
    </row>
    <row r="156" spans="1:16" ht="31.2">
      <c r="A156" s="37">
        <v>1216091</v>
      </c>
      <c r="B156" s="37">
        <v>6091</v>
      </c>
      <c r="C156" s="31" t="s">
        <v>309</v>
      </c>
      <c r="D156" s="8" t="s">
        <v>380</v>
      </c>
      <c r="E156" s="9">
        <f t="shared" si="25"/>
        <v>0</v>
      </c>
      <c r="F156" s="9"/>
      <c r="G156" s="9"/>
      <c r="H156" s="9"/>
      <c r="I156" s="9"/>
      <c r="J156" s="9">
        <f t="shared" si="26"/>
        <v>6559841</v>
      </c>
      <c r="K156" s="9">
        <f>5800000+600000+171000+300000-11159-300000</f>
        <v>6559841</v>
      </c>
      <c r="L156" s="9"/>
      <c r="M156" s="9"/>
      <c r="N156" s="9"/>
      <c r="O156" s="9">
        <f>5800000+600000+171000+300000-11159-300000</f>
        <v>6559841</v>
      </c>
      <c r="P156" s="9">
        <f t="shared" si="45"/>
        <v>6559841</v>
      </c>
    </row>
    <row r="157" spans="1:16" ht="93.6">
      <c r="A157" s="37">
        <v>1216093</v>
      </c>
      <c r="B157" s="37">
        <v>6093</v>
      </c>
      <c r="C157" s="31" t="s">
        <v>309</v>
      </c>
      <c r="D157" s="8" t="s">
        <v>366</v>
      </c>
      <c r="E157" s="9">
        <f t="shared" si="25"/>
        <v>37755</v>
      </c>
      <c r="F157" s="9"/>
      <c r="G157" s="9"/>
      <c r="H157" s="9"/>
      <c r="I157" s="9">
        <f>47400-9645</f>
        <v>37755</v>
      </c>
      <c r="J157" s="9">
        <f t="shared" si="26"/>
        <v>0</v>
      </c>
      <c r="K157" s="9"/>
      <c r="L157" s="9"/>
      <c r="M157" s="9"/>
      <c r="N157" s="9"/>
      <c r="O157" s="9"/>
      <c r="P157" s="9">
        <f t="shared" si="45"/>
        <v>37755</v>
      </c>
    </row>
    <row r="158" spans="1:16" ht="46.8">
      <c r="A158" s="37" t="s">
        <v>229</v>
      </c>
      <c r="B158" s="37" t="s">
        <v>230</v>
      </c>
      <c r="C158" s="37" t="s">
        <v>231</v>
      </c>
      <c r="D158" s="8" t="s">
        <v>232</v>
      </c>
      <c r="E158" s="9">
        <f t="shared" si="25"/>
        <v>30000000</v>
      </c>
      <c r="F158" s="9">
        <v>30000000</v>
      </c>
      <c r="G158" s="9">
        <v>0</v>
      </c>
      <c r="H158" s="9">
        <v>0</v>
      </c>
      <c r="I158" s="9">
        <v>0</v>
      </c>
      <c r="J158" s="9">
        <f t="shared" si="26"/>
        <v>0</v>
      </c>
      <c r="K158" s="9">
        <v>0</v>
      </c>
      <c r="L158" s="9">
        <v>0</v>
      </c>
      <c r="M158" s="9">
        <v>0</v>
      </c>
      <c r="N158" s="9">
        <v>0</v>
      </c>
      <c r="O158" s="9">
        <v>0</v>
      </c>
      <c r="P158" s="9">
        <f t="shared" si="45"/>
        <v>30000000</v>
      </c>
    </row>
    <row r="159" spans="1:16" ht="31.2">
      <c r="A159" s="31" t="s">
        <v>295</v>
      </c>
      <c r="B159" s="31" t="s">
        <v>283</v>
      </c>
      <c r="C159" s="31" t="s">
        <v>285</v>
      </c>
      <c r="D159" s="8" t="s">
        <v>284</v>
      </c>
      <c r="E159" s="9">
        <f t="shared" si="25"/>
        <v>58300</v>
      </c>
      <c r="F159" s="9">
        <f>488300-430000</f>
        <v>58300</v>
      </c>
      <c r="G159" s="9"/>
      <c r="H159" s="9"/>
      <c r="I159" s="9"/>
      <c r="J159" s="9">
        <f t="shared" si="26"/>
        <v>0</v>
      </c>
      <c r="K159" s="9">
        <f>36000-36000</f>
        <v>0</v>
      </c>
      <c r="L159" s="9"/>
      <c r="M159" s="9"/>
      <c r="N159" s="9"/>
      <c r="O159" s="9">
        <f>36000-36000</f>
        <v>0</v>
      </c>
      <c r="P159" s="9">
        <f t="shared" si="45"/>
        <v>58300</v>
      </c>
    </row>
    <row r="160" spans="1:16">
      <c r="A160" s="31" t="s">
        <v>405</v>
      </c>
      <c r="B160" s="31" t="s">
        <v>334</v>
      </c>
      <c r="C160" s="31" t="s">
        <v>335</v>
      </c>
      <c r="D160" s="8" t="s">
        <v>336</v>
      </c>
      <c r="E160" s="9">
        <f t="shared" ref="E160:E193" si="46">F160+I160</f>
        <v>0</v>
      </c>
      <c r="F160" s="9"/>
      <c r="G160" s="9"/>
      <c r="H160" s="9"/>
      <c r="I160" s="9"/>
      <c r="J160" s="9">
        <f t="shared" si="26"/>
        <v>742900</v>
      </c>
      <c r="K160" s="9">
        <f>360000+162900+220000</f>
        <v>742900</v>
      </c>
      <c r="L160" s="9"/>
      <c r="M160" s="9"/>
      <c r="N160" s="9"/>
      <c r="O160" s="9">
        <f>360000+162900+220000</f>
        <v>742900</v>
      </c>
      <c r="P160" s="9">
        <f t="shared" si="45"/>
        <v>742900</v>
      </c>
    </row>
    <row r="161" spans="1:16" ht="33.75" customHeight="1">
      <c r="A161" s="31" t="s">
        <v>367</v>
      </c>
      <c r="B161" s="31" t="s">
        <v>368</v>
      </c>
      <c r="C161" s="31" t="s">
        <v>60</v>
      </c>
      <c r="D161" s="8" t="s">
        <v>369</v>
      </c>
      <c r="E161" s="9">
        <f t="shared" si="46"/>
        <v>0</v>
      </c>
      <c r="F161" s="9"/>
      <c r="G161" s="9"/>
      <c r="H161" s="9"/>
      <c r="I161" s="9"/>
      <c r="J161" s="9">
        <f t="shared" si="26"/>
        <v>3403797.82</v>
      </c>
      <c r="K161" s="9">
        <f>2060000-9490+600000+753287.82</f>
        <v>3403797.82</v>
      </c>
      <c r="L161" s="9"/>
      <c r="M161" s="9"/>
      <c r="N161" s="9"/>
      <c r="O161" s="9">
        <f>2060000-9490+600000+753287.82</f>
        <v>3403797.82</v>
      </c>
      <c r="P161" s="9">
        <f t="shared" si="45"/>
        <v>3403797.82</v>
      </c>
    </row>
    <row r="162" spans="1:16" ht="156.75" customHeight="1">
      <c r="A162" s="31" t="s">
        <v>386</v>
      </c>
      <c r="B162" s="31" t="s">
        <v>370</v>
      </c>
      <c r="C162" s="31" t="s">
        <v>60</v>
      </c>
      <c r="D162" s="8" t="s">
        <v>371</v>
      </c>
      <c r="E162" s="9">
        <f t="shared" si="46"/>
        <v>0</v>
      </c>
      <c r="F162" s="9"/>
      <c r="G162" s="9"/>
      <c r="H162" s="9"/>
      <c r="I162" s="9"/>
      <c r="J162" s="9">
        <f t="shared" si="26"/>
        <v>3600796.09</v>
      </c>
      <c r="K162" s="9"/>
      <c r="L162" s="9"/>
      <c r="M162" s="9"/>
      <c r="N162" s="9"/>
      <c r="O162" s="9">
        <f>384374.18+216000+1700+10712.87+2987672.36+411.2-180.33+105.81</f>
        <v>3600796.09</v>
      </c>
      <c r="P162" s="9">
        <f t="shared" si="45"/>
        <v>3600796.09</v>
      </c>
    </row>
    <row r="163" spans="1:16" ht="31.2">
      <c r="A163" s="37" t="s">
        <v>233</v>
      </c>
      <c r="B163" s="37" t="s">
        <v>234</v>
      </c>
      <c r="C163" s="37" t="s">
        <v>60</v>
      </c>
      <c r="D163" s="8" t="s">
        <v>235</v>
      </c>
      <c r="E163" s="9">
        <f t="shared" si="46"/>
        <v>74305110</v>
      </c>
      <c r="F163" s="9">
        <v>0</v>
      </c>
      <c r="G163" s="9">
        <v>0</v>
      </c>
      <c r="H163" s="9">
        <v>0</v>
      </c>
      <c r="I163" s="9">
        <f>43320000+4300000+100800+8400000+2588110+12000000+3596200</f>
        <v>74305110</v>
      </c>
      <c r="J163" s="9">
        <f t="shared" si="26"/>
        <v>0</v>
      </c>
      <c r="K163" s="9">
        <v>0</v>
      </c>
      <c r="L163" s="9">
        <v>0</v>
      </c>
      <c r="M163" s="9">
        <v>0</v>
      </c>
      <c r="N163" s="9">
        <v>0</v>
      </c>
      <c r="O163" s="9">
        <v>0</v>
      </c>
      <c r="P163" s="9">
        <f t="shared" si="45"/>
        <v>74305110</v>
      </c>
    </row>
    <row r="164" spans="1:16" ht="46.8">
      <c r="A164" s="37" t="s">
        <v>236</v>
      </c>
      <c r="B164" s="37" t="s">
        <v>237</v>
      </c>
      <c r="C164" s="37" t="s">
        <v>238</v>
      </c>
      <c r="D164" s="8" t="s">
        <v>239</v>
      </c>
      <c r="E164" s="9">
        <f t="shared" si="46"/>
        <v>6702300</v>
      </c>
      <c r="F164" s="9">
        <f>2527200+91100+500000+3584000</f>
        <v>6702300</v>
      </c>
      <c r="G164" s="9">
        <v>0</v>
      </c>
      <c r="H164" s="9">
        <v>0</v>
      </c>
      <c r="I164" s="9">
        <v>0</v>
      </c>
      <c r="J164" s="9">
        <f t="shared" si="26"/>
        <v>328365</v>
      </c>
      <c r="K164" s="9">
        <f>378921-50556</f>
        <v>328365</v>
      </c>
      <c r="L164" s="9">
        <v>0</v>
      </c>
      <c r="M164" s="9">
        <v>0</v>
      </c>
      <c r="N164" s="9">
        <v>0</v>
      </c>
      <c r="O164" s="9">
        <f>378921-50556</f>
        <v>328365</v>
      </c>
      <c r="P164" s="9">
        <f t="shared" si="45"/>
        <v>7030665</v>
      </c>
    </row>
    <row r="165" spans="1:16" ht="31.2">
      <c r="A165" s="31" t="s">
        <v>387</v>
      </c>
      <c r="B165" s="37">
        <v>8240</v>
      </c>
      <c r="C165" s="31" t="s">
        <v>64</v>
      </c>
      <c r="D165" s="8" t="s">
        <v>260</v>
      </c>
      <c r="E165" s="9">
        <f t="shared" si="46"/>
        <v>0</v>
      </c>
      <c r="F165" s="9"/>
      <c r="G165" s="9"/>
      <c r="H165" s="9"/>
      <c r="I165" s="9"/>
      <c r="J165" s="9">
        <f t="shared" si="26"/>
        <v>94000</v>
      </c>
      <c r="K165" s="9">
        <f>200000-106000</f>
        <v>94000</v>
      </c>
      <c r="L165" s="9"/>
      <c r="M165" s="9"/>
      <c r="N165" s="9"/>
      <c r="O165" s="9">
        <f>200000-106000</f>
        <v>94000</v>
      </c>
      <c r="P165" s="9">
        <f t="shared" si="45"/>
        <v>94000</v>
      </c>
    </row>
    <row r="166" spans="1:16" ht="31.2">
      <c r="A166" s="31" t="s">
        <v>422</v>
      </c>
      <c r="B166" s="37">
        <v>8340</v>
      </c>
      <c r="C166" s="37" t="s">
        <v>273</v>
      </c>
      <c r="D166" s="8" t="s">
        <v>274</v>
      </c>
      <c r="E166" s="9">
        <f t="shared" si="46"/>
        <v>0</v>
      </c>
      <c r="F166" s="9"/>
      <c r="G166" s="9"/>
      <c r="H166" s="9"/>
      <c r="I166" s="9"/>
      <c r="J166" s="9">
        <f t="shared" si="26"/>
        <v>1233700</v>
      </c>
      <c r="K166" s="9"/>
      <c r="L166" s="9">
        <v>1133700</v>
      </c>
      <c r="M166" s="9"/>
      <c r="N166" s="9"/>
      <c r="O166" s="9">
        <v>100000</v>
      </c>
      <c r="P166" s="9">
        <f t="shared" si="45"/>
        <v>1233700</v>
      </c>
    </row>
    <row r="167" spans="1:16" ht="85.5" customHeight="1">
      <c r="A167" s="31" t="s">
        <v>397</v>
      </c>
      <c r="B167" s="37">
        <v>8733</v>
      </c>
      <c r="C167" s="31" t="s">
        <v>231</v>
      </c>
      <c r="D167" s="8" t="s">
        <v>399</v>
      </c>
      <c r="E167" s="9">
        <f t="shared" si="46"/>
        <v>123659</v>
      </c>
      <c r="F167" s="9">
        <v>123659</v>
      </c>
      <c r="G167" s="9"/>
      <c r="H167" s="9"/>
      <c r="I167" s="9"/>
      <c r="J167" s="9">
        <f t="shared" si="26"/>
        <v>0</v>
      </c>
      <c r="K167" s="9"/>
      <c r="L167" s="9"/>
      <c r="M167" s="9"/>
      <c r="N167" s="9"/>
      <c r="O167" s="9"/>
      <c r="P167" s="9">
        <f t="shared" si="45"/>
        <v>123659</v>
      </c>
    </row>
    <row r="168" spans="1:16" ht="78">
      <c r="A168" s="31" t="s">
        <v>398</v>
      </c>
      <c r="B168" s="37">
        <v>8741</v>
      </c>
      <c r="C168" s="31" t="s">
        <v>365</v>
      </c>
      <c r="D168" s="8" t="s">
        <v>400</v>
      </c>
      <c r="E168" s="9">
        <f t="shared" si="46"/>
        <v>400000</v>
      </c>
      <c r="F168" s="9"/>
      <c r="G168" s="9"/>
      <c r="H168" s="9"/>
      <c r="I168" s="9">
        <v>400000</v>
      </c>
      <c r="J168" s="9">
        <f t="shared" si="26"/>
        <v>0</v>
      </c>
      <c r="K168" s="9"/>
      <c r="L168" s="9"/>
      <c r="M168" s="9"/>
      <c r="N168" s="9"/>
      <c r="O168" s="9"/>
      <c r="P168" s="9">
        <f t="shared" si="45"/>
        <v>400000</v>
      </c>
    </row>
    <row r="169" spans="1:16" ht="78">
      <c r="A169" s="31" t="s">
        <v>419</v>
      </c>
      <c r="B169" s="37">
        <v>8745</v>
      </c>
      <c r="C169" s="31" t="s">
        <v>309</v>
      </c>
      <c r="D169" s="8" t="s">
        <v>420</v>
      </c>
      <c r="E169" s="9">
        <f t="shared" si="46"/>
        <v>624000</v>
      </c>
      <c r="F169" s="9"/>
      <c r="G169" s="9"/>
      <c r="H169" s="9"/>
      <c r="I169" s="9">
        <v>624000</v>
      </c>
      <c r="J169" s="9"/>
      <c r="K169" s="9"/>
      <c r="L169" s="9"/>
      <c r="M169" s="9"/>
      <c r="N169" s="9"/>
      <c r="O169" s="9"/>
      <c r="P169" s="9">
        <f t="shared" si="45"/>
        <v>624000</v>
      </c>
    </row>
    <row r="170" spans="1:16" ht="93.6">
      <c r="A170" s="31" t="s">
        <v>436</v>
      </c>
      <c r="B170" s="37">
        <v>8746</v>
      </c>
      <c r="C170" s="31" t="s">
        <v>309</v>
      </c>
      <c r="D170" s="8" t="s">
        <v>437</v>
      </c>
      <c r="E170" s="9">
        <f t="shared" si="46"/>
        <v>400000</v>
      </c>
      <c r="F170" s="9"/>
      <c r="G170" s="9"/>
      <c r="H170" s="9"/>
      <c r="I170" s="9">
        <v>400000</v>
      </c>
      <c r="J170" s="9"/>
      <c r="K170" s="9"/>
      <c r="L170" s="9"/>
      <c r="M170" s="9"/>
      <c r="N170" s="9"/>
      <c r="O170" s="9"/>
      <c r="P170" s="9">
        <f t="shared" si="45"/>
        <v>400000</v>
      </c>
    </row>
    <row r="171" spans="1:16" ht="62.4">
      <c r="A171" s="6" t="s">
        <v>240</v>
      </c>
      <c r="B171" s="6" t="s">
        <v>19</v>
      </c>
      <c r="C171" s="6" t="s">
        <v>19</v>
      </c>
      <c r="D171" s="7" t="s">
        <v>241</v>
      </c>
      <c r="E171" s="30">
        <f t="shared" si="46"/>
        <v>6407684</v>
      </c>
      <c r="F171" s="30">
        <f>F172</f>
        <v>6407684</v>
      </c>
      <c r="G171" s="30">
        <f t="shared" ref="G171:I171" si="47">G172</f>
        <v>6111800</v>
      </c>
      <c r="H171" s="30">
        <f t="shared" si="47"/>
        <v>0</v>
      </c>
      <c r="I171" s="30">
        <f t="shared" si="47"/>
        <v>0</v>
      </c>
      <c r="J171" s="30">
        <f t="shared" si="26"/>
        <v>159330146.34</v>
      </c>
      <c r="K171" s="30">
        <f>K172</f>
        <v>157695855.63</v>
      </c>
      <c r="L171" s="30">
        <f t="shared" ref="L171:O171" si="48">L172</f>
        <v>0</v>
      </c>
      <c r="M171" s="30">
        <f t="shared" si="48"/>
        <v>0</v>
      </c>
      <c r="N171" s="30">
        <f t="shared" si="48"/>
        <v>0</v>
      </c>
      <c r="O171" s="30">
        <f t="shared" si="48"/>
        <v>159330146.34</v>
      </c>
      <c r="P171" s="30">
        <f t="shared" si="45"/>
        <v>165737830.34</v>
      </c>
    </row>
    <row r="172" spans="1:16" ht="62.4">
      <c r="A172" s="6" t="s">
        <v>242</v>
      </c>
      <c r="B172" s="6" t="s">
        <v>19</v>
      </c>
      <c r="C172" s="6" t="s">
        <v>19</v>
      </c>
      <c r="D172" s="7" t="s">
        <v>241</v>
      </c>
      <c r="E172" s="30">
        <f t="shared" si="46"/>
        <v>6407684</v>
      </c>
      <c r="F172" s="30">
        <f>SUM(F173:F183)</f>
        <v>6407684</v>
      </c>
      <c r="G172" s="30">
        <f t="shared" ref="G172:O172" si="49">SUM(G173:G183)</f>
        <v>6111800</v>
      </c>
      <c r="H172" s="30">
        <f t="shared" si="49"/>
        <v>0</v>
      </c>
      <c r="I172" s="30">
        <f t="shared" si="49"/>
        <v>0</v>
      </c>
      <c r="J172" s="30">
        <f t="shared" si="26"/>
        <v>159330146.34</v>
      </c>
      <c r="K172" s="30">
        <f t="shared" si="49"/>
        <v>157695855.63</v>
      </c>
      <c r="L172" s="30">
        <f t="shared" si="49"/>
        <v>0</v>
      </c>
      <c r="M172" s="30">
        <f t="shared" si="49"/>
        <v>0</v>
      </c>
      <c r="N172" s="30">
        <f t="shared" si="49"/>
        <v>0</v>
      </c>
      <c r="O172" s="30">
        <f t="shared" si="49"/>
        <v>159330146.34</v>
      </c>
      <c r="P172" s="30">
        <f t="shared" si="45"/>
        <v>165737830.34</v>
      </c>
    </row>
    <row r="173" spans="1:16" ht="93.6">
      <c r="A173" s="37">
        <v>1510150</v>
      </c>
      <c r="B173" s="31" t="s">
        <v>23</v>
      </c>
      <c r="C173" s="31" t="s">
        <v>24</v>
      </c>
      <c r="D173" s="8" t="s">
        <v>25</v>
      </c>
      <c r="E173" s="9">
        <f t="shared" si="46"/>
        <v>0</v>
      </c>
      <c r="F173" s="9"/>
      <c r="G173" s="9"/>
      <c r="H173" s="9"/>
      <c r="I173" s="9"/>
      <c r="J173" s="9">
        <f t="shared" si="26"/>
        <v>1220000</v>
      </c>
      <c r="K173" s="9">
        <f>590000+630000</f>
        <v>1220000</v>
      </c>
      <c r="L173" s="9"/>
      <c r="M173" s="9"/>
      <c r="N173" s="9"/>
      <c r="O173" s="9">
        <f>590000+630000</f>
        <v>1220000</v>
      </c>
      <c r="P173" s="9">
        <f t="shared" si="45"/>
        <v>1220000</v>
      </c>
    </row>
    <row r="174" spans="1:16" ht="46.8">
      <c r="A174" s="37" t="s">
        <v>243</v>
      </c>
      <c r="B174" s="37" t="s">
        <v>76</v>
      </c>
      <c r="C174" s="37" t="s">
        <v>24</v>
      </c>
      <c r="D174" s="8" t="s">
        <v>77</v>
      </c>
      <c r="E174" s="9">
        <f t="shared" si="46"/>
        <v>6327384</v>
      </c>
      <c r="F174" s="9">
        <f>6327300+26000+14084+70000-100000-10000</f>
        <v>6327384</v>
      </c>
      <c r="G174" s="9">
        <f>5091700+1120100-100000</f>
        <v>6111800</v>
      </c>
      <c r="H174" s="9">
        <v>0</v>
      </c>
      <c r="I174" s="9">
        <v>0</v>
      </c>
      <c r="J174" s="9">
        <f t="shared" si="26"/>
        <v>0</v>
      </c>
      <c r="K174" s="9">
        <v>0</v>
      </c>
      <c r="L174" s="9">
        <v>0</v>
      </c>
      <c r="M174" s="9">
        <v>0</v>
      </c>
      <c r="N174" s="9">
        <v>0</v>
      </c>
      <c r="O174" s="9">
        <v>0</v>
      </c>
      <c r="P174" s="9">
        <f t="shared" si="45"/>
        <v>6327384</v>
      </c>
    </row>
    <row r="175" spans="1:16" ht="31.2">
      <c r="A175" s="37">
        <v>1511300</v>
      </c>
      <c r="B175" s="31" t="s">
        <v>372</v>
      </c>
      <c r="C175" s="31" t="s">
        <v>106</v>
      </c>
      <c r="D175" s="8" t="s">
        <v>378</v>
      </c>
      <c r="E175" s="9">
        <f t="shared" si="46"/>
        <v>0</v>
      </c>
      <c r="F175" s="9"/>
      <c r="G175" s="9"/>
      <c r="H175" s="9"/>
      <c r="I175" s="9"/>
      <c r="J175" s="9">
        <f t="shared" si="26"/>
        <v>90138146.510000005</v>
      </c>
      <c r="K175" s="9">
        <f>83518800+3500000+100000-250000+100000-14084+2800000-70000+3000000-2546569.49</f>
        <v>90138146.510000005</v>
      </c>
      <c r="L175" s="9"/>
      <c r="M175" s="9"/>
      <c r="N175" s="9"/>
      <c r="O175" s="9">
        <f>83518800+3500000+100000-250000+100000-14084+2800000-70000+3000000-2546569.49</f>
        <v>90138146.510000005</v>
      </c>
      <c r="P175" s="9">
        <f t="shared" si="45"/>
        <v>90138146.510000005</v>
      </c>
    </row>
    <row r="176" spans="1:16" ht="78">
      <c r="A176" s="37">
        <v>1512171</v>
      </c>
      <c r="B176" s="31" t="s">
        <v>373</v>
      </c>
      <c r="C176" s="31" t="s">
        <v>48</v>
      </c>
      <c r="D176" s="8" t="s">
        <v>379</v>
      </c>
      <c r="E176" s="9">
        <f t="shared" si="46"/>
        <v>0</v>
      </c>
      <c r="F176" s="9"/>
      <c r="G176" s="9"/>
      <c r="H176" s="9"/>
      <c r="I176" s="9"/>
      <c r="J176" s="9">
        <f t="shared" si="26"/>
        <v>7550000</v>
      </c>
      <c r="K176" s="9">
        <f>550000+2000000+5000000</f>
        <v>7550000</v>
      </c>
      <c r="L176" s="9"/>
      <c r="M176" s="9"/>
      <c r="N176" s="9"/>
      <c r="O176" s="9">
        <f>550000+2000000+5000000</f>
        <v>7550000</v>
      </c>
      <c r="P176" s="9">
        <f t="shared" si="45"/>
        <v>7550000</v>
      </c>
    </row>
    <row r="177" spans="1:16" ht="31.2">
      <c r="A177" s="37">
        <v>1516015</v>
      </c>
      <c r="B177" s="31" t="s">
        <v>223</v>
      </c>
      <c r="C177" s="31" t="s">
        <v>56</v>
      </c>
      <c r="D177" s="8" t="s">
        <v>224</v>
      </c>
      <c r="E177" s="9">
        <f t="shared" si="46"/>
        <v>0</v>
      </c>
      <c r="F177" s="9"/>
      <c r="G177" s="9"/>
      <c r="H177" s="9"/>
      <c r="I177" s="9"/>
      <c r="J177" s="9">
        <f t="shared" si="26"/>
        <v>1122000</v>
      </c>
      <c r="K177" s="9">
        <f>486000+636000</f>
        <v>1122000</v>
      </c>
      <c r="L177" s="9"/>
      <c r="M177" s="9"/>
      <c r="N177" s="9"/>
      <c r="O177" s="9">
        <f>486000+636000</f>
        <v>1122000</v>
      </c>
      <c r="P177" s="9">
        <f t="shared" si="45"/>
        <v>1122000</v>
      </c>
    </row>
    <row r="178" spans="1:16" ht="31.2">
      <c r="A178" s="37">
        <v>1516091</v>
      </c>
      <c r="B178" s="31" t="s">
        <v>374</v>
      </c>
      <c r="C178" s="31" t="s">
        <v>309</v>
      </c>
      <c r="D178" s="8" t="s">
        <v>380</v>
      </c>
      <c r="E178" s="9">
        <f t="shared" si="46"/>
        <v>0</v>
      </c>
      <c r="F178" s="9"/>
      <c r="G178" s="9"/>
      <c r="H178" s="9"/>
      <c r="I178" s="9"/>
      <c r="J178" s="9">
        <f t="shared" si="26"/>
        <v>27938093.499999996</v>
      </c>
      <c r="K178" s="9">
        <f>14033601.01+10981383+4148102+926970+136176-4148102+1859963.49</f>
        <v>27938093.499999996</v>
      </c>
      <c r="L178" s="9"/>
      <c r="M178" s="9"/>
      <c r="N178" s="9"/>
      <c r="O178" s="9">
        <f>14033601.01+10981383+4148102+926970+136176-4148102+1859963.49</f>
        <v>27938093.499999996</v>
      </c>
      <c r="P178" s="9">
        <f t="shared" si="45"/>
        <v>27938093.499999996</v>
      </c>
    </row>
    <row r="179" spans="1:16" ht="31.2">
      <c r="A179" s="37">
        <v>1517368</v>
      </c>
      <c r="B179" s="31" t="s">
        <v>375</v>
      </c>
      <c r="C179" s="31" t="s">
        <v>60</v>
      </c>
      <c r="D179" s="8" t="s">
        <v>381</v>
      </c>
      <c r="E179" s="9">
        <f t="shared" si="46"/>
        <v>0</v>
      </c>
      <c r="F179" s="9"/>
      <c r="G179" s="9"/>
      <c r="H179" s="9"/>
      <c r="I179" s="9"/>
      <c r="J179" s="9">
        <f t="shared" si="26"/>
        <v>15815727.619999999</v>
      </c>
      <c r="K179" s="9">
        <v>15815727.619999999</v>
      </c>
      <c r="L179" s="9"/>
      <c r="M179" s="9"/>
      <c r="N179" s="9"/>
      <c r="O179" s="9">
        <v>15815727.619999999</v>
      </c>
      <c r="P179" s="9">
        <f t="shared" si="45"/>
        <v>15815727.619999999</v>
      </c>
    </row>
    <row r="180" spans="1:16" ht="46.8">
      <c r="A180" s="37">
        <v>1517370</v>
      </c>
      <c r="B180" s="31" t="s">
        <v>376</v>
      </c>
      <c r="C180" s="31" t="s">
        <v>60</v>
      </c>
      <c r="D180" s="8" t="s">
        <v>382</v>
      </c>
      <c r="E180" s="9">
        <f t="shared" si="46"/>
        <v>0</v>
      </c>
      <c r="F180" s="9"/>
      <c r="G180" s="9"/>
      <c r="H180" s="9"/>
      <c r="I180" s="9"/>
      <c r="J180" s="9">
        <f t="shared" si="26"/>
        <v>11920588</v>
      </c>
      <c r="K180" s="9">
        <f>19920588-5000000-3000000</f>
        <v>11920588</v>
      </c>
      <c r="L180" s="9"/>
      <c r="M180" s="9"/>
      <c r="N180" s="9"/>
      <c r="O180" s="9">
        <f>19920588-5000000-3000000</f>
        <v>11920588</v>
      </c>
      <c r="P180" s="9">
        <f t="shared" si="45"/>
        <v>11920588</v>
      </c>
    </row>
    <row r="181" spans="1:16" ht="31.2">
      <c r="A181" s="31" t="s">
        <v>296</v>
      </c>
      <c r="B181" s="31" t="s">
        <v>283</v>
      </c>
      <c r="C181" s="31" t="s">
        <v>285</v>
      </c>
      <c r="D181" s="8" t="s">
        <v>284</v>
      </c>
      <c r="E181" s="9">
        <f t="shared" si="46"/>
        <v>80300</v>
      </c>
      <c r="F181" s="9">
        <f>46300+24000+10000</f>
        <v>80300</v>
      </c>
      <c r="G181" s="9"/>
      <c r="H181" s="9"/>
      <c r="I181" s="9"/>
      <c r="J181" s="9">
        <f t="shared" si="26"/>
        <v>0</v>
      </c>
      <c r="K181" s="9"/>
      <c r="L181" s="9"/>
      <c r="M181" s="9"/>
      <c r="N181" s="9"/>
      <c r="O181" s="9"/>
      <c r="P181" s="9">
        <f t="shared" si="45"/>
        <v>80300</v>
      </c>
    </row>
    <row r="182" spans="1:16" ht="162.75" customHeight="1">
      <c r="A182" s="31" t="s">
        <v>435</v>
      </c>
      <c r="B182" s="31" t="s">
        <v>370</v>
      </c>
      <c r="C182" s="31" t="s">
        <v>60</v>
      </c>
      <c r="D182" s="8" t="s">
        <v>371</v>
      </c>
      <c r="E182" s="9">
        <f t="shared" si="46"/>
        <v>0</v>
      </c>
      <c r="F182" s="9"/>
      <c r="G182" s="9"/>
      <c r="H182" s="9"/>
      <c r="I182" s="9"/>
      <c r="J182" s="9">
        <f t="shared" si="26"/>
        <v>1634290.71</v>
      </c>
      <c r="K182" s="9"/>
      <c r="L182" s="9"/>
      <c r="M182" s="9"/>
      <c r="N182" s="9"/>
      <c r="O182" s="9">
        <f>1634290.71</f>
        <v>1634290.71</v>
      </c>
      <c r="P182" s="9">
        <f t="shared" si="45"/>
        <v>1634290.71</v>
      </c>
    </row>
    <row r="183" spans="1:16" ht="46.8">
      <c r="A183" s="31" t="s">
        <v>377</v>
      </c>
      <c r="B183" s="31" t="s">
        <v>237</v>
      </c>
      <c r="C183" s="31" t="s">
        <v>238</v>
      </c>
      <c r="D183" s="8" t="s">
        <v>239</v>
      </c>
      <c r="E183" s="9">
        <f t="shared" si="46"/>
        <v>0</v>
      </c>
      <c r="F183" s="9"/>
      <c r="G183" s="9"/>
      <c r="H183" s="9"/>
      <c r="I183" s="9"/>
      <c r="J183" s="9">
        <f t="shared" si="26"/>
        <v>1991300</v>
      </c>
      <c r="K183" s="9">
        <f>5000000+1791300-2000000-2800000</f>
        <v>1991300</v>
      </c>
      <c r="L183" s="9"/>
      <c r="M183" s="9"/>
      <c r="N183" s="9"/>
      <c r="O183" s="9">
        <f>5000000+1791300-2000000-2800000</f>
        <v>1991300</v>
      </c>
      <c r="P183" s="9">
        <f t="shared" si="45"/>
        <v>1991300</v>
      </c>
    </row>
    <row r="184" spans="1:16" ht="78" customHeight="1">
      <c r="A184" s="6" t="s">
        <v>244</v>
      </c>
      <c r="B184" s="6" t="s">
        <v>19</v>
      </c>
      <c r="C184" s="6" t="s">
        <v>19</v>
      </c>
      <c r="D184" s="7" t="s">
        <v>245</v>
      </c>
      <c r="E184" s="30">
        <f t="shared" si="46"/>
        <v>27929400</v>
      </c>
      <c r="F184" s="30">
        <f>F185</f>
        <v>5970300</v>
      </c>
      <c r="G184" s="30">
        <f t="shared" ref="G184:I184" si="50">G185</f>
        <v>5121700</v>
      </c>
      <c r="H184" s="30">
        <f t="shared" si="50"/>
        <v>0</v>
      </c>
      <c r="I184" s="30">
        <f t="shared" si="50"/>
        <v>21959100</v>
      </c>
      <c r="J184" s="30">
        <f t="shared" si="26"/>
        <v>850000</v>
      </c>
      <c r="K184" s="30">
        <f>K185</f>
        <v>850000</v>
      </c>
      <c r="L184" s="30">
        <f t="shared" ref="L184:O184" si="51">L185</f>
        <v>0</v>
      </c>
      <c r="M184" s="30">
        <f t="shared" si="51"/>
        <v>0</v>
      </c>
      <c r="N184" s="30">
        <f t="shared" si="51"/>
        <v>0</v>
      </c>
      <c r="O184" s="30">
        <f t="shared" si="51"/>
        <v>850000</v>
      </c>
      <c r="P184" s="30">
        <f t="shared" si="45"/>
        <v>28779400</v>
      </c>
    </row>
    <row r="185" spans="1:16" ht="78" customHeight="1">
      <c r="A185" s="6" t="s">
        <v>246</v>
      </c>
      <c r="B185" s="6" t="s">
        <v>19</v>
      </c>
      <c r="C185" s="6" t="s">
        <v>19</v>
      </c>
      <c r="D185" s="7" t="s">
        <v>245</v>
      </c>
      <c r="E185" s="30">
        <f t="shared" si="46"/>
        <v>27929400</v>
      </c>
      <c r="F185" s="30">
        <f>SUM(F186:F193)</f>
        <v>5970300</v>
      </c>
      <c r="G185" s="30">
        <f t="shared" ref="G185:O185" si="52">SUM(G186:G193)</f>
        <v>5121700</v>
      </c>
      <c r="H185" s="30">
        <f t="shared" si="52"/>
        <v>0</v>
      </c>
      <c r="I185" s="30">
        <f t="shared" si="52"/>
        <v>21959100</v>
      </c>
      <c r="J185" s="30">
        <f t="shared" si="26"/>
        <v>850000</v>
      </c>
      <c r="K185" s="30">
        <f t="shared" si="52"/>
        <v>850000</v>
      </c>
      <c r="L185" s="30">
        <f t="shared" si="52"/>
        <v>0</v>
      </c>
      <c r="M185" s="30">
        <f t="shared" si="52"/>
        <v>0</v>
      </c>
      <c r="N185" s="30">
        <f t="shared" si="52"/>
        <v>0</v>
      </c>
      <c r="O185" s="30">
        <f t="shared" si="52"/>
        <v>850000</v>
      </c>
      <c r="P185" s="30">
        <f t="shared" si="45"/>
        <v>28779400</v>
      </c>
    </row>
    <row r="186" spans="1:16" ht="66.75" customHeight="1">
      <c r="A186" s="37" t="s">
        <v>247</v>
      </c>
      <c r="B186" s="37" t="s">
        <v>76</v>
      </c>
      <c r="C186" s="37" t="s">
        <v>24</v>
      </c>
      <c r="D186" s="8" t="s">
        <v>77</v>
      </c>
      <c r="E186" s="9">
        <f t="shared" si="46"/>
        <v>5201700</v>
      </c>
      <c r="F186" s="9">
        <f>5601700-400000</f>
        <v>5201700</v>
      </c>
      <c r="G186" s="9">
        <f>4526000+995700-400000</f>
        <v>5121700</v>
      </c>
      <c r="H186" s="9">
        <v>0</v>
      </c>
      <c r="I186" s="9">
        <v>0</v>
      </c>
      <c r="J186" s="9">
        <f t="shared" si="26"/>
        <v>0</v>
      </c>
      <c r="K186" s="9">
        <v>0</v>
      </c>
      <c r="L186" s="9">
        <v>0</v>
      </c>
      <c r="M186" s="9">
        <v>0</v>
      </c>
      <c r="N186" s="9">
        <v>0</v>
      </c>
      <c r="O186" s="9">
        <v>0</v>
      </c>
      <c r="P186" s="9">
        <f t="shared" si="45"/>
        <v>5201700</v>
      </c>
    </row>
    <row r="187" spans="1:16" ht="44.25" customHeight="1">
      <c r="A187" s="37" t="s">
        <v>248</v>
      </c>
      <c r="B187" s="37" t="s">
        <v>31</v>
      </c>
      <c r="C187" s="37" t="s">
        <v>32</v>
      </c>
      <c r="D187" s="8" t="s">
        <v>33</v>
      </c>
      <c r="E187" s="9">
        <f t="shared" si="46"/>
        <v>115000</v>
      </c>
      <c r="F187" s="9">
        <f>65000+50000</f>
        <v>115000</v>
      </c>
      <c r="G187" s="9">
        <v>0</v>
      </c>
      <c r="H187" s="9">
        <v>0</v>
      </c>
      <c r="I187" s="9">
        <v>0</v>
      </c>
      <c r="J187" s="9">
        <f t="shared" si="26"/>
        <v>0</v>
      </c>
      <c r="K187" s="9">
        <v>0</v>
      </c>
      <c r="L187" s="9">
        <v>0</v>
      </c>
      <c r="M187" s="9">
        <v>0</v>
      </c>
      <c r="N187" s="9">
        <v>0</v>
      </c>
      <c r="O187" s="9">
        <v>0</v>
      </c>
      <c r="P187" s="9">
        <f t="shared" si="45"/>
        <v>115000</v>
      </c>
    </row>
    <row r="188" spans="1:16" ht="56.25" customHeight="1">
      <c r="A188" s="37" t="s">
        <v>249</v>
      </c>
      <c r="B188" s="37" t="s">
        <v>226</v>
      </c>
      <c r="C188" s="37" t="s">
        <v>56</v>
      </c>
      <c r="D188" s="8" t="s">
        <v>227</v>
      </c>
      <c r="E188" s="9">
        <f t="shared" si="46"/>
        <v>200000</v>
      </c>
      <c r="F188" s="9">
        <v>200000</v>
      </c>
      <c r="G188" s="9">
        <v>0</v>
      </c>
      <c r="H188" s="9">
        <v>0</v>
      </c>
      <c r="I188" s="9">
        <v>0</v>
      </c>
      <c r="J188" s="9">
        <f t="shared" si="26"/>
        <v>0</v>
      </c>
      <c r="K188" s="9">
        <v>0</v>
      </c>
      <c r="L188" s="9">
        <v>0</v>
      </c>
      <c r="M188" s="9">
        <v>0</v>
      </c>
      <c r="N188" s="9">
        <v>0</v>
      </c>
      <c r="O188" s="9">
        <v>0</v>
      </c>
      <c r="P188" s="9">
        <f t="shared" si="45"/>
        <v>200000</v>
      </c>
    </row>
    <row r="189" spans="1:16" s="15" customFormat="1" ht="42.75" customHeight="1">
      <c r="A189" s="31" t="s">
        <v>310</v>
      </c>
      <c r="B189" s="37">
        <v>6090</v>
      </c>
      <c r="C189" s="31" t="s">
        <v>309</v>
      </c>
      <c r="D189" s="8" t="s">
        <v>308</v>
      </c>
      <c r="E189" s="9">
        <f t="shared" si="46"/>
        <v>1500000</v>
      </c>
      <c r="F189" s="9"/>
      <c r="G189" s="9">
        <v>0</v>
      </c>
      <c r="H189" s="9">
        <v>0</v>
      </c>
      <c r="I189" s="9">
        <v>1500000</v>
      </c>
      <c r="J189" s="9">
        <f t="shared" si="26"/>
        <v>0</v>
      </c>
      <c r="K189" s="9">
        <v>0</v>
      </c>
      <c r="L189" s="9">
        <v>0</v>
      </c>
      <c r="M189" s="9">
        <v>0</v>
      </c>
      <c r="N189" s="9">
        <v>0</v>
      </c>
      <c r="O189" s="9">
        <v>0</v>
      </c>
      <c r="P189" s="9">
        <f t="shared" si="45"/>
        <v>1500000</v>
      </c>
    </row>
    <row r="190" spans="1:16">
      <c r="A190" s="37" t="s">
        <v>250</v>
      </c>
      <c r="B190" s="37" t="s">
        <v>251</v>
      </c>
      <c r="C190" s="37" t="s">
        <v>252</v>
      </c>
      <c r="D190" s="8" t="s">
        <v>253</v>
      </c>
      <c r="E190" s="9">
        <f t="shared" si="46"/>
        <v>360000</v>
      </c>
      <c r="F190" s="9">
        <f>1160000-100000-200000-600000</f>
        <v>260000</v>
      </c>
      <c r="G190" s="9">
        <v>0</v>
      </c>
      <c r="H190" s="9">
        <v>0</v>
      </c>
      <c r="I190" s="9">
        <v>100000</v>
      </c>
      <c r="J190" s="9">
        <f t="shared" si="26"/>
        <v>0</v>
      </c>
      <c r="K190" s="9">
        <v>0</v>
      </c>
      <c r="L190" s="9">
        <v>0</v>
      </c>
      <c r="M190" s="9">
        <v>0</v>
      </c>
      <c r="N190" s="9">
        <v>0</v>
      </c>
      <c r="O190" s="9">
        <v>0</v>
      </c>
      <c r="P190" s="9">
        <f t="shared" si="45"/>
        <v>360000</v>
      </c>
    </row>
    <row r="191" spans="1:16" ht="41.25" customHeight="1">
      <c r="A191" s="31" t="s">
        <v>297</v>
      </c>
      <c r="B191" s="31" t="s">
        <v>283</v>
      </c>
      <c r="C191" s="31" t="s">
        <v>285</v>
      </c>
      <c r="D191" s="8" t="s">
        <v>284</v>
      </c>
      <c r="E191" s="9">
        <f t="shared" si="46"/>
        <v>48600</v>
      </c>
      <c r="F191" s="9">
        <f>8600+40000</f>
        <v>48600</v>
      </c>
      <c r="G191" s="9"/>
      <c r="H191" s="9"/>
      <c r="I191" s="9"/>
      <c r="J191" s="9">
        <f t="shared" si="26"/>
        <v>0</v>
      </c>
      <c r="K191" s="9"/>
      <c r="L191" s="9"/>
      <c r="M191" s="9"/>
      <c r="N191" s="9"/>
      <c r="O191" s="9"/>
      <c r="P191" s="9">
        <f t="shared" si="45"/>
        <v>48600</v>
      </c>
    </row>
    <row r="192" spans="1:16" ht="40.5" customHeight="1">
      <c r="A192" s="37" t="s">
        <v>257</v>
      </c>
      <c r="B192" s="37" t="s">
        <v>234</v>
      </c>
      <c r="C192" s="37" t="s">
        <v>60</v>
      </c>
      <c r="D192" s="8" t="s">
        <v>235</v>
      </c>
      <c r="E192" s="9">
        <f t="shared" si="46"/>
        <v>20359100</v>
      </c>
      <c r="F192" s="9">
        <v>0</v>
      </c>
      <c r="G192" s="9">
        <v>0</v>
      </c>
      <c r="H192" s="9">
        <v>0</v>
      </c>
      <c r="I192" s="9">
        <f>20021000+200000+138100</f>
        <v>20359100</v>
      </c>
      <c r="J192" s="9">
        <f t="shared" si="26"/>
        <v>850000</v>
      </c>
      <c r="K192" s="9">
        <v>850000</v>
      </c>
      <c r="L192" s="9">
        <v>0</v>
      </c>
      <c r="M192" s="9">
        <v>0</v>
      </c>
      <c r="N192" s="9">
        <v>0</v>
      </c>
      <c r="O192" s="9">
        <v>850000</v>
      </c>
      <c r="P192" s="9">
        <f t="shared" si="45"/>
        <v>21209100</v>
      </c>
    </row>
    <row r="193" spans="1:16" ht="40.5" customHeight="1">
      <c r="A193" s="37" t="s">
        <v>258</v>
      </c>
      <c r="B193" s="37" t="s">
        <v>259</v>
      </c>
      <c r="C193" s="37" t="s">
        <v>64</v>
      </c>
      <c r="D193" s="8" t="s">
        <v>260</v>
      </c>
      <c r="E193" s="9">
        <f t="shared" si="46"/>
        <v>145000</v>
      </c>
      <c r="F193" s="9">
        <v>145000</v>
      </c>
      <c r="G193" s="9">
        <v>0</v>
      </c>
      <c r="H193" s="9">
        <v>0</v>
      </c>
      <c r="I193" s="9">
        <v>0</v>
      </c>
      <c r="J193" s="9">
        <f t="shared" si="26"/>
        <v>0</v>
      </c>
      <c r="K193" s="9">
        <v>0</v>
      </c>
      <c r="L193" s="9">
        <v>0</v>
      </c>
      <c r="M193" s="9">
        <v>0</v>
      </c>
      <c r="N193" s="9">
        <v>0</v>
      </c>
      <c r="O193" s="9">
        <v>0</v>
      </c>
      <c r="P193" s="9">
        <f t="shared" si="45"/>
        <v>145000</v>
      </c>
    </row>
    <row r="194" spans="1:16" ht="60.75" customHeight="1">
      <c r="A194" s="6" t="s">
        <v>261</v>
      </c>
      <c r="B194" s="6" t="s">
        <v>19</v>
      </c>
      <c r="C194" s="6" t="s">
        <v>19</v>
      </c>
      <c r="D194" s="7" t="s">
        <v>262</v>
      </c>
      <c r="E194" s="30">
        <f>E195</f>
        <v>137726730</v>
      </c>
      <c r="F194" s="30">
        <f>F195</f>
        <v>136002930</v>
      </c>
      <c r="G194" s="30">
        <f t="shared" ref="G194:I194" si="53">G195</f>
        <v>7849900</v>
      </c>
      <c r="H194" s="30">
        <f t="shared" si="53"/>
        <v>0</v>
      </c>
      <c r="I194" s="30">
        <f t="shared" si="53"/>
        <v>0</v>
      </c>
      <c r="J194" s="30">
        <f t="shared" si="26"/>
        <v>49880782</v>
      </c>
      <c r="K194" s="30">
        <f>K195</f>
        <v>49880782</v>
      </c>
      <c r="L194" s="30">
        <f t="shared" ref="L194:O194" si="54">L195</f>
        <v>0</v>
      </c>
      <c r="M194" s="30">
        <f t="shared" si="54"/>
        <v>0</v>
      </c>
      <c r="N194" s="30">
        <f t="shared" si="54"/>
        <v>0</v>
      </c>
      <c r="O194" s="30">
        <f t="shared" si="54"/>
        <v>49880782</v>
      </c>
      <c r="P194" s="30">
        <f t="shared" si="45"/>
        <v>187607512</v>
      </c>
    </row>
    <row r="195" spans="1:16" ht="60" customHeight="1">
      <c r="A195" s="6" t="s">
        <v>263</v>
      </c>
      <c r="B195" s="6" t="s">
        <v>19</v>
      </c>
      <c r="C195" s="6" t="s">
        <v>19</v>
      </c>
      <c r="D195" s="7" t="s">
        <v>262</v>
      </c>
      <c r="E195" s="30">
        <f>F195+I195+E198</f>
        <v>137726730</v>
      </c>
      <c r="F195" s="30">
        <f>F196+F197+F198+F199+F200+F207</f>
        <v>136002930</v>
      </c>
      <c r="G195" s="30">
        <f t="shared" ref="G195:I195" si="55">G196+G197+G198+G199+G200+G207</f>
        <v>7849900</v>
      </c>
      <c r="H195" s="30">
        <f t="shared" si="55"/>
        <v>0</v>
      </c>
      <c r="I195" s="30">
        <f t="shared" si="55"/>
        <v>0</v>
      </c>
      <c r="J195" s="30">
        <f t="shared" ref="J195:J206" si="56">L195+O195</f>
        <v>49880782</v>
      </c>
      <c r="K195" s="30">
        <f>K196+K197+K198+K199+K200+K207</f>
        <v>49880782</v>
      </c>
      <c r="L195" s="30">
        <f t="shared" ref="L195:O195" si="57">L196+L197+L198+L199+L200+L207</f>
        <v>0</v>
      </c>
      <c r="M195" s="30">
        <f t="shared" si="57"/>
        <v>0</v>
      </c>
      <c r="N195" s="30">
        <f t="shared" si="57"/>
        <v>0</v>
      </c>
      <c r="O195" s="30">
        <f t="shared" si="57"/>
        <v>49880782</v>
      </c>
      <c r="P195" s="30">
        <f t="shared" si="45"/>
        <v>187607512</v>
      </c>
    </row>
    <row r="196" spans="1:16" ht="70.5" customHeight="1">
      <c r="A196" s="37" t="s">
        <v>264</v>
      </c>
      <c r="B196" s="37" t="s">
        <v>76</v>
      </c>
      <c r="C196" s="37" t="s">
        <v>24</v>
      </c>
      <c r="D196" s="8" t="s">
        <v>77</v>
      </c>
      <c r="E196" s="9">
        <f>F196+I196</f>
        <v>8128900</v>
      </c>
      <c r="F196" s="9">
        <f>8035900+93000</f>
        <v>8128900</v>
      </c>
      <c r="G196" s="9">
        <f>6358000+1398900+93000</f>
        <v>7849900</v>
      </c>
      <c r="H196" s="9">
        <v>0</v>
      </c>
      <c r="I196" s="9">
        <v>0</v>
      </c>
      <c r="J196" s="9">
        <f t="shared" si="56"/>
        <v>0</v>
      </c>
      <c r="K196" s="9"/>
      <c r="L196" s="9">
        <v>0</v>
      </c>
      <c r="M196" s="9">
        <v>0</v>
      </c>
      <c r="N196" s="9">
        <v>0</v>
      </c>
      <c r="O196" s="9"/>
      <c r="P196" s="9">
        <f t="shared" si="45"/>
        <v>8128900</v>
      </c>
    </row>
    <row r="197" spans="1:16" ht="31.2">
      <c r="A197" s="31" t="s">
        <v>298</v>
      </c>
      <c r="B197" s="31" t="s">
        <v>283</v>
      </c>
      <c r="C197" s="31" t="s">
        <v>285</v>
      </c>
      <c r="D197" s="8" t="s">
        <v>284</v>
      </c>
      <c r="E197" s="9">
        <f t="shared" ref="E197" si="58">F197+I197</f>
        <v>67500</v>
      </c>
      <c r="F197" s="9">
        <f>92500-25000</f>
        <v>67500</v>
      </c>
      <c r="G197" s="9"/>
      <c r="H197" s="9"/>
      <c r="I197" s="9"/>
      <c r="J197" s="9">
        <f t="shared" si="56"/>
        <v>25000</v>
      </c>
      <c r="K197" s="9">
        <v>25000</v>
      </c>
      <c r="L197" s="9"/>
      <c r="M197" s="9"/>
      <c r="N197" s="9"/>
      <c r="O197" s="9">
        <v>25000</v>
      </c>
      <c r="P197" s="9">
        <f t="shared" si="45"/>
        <v>92500</v>
      </c>
    </row>
    <row r="198" spans="1:16" ht="23.4" customHeight="1">
      <c r="A198" s="37" t="s">
        <v>265</v>
      </c>
      <c r="B198" s="37" t="s">
        <v>266</v>
      </c>
      <c r="C198" s="37" t="s">
        <v>32</v>
      </c>
      <c r="D198" s="8" t="s">
        <v>267</v>
      </c>
      <c r="E198" s="9">
        <f>10000000-523659-500000-1700000-936480-107500-541000-624000-4695386+1600000-400000+4695386-4543561</f>
        <v>1723800</v>
      </c>
      <c r="F198" s="9">
        <v>0</v>
      </c>
      <c r="G198" s="9">
        <v>0</v>
      </c>
      <c r="H198" s="9">
        <v>0</v>
      </c>
      <c r="I198" s="9">
        <v>0</v>
      </c>
      <c r="J198" s="9">
        <f t="shared" si="56"/>
        <v>0</v>
      </c>
      <c r="K198" s="9">
        <v>0</v>
      </c>
      <c r="L198" s="9">
        <v>0</v>
      </c>
      <c r="M198" s="9">
        <v>0</v>
      </c>
      <c r="N198" s="9">
        <v>0</v>
      </c>
      <c r="O198" s="9">
        <v>0</v>
      </c>
      <c r="P198" s="9">
        <f t="shared" si="45"/>
        <v>1723800</v>
      </c>
    </row>
    <row r="199" spans="1:16" ht="23.4" customHeight="1">
      <c r="A199" s="37">
        <v>3719110</v>
      </c>
      <c r="B199" s="37">
        <v>9110</v>
      </c>
      <c r="C199" s="31" t="s">
        <v>31</v>
      </c>
      <c r="D199" s="8" t="s">
        <v>299</v>
      </c>
      <c r="E199" s="9">
        <f>F199+I199</f>
        <v>63874800</v>
      </c>
      <c r="F199" s="9">
        <v>63874800</v>
      </c>
      <c r="G199" s="9"/>
      <c r="H199" s="9"/>
      <c r="I199" s="9"/>
      <c r="J199" s="9">
        <f t="shared" si="56"/>
        <v>0</v>
      </c>
      <c r="K199" s="9"/>
      <c r="L199" s="9"/>
      <c r="M199" s="9"/>
      <c r="N199" s="9"/>
      <c r="O199" s="9"/>
      <c r="P199" s="9">
        <f t="shared" si="45"/>
        <v>63874800</v>
      </c>
    </row>
    <row r="200" spans="1:16" ht="23.4" customHeight="1">
      <c r="A200" s="37" t="s">
        <v>268</v>
      </c>
      <c r="B200" s="37" t="s">
        <v>269</v>
      </c>
      <c r="C200" s="37" t="s">
        <v>31</v>
      </c>
      <c r="D200" s="8" t="s">
        <v>270</v>
      </c>
      <c r="E200" s="9">
        <f>F200+I200</f>
        <v>17096912</v>
      </c>
      <c r="F200" s="9">
        <f>SUM(F201:F206)</f>
        <v>17096912</v>
      </c>
      <c r="G200" s="9">
        <f t="shared" ref="G200:O200" si="59">SUM(G201:G206)</f>
        <v>0</v>
      </c>
      <c r="H200" s="9">
        <f t="shared" si="59"/>
        <v>0</v>
      </c>
      <c r="I200" s="9">
        <f t="shared" si="59"/>
        <v>0</v>
      </c>
      <c r="J200" s="9">
        <f t="shared" si="56"/>
        <v>1341300</v>
      </c>
      <c r="K200" s="9">
        <f>SUM(K201:K206)</f>
        <v>1341300</v>
      </c>
      <c r="L200" s="9">
        <f t="shared" si="59"/>
        <v>0</v>
      </c>
      <c r="M200" s="9">
        <f t="shared" si="59"/>
        <v>0</v>
      </c>
      <c r="N200" s="9">
        <f t="shared" si="59"/>
        <v>0</v>
      </c>
      <c r="O200" s="9">
        <f t="shared" si="59"/>
        <v>1341300</v>
      </c>
      <c r="P200" s="9">
        <f t="shared" si="45"/>
        <v>18438212</v>
      </c>
    </row>
    <row r="201" spans="1:16" s="5" customFormat="1" ht="142.5" customHeight="1">
      <c r="A201" s="10"/>
      <c r="B201" s="10"/>
      <c r="C201" s="10"/>
      <c r="D201" s="13" t="s">
        <v>301</v>
      </c>
      <c r="E201" s="11">
        <f>F201+I201</f>
        <v>1753700</v>
      </c>
      <c r="F201" s="11">
        <f>1760700+198000+95000-300000</f>
        <v>1753700</v>
      </c>
      <c r="G201" s="11"/>
      <c r="H201" s="11"/>
      <c r="I201" s="11"/>
      <c r="J201" s="11">
        <f t="shared" si="56"/>
        <v>300000</v>
      </c>
      <c r="K201" s="11">
        <v>300000</v>
      </c>
      <c r="L201" s="11"/>
      <c r="M201" s="11"/>
      <c r="N201" s="11"/>
      <c r="O201" s="11">
        <v>300000</v>
      </c>
      <c r="P201" s="11">
        <f t="shared" si="45"/>
        <v>2053700</v>
      </c>
    </row>
    <row r="202" spans="1:16" s="5" customFormat="1" ht="62.4">
      <c r="A202" s="10"/>
      <c r="B202" s="10"/>
      <c r="C202" s="10"/>
      <c r="D202" s="1" t="s">
        <v>302</v>
      </c>
      <c r="E202" s="11">
        <f t="shared" ref="E202:E213" si="60">F202+I202</f>
        <v>500000</v>
      </c>
      <c r="F202" s="11">
        <v>500000</v>
      </c>
      <c r="G202" s="11"/>
      <c r="H202" s="11"/>
      <c r="I202" s="11"/>
      <c r="J202" s="11">
        <f t="shared" si="56"/>
        <v>0</v>
      </c>
      <c r="K202" s="11"/>
      <c r="L202" s="11"/>
      <c r="M202" s="11"/>
      <c r="N202" s="11"/>
      <c r="O202" s="11"/>
      <c r="P202" s="11">
        <f t="shared" si="45"/>
        <v>500000</v>
      </c>
    </row>
    <row r="203" spans="1:16" s="5" customFormat="1" ht="78">
      <c r="A203" s="10"/>
      <c r="B203" s="10"/>
      <c r="C203" s="10"/>
      <c r="D203" s="13" t="s">
        <v>300</v>
      </c>
      <c r="E203" s="11">
        <f t="shared" si="60"/>
        <v>2241100</v>
      </c>
      <c r="F203" s="11">
        <f>2237000+14200-10100</f>
        <v>2241100</v>
      </c>
      <c r="G203" s="11"/>
      <c r="H203" s="11"/>
      <c r="I203" s="11"/>
      <c r="J203" s="11">
        <f t="shared" si="56"/>
        <v>0</v>
      </c>
      <c r="K203" s="11"/>
      <c r="L203" s="11"/>
      <c r="M203" s="11"/>
      <c r="N203" s="11"/>
      <c r="O203" s="11"/>
      <c r="P203" s="11">
        <f t="shared" si="45"/>
        <v>2241100</v>
      </c>
    </row>
    <row r="204" spans="1:16" s="5" customFormat="1" ht="93.6">
      <c r="A204" s="10"/>
      <c r="B204" s="10"/>
      <c r="C204" s="10"/>
      <c r="D204" s="13" t="s">
        <v>384</v>
      </c>
      <c r="E204" s="11">
        <f t="shared" si="60"/>
        <v>12370300</v>
      </c>
      <c r="F204" s="11">
        <f>10000000+2370300</f>
        <v>12370300</v>
      </c>
      <c r="G204" s="11"/>
      <c r="H204" s="11"/>
      <c r="I204" s="11"/>
      <c r="J204" s="11">
        <f t="shared" si="56"/>
        <v>0</v>
      </c>
      <c r="K204" s="11"/>
      <c r="L204" s="11"/>
      <c r="M204" s="11"/>
      <c r="N204" s="11"/>
      <c r="O204" s="11"/>
      <c r="P204" s="11">
        <f t="shared" si="45"/>
        <v>12370300</v>
      </c>
    </row>
    <row r="205" spans="1:16" s="5" customFormat="1" ht="46.8">
      <c r="A205" s="10"/>
      <c r="B205" s="10"/>
      <c r="C205" s="10"/>
      <c r="D205" s="13" t="s">
        <v>401</v>
      </c>
      <c r="E205" s="11">
        <f t="shared" si="60"/>
        <v>0</v>
      </c>
      <c r="F205" s="11"/>
      <c r="G205" s="11"/>
      <c r="H205" s="11"/>
      <c r="I205" s="11"/>
      <c r="J205" s="11">
        <f t="shared" si="56"/>
        <v>1041300</v>
      </c>
      <c r="K205" s="11">
        <v>1041300</v>
      </c>
      <c r="L205" s="11"/>
      <c r="M205" s="11"/>
      <c r="N205" s="11"/>
      <c r="O205" s="11">
        <v>1041300</v>
      </c>
      <c r="P205" s="11">
        <f t="shared" si="45"/>
        <v>1041300</v>
      </c>
    </row>
    <row r="206" spans="1:16" s="26" customFormat="1" ht="207.75" customHeight="1">
      <c r="A206" s="10"/>
      <c r="B206" s="10"/>
      <c r="C206" s="10"/>
      <c r="D206" s="13" t="s">
        <v>416</v>
      </c>
      <c r="E206" s="11">
        <f t="shared" si="60"/>
        <v>231812</v>
      </c>
      <c r="F206" s="11">
        <v>231812</v>
      </c>
      <c r="G206" s="11"/>
      <c r="H206" s="11"/>
      <c r="I206" s="11"/>
      <c r="J206" s="11">
        <f t="shared" si="56"/>
        <v>0</v>
      </c>
      <c r="K206" s="11"/>
      <c r="L206" s="11"/>
      <c r="M206" s="11"/>
      <c r="N206" s="11"/>
      <c r="O206" s="11"/>
      <c r="P206" s="11">
        <f t="shared" si="45"/>
        <v>231812</v>
      </c>
    </row>
    <row r="207" spans="1:16" ht="62.4">
      <c r="A207" s="37">
        <v>3719800</v>
      </c>
      <c r="B207" s="37">
        <v>9800</v>
      </c>
      <c r="C207" s="31" t="s">
        <v>31</v>
      </c>
      <c r="D207" s="27" t="s">
        <v>383</v>
      </c>
      <c r="E207" s="9">
        <f t="shared" si="60"/>
        <v>46834818</v>
      </c>
      <c r="F207" s="9">
        <f>SUM(F208:F213)</f>
        <v>46834818</v>
      </c>
      <c r="G207" s="9">
        <f t="shared" ref="G207:O207" si="61">SUM(G208:G213)</f>
        <v>0</v>
      </c>
      <c r="H207" s="9">
        <f t="shared" si="61"/>
        <v>0</v>
      </c>
      <c r="I207" s="9">
        <f t="shared" si="61"/>
        <v>0</v>
      </c>
      <c r="J207" s="9">
        <f>L207+O207</f>
        <v>48514482</v>
      </c>
      <c r="K207" s="9">
        <f t="shared" si="61"/>
        <v>48514482</v>
      </c>
      <c r="L207" s="9">
        <f t="shared" si="61"/>
        <v>0</v>
      </c>
      <c r="M207" s="9">
        <f t="shared" si="61"/>
        <v>0</v>
      </c>
      <c r="N207" s="9">
        <f t="shared" si="61"/>
        <v>0</v>
      </c>
      <c r="O207" s="9">
        <f t="shared" si="61"/>
        <v>48514482</v>
      </c>
      <c r="P207" s="9">
        <f t="shared" si="45"/>
        <v>95349300</v>
      </c>
    </row>
    <row r="208" spans="1:16" s="5" customFormat="1" ht="93.6">
      <c r="A208" s="10"/>
      <c r="B208" s="10"/>
      <c r="C208" s="10"/>
      <c r="D208" s="13" t="s">
        <v>384</v>
      </c>
      <c r="E208" s="11">
        <f t="shared" si="60"/>
        <v>42540218</v>
      </c>
      <c r="F208" s="11">
        <f>1690000+14000000+77500000-15874082-7500000+1500000-2000000-4300000+2000000-5500000-1500000-1000000-4490300-4085400-2500000-2400000-3000000</f>
        <v>42540218</v>
      </c>
      <c r="G208" s="11"/>
      <c r="H208" s="11"/>
      <c r="I208" s="11"/>
      <c r="J208" s="11">
        <f t="shared" ref="J208:J213" si="62">L208+O208</f>
        <v>45089482</v>
      </c>
      <c r="K208" s="11">
        <f>2310000+4500000+5874082+6000000+2000000+4300000-2000000+5500000+1500000+1000000+2120000+4085400+2500000+2400000+3000000</f>
        <v>45089482</v>
      </c>
      <c r="L208" s="11"/>
      <c r="M208" s="11"/>
      <c r="N208" s="11"/>
      <c r="O208" s="11">
        <f>2310000+4500000+5874082+6000000+2000000+4300000-2000000+5500000+1500000+1000000+2120000+4085400+2500000+2400000+3000000</f>
        <v>45089482</v>
      </c>
      <c r="P208" s="11">
        <f>E208 + J208</f>
        <v>87629700</v>
      </c>
    </row>
    <row r="209" spans="1:16" s="5" customFormat="1" ht="62.4">
      <c r="A209" s="10"/>
      <c r="B209" s="10"/>
      <c r="C209" s="10"/>
      <c r="D209" s="13" t="s">
        <v>385</v>
      </c>
      <c r="E209" s="11">
        <f t="shared" si="60"/>
        <v>1970000</v>
      </c>
      <c r="F209" s="11">
        <f>2000000-130000+100000</f>
        <v>1970000</v>
      </c>
      <c r="G209" s="11"/>
      <c r="H209" s="11"/>
      <c r="I209" s="11"/>
      <c r="J209" s="11">
        <f t="shared" si="62"/>
        <v>1030000</v>
      </c>
      <c r="K209" s="11">
        <f>1000000+130000-100000</f>
        <v>1030000</v>
      </c>
      <c r="L209" s="11"/>
      <c r="M209" s="11"/>
      <c r="N209" s="11"/>
      <c r="O209" s="11">
        <f>1000000+130000-100000</f>
        <v>1030000</v>
      </c>
      <c r="P209" s="11">
        <f t="shared" si="45"/>
        <v>3000000</v>
      </c>
    </row>
    <row r="210" spans="1:16" s="5" customFormat="1" ht="78">
      <c r="A210" s="10"/>
      <c r="B210" s="10"/>
      <c r="C210" s="10"/>
      <c r="D210" s="13" t="s">
        <v>390</v>
      </c>
      <c r="E210" s="11">
        <f t="shared" si="60"/>
        <v>2000000</v>
      </c>
      <c r="F210" s="11">
        <v>2000000</v>
      </c>
      <c r="G210" s="11"/>
      <c r="H210" s="11"/>
      <c r="I210" s="11"/>
      <c r="J210" s="11">
        <f t="shared" si="62"/>
        <v>0</v>
      </c>
      <c r="K210" s="11"/>
      <c r="L210" s="11"/>
      <c r="M210" s="11"/>
      <c r="N210" s="11"/>
      <c r="O210" s="11"/>
      <c r="P210" s="11">
        <f t="shared" si="45"/>
        <v>2000000</v>
      </c>
    </row>
    <row r="211" spans="1:16" s="5" customFormat="1" ht="46.8">
      <c r="A211" s="10"/>
      <c r="B211" s="10"/>
      <c r="C211" s="10"/>
      <c r="D211" s="13" t="s">
        <v>391</v>
      </c>
      <c r="E211" s="11">
        <f t="shared" si="60"/>
        <v>200000</v>
      </c>
      <c r="F211" s="11">
        <v>200000</v>
      </c>
      <c r="G211" s="11"/>
      <c r="H211" s="11"/>
      <c r="I211" s="11"/>
      <c r="J211" s="11">
        <f t="shared" si="62"/>
        <v>0</v>
      </c>
      <c r="K211" s="11"/>
      <c r="L211" s="11"/>
      <c r="M211" s="11"/>
      <c r="N211" s="11"/>
      <c r="O211" s="11"/>
      <c r="P211" s="11">
        <f t="shared" si="45"/>
        <v>200000</v>
      </c>
    </row>
    <row r="212" spans="1:16" s="5" customFormat="1" ht="72" customHeight="1">
      <c r="A212" s="10"/>
      <c r="B212" s="10"/>
      <c r="C212" s="10"/>
      <c r="D212" s="13" t="s">
        <v>392</v>
      </c>
      <c r="E212" s="11">
        <f t="shared" si="60"/>
        <v>124600</v>
      </c>
      <c r="F212" s="11">
        <v>124600</v>
      </c>
      <c r="G212" s="11"/>
      <c r="H212" s="11"/>
      <c r="I212" s="11"/>
      <c r="J212" s="11">
        <f t="shared" si="62"/>
        <v>1295000</v>
      </c>
      <c r="K212" s="11">
        <v>1295000</v>
      </c>
      <c r="L212" s="11"/>
      <c r="M212" s="11"/>
      <c r="N212" s="11"/>
      <c r="O212" s="11">
        <v>1295000</v>
      </c>
      <c r="P212" s="11">
        <f t="shared" si="45"/>
        <v>1419600</v>
      </c>
    </row>
    <row r="213" spans="1:16" s="5" customFormat="1" ht="93.6">
      <c r="A213" s="10"/>
      <c r="B213" s="10"/>
      <c r="C213" s="10"/>
      <c r="D213" s="13" t="s">
        <v>432</v>
      </c>
      <c r="E213" s="11">
        <f t="shared" si="60"/>
        <v>0</v>
      </c>
      <c r="F213" s="11"/>
      <c r="G213" s="11"/>
      <c r="H213" s="11"/>
      <c r="I213" s="11"/>
      <c r="J213" s="11">
        <f t="shared" si="62"/>
        <v>1100000</v>
      </c>
      <c r="K213" s="11">
        <v>1100000</v>
      </c>
      <c r="L213" s="11"/>
      <c r="M213" s="11"/>
      <c r="N213" s="11"/>
      <c r="O213" s="11">
        <v>1100000</v>
      </c>
      <c r="P213" s="11">
        <f t="shared" si="45"/>
        <v>1100000</v>
      </c>
    </row>
    <row r="214" spans="1:16" ht="19.95" customHeight="1">
      <c r="A214" s="6" t="s">
        <v>272</v>
      </c>
      <c r="B214" s="6" t="s">
        <v>272</v>
      </c>
      <c r="C214" s="6" t="s">
        <v>272</v>
      </c>
      <c r="D214" s="12" t="s">
        <v>271</v>
      </c>
      <c r="E214" s="30">
        <f>E17+E62+E94+E118+E124+E135+E146+E171+E184+E194</f>
        <v>1281089371.22</v>
      </c>
      <c r="F214" s="30">
        <f>F17+F62+F94+F118+F124+F135+F146+F171+F184+F194</f>
        <v>1112538177.22</v>
      </c>
      <c r="G214" s="30">
        <f>G17+G62+G94+G118+G124+G135+G146+G171+G184+G194</f>
        <v>618096829.24000001</v>
      </c>
      <c r="H214" s="30">
        <f>H17+H62+H94+H118+H124+H135+H146+H171+H184+H194</f>
        <v>46015725.68</v>
      </c>
      <c r="I214" s="30">
        <f>I17+I62+I94+I118+I124+I135+I146+I171+I184+I194</f>
        <v>166827394</v>
      </c>
      <c r="J214" s="30">
        <f>L214+O214</f>
        <v>333426760.30000001</v>
      </c>
      <c r="K214" s="30">
        <f>K17+K62+K94+K118+K124+K135+K146+K171+K184+K194</f>
        <v>293760983.27999997</v>
      </c>
      <c r="L214" s="30">
        <f>L17+L62+L94+L118+L124+L135+L146+L171+L184+L194</f>
        <v>27513400</v>
      </c>
      <c r="M214" s="30">
        <f>M17+M62+M94+M118+M124+M135+M146+M171+M184+M194</f>
        <v>507100</v>
      </c>
      <c r="N214" s="30">
        <f>N17+N62+N94+N118+N124+N135+N146+N171+N184+N194</f>
        <v>0</v>
      </c>
      <c r="O214" s="30">
        <f>O17+O62+O94+O118+O124+O135+O146+O171+O184+O194</f>
        <v>305913360.30000001</v>
      </c>
      <c r="P214" s="30">
        <f t="shared" si="45"/>
        <v>1614516131.52</v>
      </c>
    </row>
    <row r="215" spans="1:16" ht="9" customHeight="1">
      <c r="A215" s="16"/>
      <c r="B215" s="16"/>
      <c r="C215" s="16"/>
      <c r="D215" s="17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</row>
    <row r="216" spans="1:16" s="22" customFormat="1" ht="18">
      <c r="A216" s="19"/>
      <c r="B216" s="19"/>
      <c r="C216" s="20" t="s">
        <v>313</v>
      </c>
      <c r="D216" s="21" t="s">
        <v>314</v>
      </c>
      <c r="E216" s="32">
        <f t="shared" ref="E216:O216" si="63">E19+E24+E25+E64+E96+E97+E120+E121+E126+E137+E148+E149+E173+E174+E186+E187+E196</f>
        <v>167140069.88</v>
      </c>
      <c r="F216" s="32">
        <f t="shared" si="63"/>
        <v>167140069.88</v>
      </c>
      <c r="G216" s="32">
        <f t="shared" si="63"/>
        <v>151118900</v>
      </c>
      <c r="H216" s="32">
        <f t="shared" si="63"/>
        <v>5972831</v>
      </c>
      <c r="I216" s="32">
        <f t="shared" si="63"/>
        <v>0</v>
      </c>
      <c r="J216" s="32">
        <f t="shared" si="63"/>
        <v>1424600</v>
      </c>
      <c r="K216" s="32">
        <f t="shared" si="63"/>
        <v>1307000</v>
      </c>
      <c r="L216" s="32">
        <f t="shared" si="63"/>
        <v>117600</v>
      </c>
      <c r="M216" s="32">
        <f t="shared" si="63"/>
        <v>0</v>
      </c>
      <c r="N216" s="32">
        <f t="shared" si="63"/>
        <v>0</v>
      </c>
      <c r="O216" s="32">
        <f t="shared" si="63"/>
        <v>1307000</v>
      </c>
      <c r="P216" s="32">
        <f>E216+J216</f>
        <v>168564669.88</v>
      </c>
    </row>
    <row r="217" spans="1:16" s="22" customFormat="1" ht="18">
      <c r="A217" s="19"/>
      <c r="B217" s="19"/>
      <c r="C217" s="20" t="s">
        <v>315</v>
      </c>
      <c r="D217" s="21" t="s">
        <v>316</v>
      </c>
      <c r="E217" s="32">
        <f t="shared" ref="E217:O217" si="64">E65+E66+E67+E68+E72+E73+E74+E75+E76+E77+E78+E79+E80+E81+E82+E83+E84+E85+E86+E87+E88+E127+E175</f>
        <v>488020518.37</v>
      </c>
      <c r="F217" s="32">
        <f t="shared" si="64"/>
        <v>488020518.37</v>
      </c>
      <c r="G217" s="32">
        <f t="shared" si="64"/>
        <v>381907936.37</v>
      </c>
      <c r="H217" s="32">
        <f t="shared" si="64"/>
        <v>35445480</v>
      </c>
      <c r="I217" s="32">
        <f t="shared" si="64"/>
        <v>0</v>
      </c>
      <c r="J217" s="32">
        <f t="shared" si="64"/>
        <v>132737438.92</v>
      </c>
      <c r="K217" s="32">
        <f t="shared" si="64"/>
        <v>106989938.92</v>
      </c>
      <c r="L217" s="32">
        <f t="shared" si="64"/>
        <v>25547500</v>
      </c>
      <c r="M217" s="32">
        <f t="shared" si="64"/>
        <v>495100</v>
      </c>
      <c r="N217" s="32">
        <f t="shared" si="64"/>
        <v>0</v>
      </c>
      <c r="O217" s="32">
        <f t="shared" si="64"/>
        <v>107189938.92</v>
      </c>
      <c r="P217" s="32">
        <f>E217+J217</f>
        <v>620757957.28999996</v>
      </c>
    </row>
    <row r="218" spans="1:16" s="22" customFormat="1" ht="18">
      <c r="A218" s="19"/>
      <c r="B218" s="19"/>
      <c r="C218" s="20" t="s">
        <v>317</v>
      </c>
      <c r="D218" s="21" t="s">
        <v>318</v>
      </c>
      <c r="E218" s="32">
        <f t="shared" ref="E218:O218" si="65">E26+E27+E28+E29+E33+E176</f>
        <v>66535961.100000001</v>
      </c>
      <c r="F218" s="32">
        <f t="shared" si="65"/>
        <v>66535961.100000001</v>
      </c>
      <c r="G218" s="32">
        <f t="shared" si="65"/>
        <v>0</v>
      </c>
      <c r="H218" s="32">
        <f t="shared" si="65"/>
        <v>0</v>
      </c>
      <c r="I218" s="32">
        <f t="shared" si="65"/>
        <v>0</v>
      </c>
      <c r="J218" s="32">
        <f t="shared" si="65"/>
        <v>28603815.899999999</v>
      </c>
      <c r="K218" s="32">
        <f t="shared" si="65"/>
        <v>28603815.899999999</v>
      </c>
      <c r="L218" s="32">
        <f t="shared" si="65"/>
        <v>0</v>
      </c>
      <c r="M218" s="32">
        <f t="shared" si="65"/>
        <v>0</v>
      </c>
      <c r="N218" s="32">
        <f t="shared" si="65"/>
        <v>0</v>
      </c>
      <c r="O218" s="32">
        <f t="shared" si="65"/>
        <v>28603815.899999999</v>
      </c>
      <c r="P218" s="32">
        <f t="shared" ref="P218:P226" si="66">E218+J218</f>
        <v>95139777</v>
      </c>
    </row>
    <row r="219" spans="1:16" s="22" customFormat="1" ht="31.8">
      <c r="A219" s="19"/>
      <c r="B219" s="19"/>
      <c r="C219" s="20" t="s">
        <v>319</v>
      </c>
      <c r="D219" s="21" t="s">
        <v>320</v>
      </c>
      <c r="E219" s="32">
        <f t="shared" ref="E219:O219" si="67">E34+E89+E90+E98+E99+E100+E101+E102+E103+E104+E105+E106+E107+E108+E109+E110+E111+E112+E113+E122+E128+E138+E150</f>
        <v>101979993.19</v>
      </c>
      <c r="F219" s="32">
        <f t="shared" si="67"/>
        <v>101979993.19</v>
      </c>
      <c r="G219" s="32">
        <f t="shared" si="67"/>
        <v>27045942.870000001</v>
      </c>
      <c r="H219" s="32">
        <f t="shared" si="67"/>
        <v>728000</v>
      </c>
      <c r="I219" s="32">
        <f t="shared" si="67"/>
        <v>0</v>
      </c>
      <c r="J219" s="32">
        <f t="shared" si="67"/>
        <v>7822299</v>
      </c>
      <c r="K219" s="32">
        <f t="shared" si="67"/>
        <v>7640299</v>
      </c>
      <c r="L219" s="32">
        <f t="shared" si="67"/>
        <v>57000</v>
      </c>
      <c r="M219" s="32">
        <f t="shared" si="67"/>
        <v>0</v>
      </c>
      <c r="N219" s="32">
        <f t="shared" si="67"/>
        <v>0</v>
      </c>
      <c r="O219" s="32">
        <f t="shared" si="67"/>
        <v>7765299</v>
      </c>
      <c r="P219" s="32">
        <f t="shared" si="66"/>
        <v>109802292.19</v>
      </c>
    </row>
    <row r="220" spans="1:16" s="22" customFormat="1" ht="18">
      <c r="A220" s="19"/>
      <c r="B220" s="19"/>
      <c r="C220" s="20" t="s">
        <v>321</v>
      </c>
      <c r="D220" s="21" t="s">
        <v>322</v>
      </c>
      <c r="E220" s="32">
        <f t="shared" ref="E220:O220" si="68">E129+E130+E131+E132+E133</f>
        <v>30942400</v>
      </c>
      <c r="F220" s="32">
        <f t="shared" si="68"/>
        <v>30942400</v>
      </c>
      <c r="G220" s="32">
        <f t="shared" si="68"/>
        <v>22994700</v>
      </c>
      <c r="H220" s="32">
        <f t="shared" si="68"/>
        <v>2960700</v>
      </c>
      <c r="I220" s="32">
        <f t="shared" si="68"/>
        <v>0</v>
      </c>
      <c r="J220" s="32">
        <f t="shared" si="68"/>
        <v>700100</v>
      </c>
      <c r="K220" s="32">
        <f t="shared" si="68"/>
        <v>420100</v>
      </c>
      <c r="L220" s="32">
        <f t="shared" si="68"/>
        <v>250000</v>
      </c>
      <c r="M220" s="32">
        <f t="shared" si="68"/>
        <v>12000</v>
      </c>
      <c r="N220" s="32">
        <f t="shared" si="68"/>
        <v>0</v>
      </c>
      <c r="O220" s="32">
        <f t="shared" si="68"/>
        <v>450100</v>
      </c>
      <c r="P220" s="32">
        <f t="shared" si="66"/>
        <v>31642500</v>
      </c>
    </row>
    <row r="221" spans="1:16" s="22" customFormat="1" ht="18">
      <c r="A221" s="19"/>
      <c r="B221" s="19"/>
      <c r="C221" s="20" t="s">
        <v>323</v>
      </c>
      <c r="D221" s="21" t="s">
        <v>324</v>
      </c>
      <c r="E221" s="32">
        <f t="shared" ref="E221:O221" si="69">E91+E139+E140+E141+E142+E143</f>
        <v>17655870.68</v>
      </c>
      <c r="F221" s="32">
        <f t="shared" si="69"/>
        <v>17655870.68</v>
      </c>
      <c r="G221" s="32">
        <f t="shared" si="69"/>
        <v>9290700</v>
      </c>
      <c r="H221" s="32">
        <f t="shared" si="69"/>
        <v>846214.68</v>
      </c>
      <c r="I221" s="32">
        <f t="shared" si="69"/>
        <v>0</v>
      </c>
      <c r="J221" s="32">
        <f t="shared" si="69"/>
        <v>477270</v>
      </c>
      <c r="K221" s="32">
        <f t="shared" si="69"/>
        <v>477270</v>
      </c>
      <c r="L221" s="32">
        <f t="shared" si="69"/>
        <v>0</v>
      </c>
      <c r="M221" s="32">
        <f t="shared" si="69"/>
        <v>0</v>
      </c>
      <c r="N221" s="32">
        <f t="shared" si="69"/>
        <v>0</v>
      </c>
      <c r="O221" s="32">
        <f t="shared" si="69"/>
        <v>477270</v>
      </c>
      <c r="P221" s="32">
        <f t="shared" si="66"/>
        <v>18133140.68</v>
      </c>
    </row>
    <row r="222" spans="1:16" s="22" customFormat="1" ht="18">
      <c r="A222" s="19"/>
      <c r="B222" s="19"/>
      <c r="C222" s="20" t="s">
        <v>325</v>
      </c>
      <c r="D222" s="21" t="s">
        <v>326</v>
      </c>
      <c r="E222" s="32">
        <f t="shared" ref="E222:O222" si="70">E35+E151+E152+E153+E154+E155+E156+E157+E177+E178+E188+E189</f>
        <v>106542884</v>
      </c>
      <c r="F222" s="32">
        <f t="shared" si="70"/>
        <v>36045700</v>
      </c>
      <c r="G222" s="32">
        <f t="shared" si="70"/>
        <v>0</v>
      </c>
      <c r="H222" s="32">
        <f t="shared" si="70"/>
        <v>0</v>
      </c>
      <c r="I222" s="32">
        <f t="shared" si="70"/>
        <v>70497184</v>
      </c>
      <c r="J222" s="32">
        <f t="shared" si="70"/>
        <v>55557046.5</v>
      </c>
      <c r="K222" s="32">
        <f t="shared" si="70"/>
        <v>55557046.5</v>
      </c>
      <c r="L222" s="32">
        <f t="shared" si="70"/>
        <v>0</v>
      </c>
      <c r="M222" s="32">
        <f t="shared" si="70"/>
        <v>0</v>
      </c>
      <c r="N222" s="32">
        <f t="shared" si="70"/>
        <v>0</v>
      </c>
      <c r="O222" s="32">
        <f t="shared" si="70"/>
        <v>55557046.5</v>
      </c>
      <c r="P222" s="32">
        <f t="shared" si="66"/>
        <v>162099930.5</v>
      </c>
    </row>
    <row r="223" spans="1:16" s="22" customFormat="1" ht="18">
      <c r="A223" s="19"/>
      <c r="B223" s="19"/>
      <c r="C223" s="20" t="s">
        <v>327</v>
      </c>
      <c r="D223" s="21" t="s">
        <v>328</v>
      </c>
      <c r="E223" s="32">
        <f>E39+E40+E41+E42+E50+E51+E52+E92+E114+E123+E134+E144+E145+E158+E159+E160+E161+E162+E163+E179+E180+E181+E182+E190+E191+E192+E197</f>
        <v>129036838</v>
      </c>
      <c r="F223" s="32">
        <f t="shared" ref="F223:O223" si="71">F39+F40+F41+F42+F50+F51+F52+F92+F114+F123+F134+F144+F145+F158+F159+F160+F161+F162+F163+F179+F180+F181+F182+F190+F191+F192+F197</f>
        <v>34130628</v>
      </c>
      <c r="G223" s="32">
        <f t="shared" si="71"/>
        <v>0</v>
      </c>
      <c r="H223" s="32">
        <f t="shared" si="71"/>
        <v>0</v>
      </c>
      <c r="I223" s="32">
        <f t="shared" si="71"/>
        <v>94906210</v>
      </c>
      <c r="J223" s="32">
        <f t="shared" si="71"/>
        <v>47357390.460000001</v>
      </c>
      <c r="K223" s="32">
        <f t="shared" si="71"/>
        <v>35690013.439999998</v>
      </c>
      <c r="L223" s="32">
        <f t="shared" si="71"/>
        <v>0</v>
      </c>
      <c r="M223" s="32">
        <f t="shared" si="71"/>
        <v>0</v>
      </c>
      <c r="N223" s="32">
        <f t="shared" si="71"/>
        <v>0</v>
      </c>
      <c r="O223" s="32">
        <f t="shared" si="71"/>
        <v>47357390.460000001</v>
      </c>
      <c r="P223" s="32">
        <f t="shared" si="66"/>
        <v>176394228.46000001</v>
      </c>
    </row>
    <row r="224" spans="1:16" s="23" customFormat="1" ht="18">
      <c r="A224" s="19"/>
      <c r="B224" s="19"/>
      <c r="C224" s="20" t="s">
        <v>329</v>
      </c>
      <c r="D224" s="21" t="s">
        <v>330</v>
      </c>
      <c r="E224" s="32">
        <f>E53+E57+E58+E59+E60+E61+E93+E164+E165+E166+E167+E168+E169+E170+E183+E193+E198</f>
        <v>45428306</v>
      </c>
      <c r="F224" s="32">
        <f t="shared" ref="F224:O224" si="72">F53+F57+F58+F59+F60+F61+F93+F164+F165+F166+F167+F168+F169+F170+F183+F193+F198</f>
        <v>42280506</v>
      </c>
      <c r="G224" s="32">
        <f t="shared" si="72"/>
        <v>25738650</v>
      </c>
      <c r="H224" s="32">
        <f t="shared" si="72"/>
        <v>62500</v>
      </c>
      <c r="I224" s="32">
        <f t="shared" si="72"/>
        <v>1424000</v>
      </c>
      <c r="J224" s="32">
        <f t="shared" si="72"/>
        <v>8891017.5199999996</v>
      </c>
      <c r="K224" s="32">
        <f t="shared" si="72"/>
        <v>7219717.5199999996</v>
      </c>
      <c r="L224" s="32">
        <f t="shared" si="72"/>
        <v>1541300</v>
      </c>
      <c r="M224" s="32">
        <f t="shared" si="72"/>
        <v>0</v>
      </c>
      <c r="N224" s="32">
        <f t="shared" si="72"/>
        <v>0</v>
      </c>
      <c r="O224" s="32">
        <f t="shared" si="72"/>
        <v>7349717.5199999996</v>
      </c>
      <c r="P224" s="32">
        <f t="shared" si="66"/>
        <v>54319323.519999996</v>
      </c>
    </row>
    <row r="225" spans="1:16" s="15" customFormat="1" ht="18">
      <c r="A225" s="19"/>
      <c r="B225" s="19"/>
      <c r="C225" s="20" t="s">
        <v>331</v>
      </c>
      <c r="D225" s="21" t="s">
        <v>332</v>
      </c>
      <c r="E225" s="32">
        <f>E199+E200+E207</f>
        <v>127806530</v>
      </c>
      <c r="F225" s="32">
        <f t="shared" ref="F225:O225" si="73">F199+F200+F207</f>
        <v>127806530</v>
      </c>
      <c r="G225" s="32">
        <f t="shared" si="73"/>
        <v>0</v>
      </c>
      <c r="H225" s="32">
        <f t="shared" si="73"/>
        <v>0</v>
      </c>
      <c r="I225" s="32">
        <f t="shared" si="73"/>
        <v>0</v>
      </c>
      <c r="J225" s="32">
        <f t="shared" si="73"/>
        <v>49855782</v>
      </c>
      <c r="K225" s="32">
        <f t="shared" si="73"/>
        <v>49855782</v>
      </c>
      <c r="L225" s="32">
        <f t="shared" si="73"/>
        <v>0</v>
      </c>
      <c r="M225" s="32">
        <f t="shared" si="73"/>
        <v>0</v>
      </c>
      <c r="N225" s="32">
        <f t="shared" si="73"/>
        <v>0</v>
      </c>
      <c r="O225" s="32">
        <f t="shared" si="73"/>
        <v>49855782</v>
      </c>
      <c r="P225" s="32">
        <f t="shared" si="66"/>
        <v>177662312</v>
      </c>
    </row>
    <row r="226" spans="1:16" s="15" customFormat="1">
      <c r="A226" s="24"/>
      <c r="B226" s="24"/>
      <c r="C226" s="24"/>
      <c r="D226" s="24" t="s">
        <v>17</v>
      </c>
      <c r="E226" s="25">
        <f>SUM(E216:E225)</f>
        <v>1281089371.2199998</v>
      </c>
      <c r="F226" s="25">
        <f>SUM(F216:F225)</f>
        <v>1112538177.2199998</v>
      </c>
      <c r="G226" s="25">
        <f>SUM(G216:G225)</f>
        <v>618096829.24000001</v>
      </c>
      <c r="H226" s="25">
        <f t="shared" ref="H226:O226" si="74">SUM(H216:H225)</f>
        <v>46015725.68</v>
      </c>
      <c r="I226" s="25">
        <f t="shared" si="74"/>
        <v>166827394</v>
      </c>
      <c r="J226" s="25">
        <f t="shared" si="74"/>
        <v>333426760.29999995</v>
      </c>
      <c r="K226" s="25">
        <f>SUM(K216:K225)</f>
        <v>293760983.27999997</v>
      </c>
      <c r="L226" s="25">
        <f t="shared" si="74"/>
        <v>27513400</v>
      </c>
      <c r="M226" s="25">
        <f t="shared" si="74"/>
        <v>507100</v>
      </c>
      <c r="N226" s="25">
        <f t="shared" si="74"/>
        <v>0</v>
      </c>
      <c r="O226" s="25">
        <f t="shared" si="74"/>
        <v>305913360.30000001</v>
      </c>
      <c r="P226" s="25">
        <f t="shared" si="66"/>
        <v>1614516131.5199997</v>
      </c>
    </row>
    <row r="227" spans="1:16" s="28" customFormat="1"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</row>
    <row r="228" spans="1:16">
      <c r="D228" s="2" t="s">
        <v>279</v>
      </c>
      <c r="J228" s="2" t="s">
        <v>280</v>
      </c>
    </row>
    <row r="229" spans="1:16">
      <c r="H229" s="29"/>
    </row>
  </sheetData>
  <mergeCells count="22">
    <mergeCell ref="A8:P8"/>
    <mergeCell ref="A9:P9"/>
    <mergeCell ref="A12:A15"/>
    <mergeCell ref="B12:B15"/>
    <mergeCell ref="C12:C15"/>
    <mergeCell ref="D12:D15"/>
    <mergeCell ref="E12:I12"/>
    <mergeCell ref="J12:O12"/>
    <mergeCell ref="P12:P15"/>
    <mergeCell ref="E13:E15"/>
    <mergeCell ref="F13:F15"/>
    <mergeCell ref="G13:H13"/>
    <mergeCell ref="I13:I15"/>
    <mergeCell ref="J13:J15"/>
    <mergeCell ref="K13:K15"/>
    <mergeCell ref="M13:N13"/>
    <mergeCell ref="O13:O15"/>
    <mergeCell ref="G14:G15"/>
    <mergeCell ref="H14:H15"/>
    <mergeCell ref="M14:M15"/>
    <mergeCell ref="N14:N15"/>
    <mergeCell ref="L13:L15"/>
  </mergeCells>
  <pageMargins left="0.19685039370078741" right="0.19685039370078741" top="0.39370078740157483" bottom="0.39370078740157483" header="0" footer="0"/>
  <pageSetup paperSize="9" scale="50" fitToHeight="15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2025</vt:lpstr>
      <vt:lpstr>'2025'!Заголовки_для_друку</vt:lpstr>
      <vt:lpstr>'2025'!Область_друку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220FU5</dc:creator>
  <cp:lastModifiedBy>Ilya-408</cp:lastModifiedBy>
  <cp:lastPrinted>2025-12-02T11:50:42Z</cp:lastPrinted>
  <dcterms:created xsi:type="dcterms:W3CDTF">2023-12-16T13:37:11Z</dcterms:created>
  <dcterms:modified xsi:type="dcterms:W3CDTF">2025-12-03T05:30:06Z</dcterms:modified>
</cp:coreProperties>
</file>