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2_НАСТУПНЕ\"/>
    </mc:Choice>
  </mc:AlternateContent>
  <bookViews>
    <workbookView xWindow="-108" yWindow="-108" windowWidth="23256" windowHeight="12576"/>
  </bookViews>
  <sheets>
    <sheet name="Аркуш1" sheetId="1" r:id="rId1"/>
  </sheets>
  <definedNames>
    <definedName name="_xlnm.Print_Titles" localSheetId="0">Аркуш1!$4:$5</definedName>
    <definedName name="_xlnm.Print_Area" localSheetId="0">Аркуш1!$A$1:$K$223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H6" i="1"/>
  <c r="H213" i="1" s="1"/>
  <c r="I6" i="1"/>
  <c r="J6" i="1"/>
  <c r="K6" i="1"/>
  <c r="H218" i="1" l="1"/>
  <c r="H220" i="1"/>
  <c r="H219" i="1" s="1"/>
  <c r="D37" i="1"/>
  <c r="H215" i="1" l="1"/>
  <c r="D218" i="1"/>
  <c r="G160" i="1" l="1"/>
  <c r="J160" i="1"/>
  <c r="K180" i="1"/>
  <c r="K160" i="1" s="1"/>
  <c r="I180" i="1"/>
  <c r="D180" i="1" s="1"/>
  <c r="D181" i="1"/>
  <c r="I160" i="1" l="1"/>
  <c r="I213" i="1" s="1"/>
  <c r="I217" i="1" s="1"/>
  <c r="I215" i="1" s="1"/>
  <c r="E102" i="1"/>
  <c r="F70" i="1"/>
  <c r="D81" i="1"/>
  <c r="D190" i="1"/>
  <c r="D189" i="1"/>
  <c r="I221" i="1" l="1"/>
  <c r="I219" i="1" s="1"/>
  <c r="E26" i="1"/>
  <c r="E25" i="1" s="1"/>
  <c r="E23" i="1"/>
  <c r="E24" i="1"/>
  <c r="D24" i="1" s="1"/>
  <c r="G202" i="1"/>
  <c r="K202" i="1"/>
  <c r="J210" i="1"/>
  <c r="F207" i="1"/>
  <c r="F202" i="1" s="1"/>
  <c r="E207" i="1"/>
  <c r="D208" i="1"/>
  <c r="D205" i="1"/>
  <c r="D204" i="1"/>
  <c r="E206" i="1"/>
  <c r="E193" i="1"/>
  <c r="D193" i="1" s="1"/>
  <c r="D194" i="1"/>
  <c r="D206" i="1" l="1"/>
  <c r="E203" i="1"/>
  <c r="E20" i="1"/>
  <c r="D207" i="1"/>
  <c r="E202" i="1" l="1"/>
  <c r="D203" i="1"/>
  <c r="F191" i="1"/>
  <c r="D191" i="1" s="1"/>
  <c r="D192" i="1"/>
  <c r="F170" i="1"/>
  <c r="E170" i="1"/>
  <c r="D173" i="1"/>
  <c r="G195" i="1"/>
  <c r="J195" i="1"/>
  <c r="K195" i="1"/>
  <c r="E200" i="1"/>
  <c r="E196" i="1"/>
  <c r="D175" i="1"/>
  <c r="F174" i="1"/>
  <c r="D174" i="1" s="1"/>
  <c r="D168" i="1"/>
  <c r="D169" i="1"/>
  <c r="F167" i="1"/>
  <c r="E167" i="1"/>
  <c r="D162" i="1"/>
  <c r="D163" i="1"/>
  <c r="D164" i="1"/>
  <c r="F161" i="1"/>
  <c r="E195" i="1" l="1"/>
  <c r="D167" i="1"/>
  <c r="D161" i="1"/>
  <c r="D171" i="1" l="1"/>
  <c r="D185" i="1"/>
  <c r="E176" i="1"/>
  <c r="D176" i="1" s="1"/>
  <c r="D177" i="1"/>
  <c r="E184" i="1"/>
  <c r="E182" i="1" s="1"/>
  <c r="D188" i="1"/>
  <c r="E187" i="1"/>
  <c r="E186" i="1" s="1"/>
  <c r="D186" i="1" s="1"/>
  <c r="F178" i="1"/>
  <c r="E178" i="1"/>
  <c r="D178" i="1" l="1"/>
  <c r="D187" i="1"/>
  <c r="D179" i="1" l="1"/>
  <c r="E157" i="1" l="1"/>
  <c r="D159" i="1"/>
  <c r="F147" i="1" l="1"/>
  <c r="G147" i="1"/>
  <c r="J147" i="1"/>
  <c r="K147" i="1"/>
  <c r="D152" i="1"/>
  <c r="D151" i="1"/>
  <c r="E150" i="1"/>
  <c r="D150" i="1" s="1"/>
  <c r="E154" i="1"/>
  <c r="D154" i="1" s="1"/>
  <c r="D155" i="1"/>
  <c r="F144" i="1"/>
  <c r="G144" i="1"/>
  <c r="J144" i="1"/>
  <c r="K144" i="1"/>
  <c r="E144" i="1"/>
  <c r="E58" i="1"/>
  <c r="F136" i="1"/>
  <c r="G136" i="1"/>
  <c r="J136" i="1"/>
  <c r="K136" i="1"/>
  <c r="E136" i="1"/>
  <c r="D138" i="1"/>
  <c r="D142" i="1"/>
  <c r="D139" i="1"/>
  <c r="D27" i="1"/>
  <c r="E130" i="1"/>
  <c r="F28" i="1"/>
  <c r="E28" i="1"/>
  <c r="D30" i="1"/>
  <c r="E33" i="1"/>
  <c r="D35" i="1"/>
  <c r="D34" i="1"/>
  <c r="E31" i="1"/>
  <c r="E13" i="1"/>
  <c r="F16" i="1"/>
  <c r="E16" i="1"/>
  <c r="D18" i="1"/>
  <c r="D19" i="1"/>
  <c r="D17" i="1"/>
  <c r="F20" i="1"/>
  <c r="D26" i="1"/>
  <c r="E153" i="1" l="1"/>
  <c r="D23" i="1"/>
  <c r="D32" i="1"/>
  <c r="D22" i="1"/>
  <c r="D21" i="1"/>
  <c r="F13" i="1"/>
  <c r="F6" i="1" s="1"/>
  <c r="D14" i="1"/>
  <c r="D15" i="1"/>
  <c r="D11" i="1"/>
  <c r="D12" i="1"/>
  <c r="E10" i="1"/>
  <c r="D10" i="1" s="1"/>
  <c r="D29" i="1"/>
  <c r="D28" i="1"/>
  <c r="E36" i="1" l="1"/>
  <c r="E9" i="1"/>
  <c r="E8" i="1" l="1"/>
  <c r="D9" i="1"/>
  <c r="G38" i="1"/>
  <c r="J38" i="1"/>
  <c r="K38" i="1"/>
  <c r="D95" i="1"/>
  <c r="E94" i="1"/>
  <c r="D94" i="1" s="1"/>
  <c r="E7" i="1" l="1"/>
  <c r="E6" i="1" s="1"/>
  <c r="D8" i="1"/>
  <c r="E42" i="1"/>
  <c r="F55" i="1" l="1"/>
  <c r="D55" i="1" s="1"/>
  <c r="D56" i="1" l="1"/>
  <c r="D68" i="1"/>
  <c r="D69" i="1"/>
  <c r="D79" i="1"/>
  <c r="D80" i="1"/>
  <c r="D100" i="1"/>
  <c r="D101" i="1"/>
  <c r="D102" i="1"/>
  <c r="D103" i="1"/>
  <c r="D104" i="1"/>
  <c r="D109" i="1"/>
  <c r="D126" i="1"/>
  <c r="D127" i="1"/>
  <c r="D134" i="1"/>
  <c r="D135" i="1"/>
  <c r="F121" i="1"/>
  <c r="F39" i="1"/>
  <c r="E40" i="1"/>
  <c r="D40" i="1" s="1"/>
  <c r="E122" i="1"/>
  <c r="D122" i="1" s="1"/>
  <c r="E97" i="1"/>
  <c r="D97" i="1" s="1"/>
  <c r="E111" i="1"/>
  <c r="D111" i="1" s="1"/>
  <c r="E87" i="1"/>
  <c r="E71" i="1"/>
  <c r="E83" i="1"/>
  <c r="E82" i="1" s="1"/>
  <c r="D82" i="1" s="1"/>
  <c r="D58" i="1"/>
  <c r="E46" i="1"/>
  <c r="D46" i="1" s="1"/>
  <c r="F54" i="1"/>
  <c r="D54" i="1" s="1"/>
  <c r="E117" i="1"/>
  <c r="F133" i="1"/>
  <c r="D133" i="1" s="1"/>
  <c r="F132" i="1"/>
  <c r="D132" i="1" s="1"/>
  <c r="F131" i="1"/>
  <c r="F118" i="1"/>
  <c r="F117" i="1" s="1"/>
  <c r="F99" i="1"/>
  <c r="D99" i="1" s="1"/>
  <c r="F67" i="1"/>
  <c r="D67" i="1" s="1"/>
  <c r="F66" i="1"/>
  <c r="D66" i="1" s="1"/>
  <c r="F65" i="1"/>
  <c r="D65" i="1" s="1"/>
  <c r="F64" i="1"/>
  <c r="D64" i="1" s="1"/>
  <c r="F53" i="1"/>
  <c r="D71" i="1" l="1"/>
  <c r="D117" i="1"/>
  <c r="F130" i="1"/>
  <c r="D130" i="1" s="1"/>
  <c r="F96" i="1"/>
  <c r="F45" i="1"/>
  <c r="D131" i="1"/>
  <c r="D53" i="1"/>
  <c r="D87" i="1"/>
  <c r="D118" i="1"/>
  <c r="D83" i="1"/>
  <c r="F57" i="1"/>
  <c r="F38" i="1" l="1"/>
  <c r="E125" i="1"/>
  <c r="D125" i="1" s="1"/>
  <c r="E93" i="1"/>
  <c r="D93" i="1" s="1"/>
  <c r="E63" i="1"/>
  <c r="D63" i="1" s="1"/>
  <c r="E52" i="1"/>
  <c r="D52" i="1" s="1"/>
  <c r="E106" i="1"/>
  <c r="E85" i="1"/>
  <c r="E120" i="1"/>
  <c r="E78" i="1"/>
  <c r="D78" i="1" s="1"/>
  <c r="E62" i="1"/>
  <c r="D62" i="1" s="1"/>
  <c r="E116" i="1"/>
  <c r="D116" i="1" s="1"/>
  <c r="E92" i="1"/>
  <c r="D92" i="1" s="1"/>
  <c r="E77" i="1"/>
  <c r="D77" i="1" s="1"/>
  <c r="E61" i="1"/>
  <c r="D61" i="1" s="1"/>
  <c r="E51" i="1"/>
  <c r="D51" i="1" s="1"/>
  <c r="E44" i="1"/>
  <c r="D44" i="1" s="1"/>
  <c r="E124" i="1"/>
  <c r="D124" i="1" s="1"/>
  <c r="E76" i="1"/>
  <c r="D76" i="1" s="1"/>
  <c r="E129" i="1"/>
  <c r="E115" i="1"/>
  <c r="D115" i="1" s="1"/>
  <c r="E108" i="1"/>
  <c r="D108" i="1" s="1"/>
  <c r="E91" i="1"/>
  <c r="D91" i="1" s="1"/>
  <c r="E75" i="1"/>
  <c r="D75" i="1" s="1"/>
  <c r="E60" i="1"/>
  <c r="D60" i="1" s="1"/>
  <c r="E50" i="1"/>
  <c r="D50" i="1" s="1"/>
  <c r="E43" i="1"/>
  <c r="D43" i="1" s="1"/>
  <c r="E114" i="1"/>
  <c r="D114" i="1" s="1"/>
  <c r="E90" i="1"/>
  <c r="D90" i="1" s="1"/>
  <c r="E74" i="1"/>
  <c r="D74" i="1" s="1"/>
  <c r="E49" i="1"/>
  <c r="D49" i="1" s="1"/>
  <c r="E113" i="1"/>
  <c r="D113" i="1" s="1"/>
  <c r="E89" i="1"/>
  <c r="D89" i="1" s="1"/>
  <c r="E73" i="1"/>
  <c r="D73" i="1" s="1"/>
  <c r="E48" i="1"/>
  <c r="D48" i="1" s="1"/>
  <c r="D42" i="1"/>
  <c r="E107" i="1"/>
  <c r="D107" i="1" s="1"/>
  <c r="E98" i="1"/>
  <c r="E59" i="1"/>
  <c r="D59" i="1" s="1"/>
  <c r="E123" i="1"/>
  <c r="D123" i="1" s="1"/>
  <c r="E112" i="1"/>
  <c r="E119" i="1" l="1"/>
  <c r="D119" i="1" s="1"/>
  <c r="D120" i="1"/>
  <c r="E84" i="1"/>
  <c r="D84" i="1" s="1"/>
  <c r="D85" i="1"/>
  <c r="E110" i="1"/>
  <c r="D110" i="1" s="1"/>
  <c r="D112" i="1"/>
  <c r="E105" i="1"/>
  <c r="D105" i="1" s="1"/>
  <c r="D106" i="1"/>
  <c r="E96" i="1"/>
  <c r="D96" i="1" s="1"/>
  <c r="D98" i="1"/>
  <c r="E128" i="1"/>
  <c r="D128" i="1" s="1"/>
  <c r="D129" i="1"/>
  <c r="E121" i="1"/>
  <c r="D121" i="1" s="1"/>
  <c r="E57" i="1"/>
  <c r="D57" i="1" l="1"/>
  <c r="E88" i="1"/>
  <c r="E72" i="1"/>
  <c r="E70" i="1" s="1"/>
  <c r="E47" i="1"/>
  <c r="E41" i="1"/>
  <c r="D70" i="1" l="1"/>
  <c r="D72" i="1"/>
  <c r="E39" i="1"/>
  <c r="D41" i="1"/>
  <c r="E45" i="1"/>
  <c r="D45" i="1" s="1"/>
  <c r="D47" i="1"/>
  <c r="D88" i="1"/>
  <c r="E86" i="1"/>
  <c r="D86" i="1" s="1"/>
  <c r="D201" i="1"/>
  <c r="E38" i="1" l="1"/>
  <c r="D39" i="1"/>
  <c r="E165" i="1" l="1"/>
  <c r="E160" i="1" s="1"/>
  <c r="D20" i="1" l="1"/>
  <c r="D199" i="1" l="1"/>
  <c r="F198" i="1"/>
  <c r="J156" i="1"/>
  <c r="D198" i="1" l="1"/>
  <c r="F195" i="1"/>
  <c r="D141" i="1"/>
  <c r="D16" i="1" l="1"/>
  <c r="D153" i="1" l="1"/>
  <c r="D197" i="1" l="1"/>
  <c r="D158" i="1"/>
  <c r="D149" i="1"/>
  <c r="D146" i="1"/>
  <c r="D36" i="1"/>
  <c r="D7" i="1" l="1"/>
  <c r="D157" i="1"/>
  <c r="K156" i="1"/>
  <c r="K213" i="1" s="1"/>
  <c r="G156" i="1"/>
  <c r="G213" i="1" s="1"/>
  <c r="F156" i="1"/>
  <c r="E148" i="1"/>
  <c r="E147" i="1" s="1"/>
  <c r="J209" i="1"/>
  <c r="J202" i="1" s="1"/>
  <c r="J213" i="1" s="1"/>
  <c r="D211" i="1"/>
  <c r="K221" i="1" l="1"/>
  <c r="K219" i="1" s="1"/>
  <c r="K217" i="1"/>
  <c r="D202" i="1"/>
  <c r="D200" i="1"/>
  <c r="D196" i="1"/>
  <c r="E156" i="1"/>
  <c r="D156" i="1" s="1"/>
  <c r="D147" i="1"/>
  <c r="D145" i="1"/>
  <c r="D148" i="1"/>
  <c r="D144" i="1"/>
  <c r="D217" i="1" l="1"/>
  <c r="K215" i="1"/>
  <c r="D221" i="1"/>
  <c r="E213" i="1"/>
  <c r="D195" i="1"/>
  <c r="D166" i="1"/>
  <c r="F165" i="1"/>
  <c r="D182" i="1"/>
  <c r="D183" i="1"/>
  <c r="D184" i="1"/>
  <c r="F160" i="1" l="1"/>
  <c r="F213" i="1" s="1"/>
  <c r="D165" i="1"/>
  <c r="F216" i="1" l="1"/>
  <c r="D213" i="1"/>
  <c r="D31" i="1"/>
  <c r="D216" i="1" l="1"/>
  <c r="F215" i="1"/>
  <c r="D215" i="1" s="1"/>
  <c r="D140" i="1"/>
  <c r="D143" i="1"/>
  <c r="D172" i="1" l="1"/>
  <c r="D212" i="1" l="1"/>
  <c r="D170" i="1" l="1"/>
  <c r="D160" i="1" l="1"/>
  <c r="D13" i="1" l="1"/>
  <c r="D38" i="1" l="1"/>
  <c r="G222" i="1" l="1"/>
  <c r="G219" i="1" s="1"/>
  <c r="G214" i="1"/>
  <c r="D222" i="1" l="1"/>
  <c r="F220" i="1"/>
  <c r="F219" i="1" s="1"/>
  <c r="D25" i="1" l="1"/>
  <c r="D137" i="1" l="1"/>
  <c r="D136" i="1"/>
  <c r="D33" i="1" l="1"/>
  <c r="E220" i="1" l="1"/>
  <c r="E219" i="1" s="1"/>
  <c r="D210" i="1" l="1"/>
  <c r="J220" i="1" l="1"/>
  <c r="J219" i="1" s="1"/>
  <c r="D219" i="1" l="1"/>
  <c r="D220" i="1"/>
  <c r="J214" i="1" l="1"/>
  <c r="D209" i="1" l="1"/>
  <c r="E214" i="1" l="1"/>
  <c r="D214" i="1" s="1"/>
  <c r="D6" i="1"/>
</calcChain>
</file>

<file path=xl/sharedStrings.xml><?xml version="1.0" encoding="utf-8"?>
<sst xmlns="http://schemas.openxmlformats.org/spreadsheetml/2006/main" count="369" uniqueCount="268">
  <si>
    <t>1.</t>
  </si>
  <si>
    <t>Виконавчий комітет</t>
  </si>
  <si>
    <t>2.</t>
  </si>
  <si>
    <t>Управління освіти</t>
  </si>
  <si>
    <t>3.</t>
  </si>
  <si>
    <t>Фінансове управління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</si>
  <si>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</si>
  <si>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4.</t>
  </si>
  <si>
    <t>РАЗОМ пропозиції на уточнення</t>
  </si>
  <si>
    <t>РАЗОМ</t>
  </si>
  <si>
    <t>№</t>
  </si>
  <si>
    <t>1.1.</t>
  </si>
  <si>
    <t>2.1.</t>
  </si>
  <si>
    <t>3.1.</t>
  </si>
  <si>
    <t>Відділ комунального господарства та благоустрою</t>
  </si>
  <si>
    <t>4.1.</t>
  </si>
  <si>
    <t xml:space="preserve"> </t>
  </si>
  <si>
    <t>Перерозподіл коштів</t>
  </si>
  <si>
    <t>ЗФ</t>
  </si>
  <si>
    <t>Передача коштів ЗФ до БР</t>
  </si>
  <si>
    <t>Субвенція з місцевого бюджету державному бюджету на виконання програм соціально-економічного розвитку регіонів</t>
  </si>
  <si>
    <t>Начальник фінансового управління</t>
  </si>
  <si>
    <t>Пропозиції  щодо внесення змін до видаткової частини бюджету Чорноморської міської територіальної громади на 2025 рік</t>
  </si>
  <si>
    <t>в т.ч. загальний фонд</t>
  </si>
  <si>
    <t>1.2.</t>
  </si>
  <si>
    <t>1.4.</t>
  </si>
  <si>
    <t>1.5.</t>
  </si>
  <si>
    <t>Надання дошкільної освіти</t>
  </si>
  <si>
    <t>2.2.</t>
  </si>
  <si>
    <t>2.3.</t>
  </si>
  <si>
    <t>2.4.</t>
  </si>
  <si>
    <t>Управління соціальної політики</t>
  </si>
  <si>
    <t>5.</t>
  </si>
  <si>
    <t>5.1.</t>
  </si>
  <si>
    <t>6.</t>
  </si>
  <si>
    <t>6.1.</t>
  </si>
  <si>
    <t>Забезпечення діяльності інших закладів у сфері освіти</t>
  </si>
  <si>
    <t>2.5.</t>
  </si>
  <si>
    <t>2.6.</t>
  </si>
  <si>
    <t>1.6.</t>
  </si>
  <si>
    <t>Розподіл джерел фінансування:</t>
  </si>
  <si>
    <t>за рахунок коштів бюджету Чорноморської міської територіальної громади</t>
  </si>
  <si>
    <t>Муніципальні формування з охорони громадського порядку</t>
  </si>
  <si>
    <t>Надання загальної середньої освіти закладами загальної середньої освіти за рахунок коштів місцевого бюджету</t>
  </si>
  <si>
    <t>Заходи із запобігання та ліквідації надзвичайних ситуацій та наслідків стихійного лиха</t>
  </si>
  <si>
    <t>Відділ молоді та спорту</t>
  </si>
  <si>
    <t>2.7.</t>
  </si>
  <si>
    <t>2.8.</t>
  </si>
  <si>
    <t>2.9.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</si>
  <si>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</si>
  <si>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</si>
  <si>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Багатопрофільна стаціонарна медична допомога населенню</t>
  </si>
  <si>
    <t>1.7.</t>
  </si>
  <si>
    <t>Відділ культури</t>
  </si>
  <si>
    <t xml:space="preserve">за рахунок залишку коштів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</si>
  <si>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</si>
  <si>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</si>
  <si>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 xml:space="preserve">Субвенція з місцевого бюджету державному бюджету на виконання програм соціально-економічного розвитку регіонів / резерв коштів </t>
  </si>
  <si>
    <t>Інші програми та заходи у сфері охорони здоров`я</t>
  </si>
  <si>
    <t>Надання позашкільної освіти закладами позашкільної освіти, заходи із позашкільної роботи з дітьми</t>
  </si>
  <si>
    <t>Розвиток здібностей у дітей та молоді з фізичної культури та спорту комунальними дитячо-юнацькими спортивними школами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</si>
  <si>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</si>
  <si>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Оплата праці з нарахуваннями</t>
  </si>
  <si>
    <t>7.</t>
  </si>
  <si>
    <t>7.1.</t>
  </si>
  <si>
    <t xml:space="preserve">за рахунок субвенцій </t>
  </si>
  <si>
    <t>7.2.</t>
  </si>
  <si>
    <t>1.8.</t>
  </si>
  <si>
    <t>Забезпечення діяльності центрів професійного розвитку педагогічних працівників</t>
  </si>
  <si>
    <t>Надання інших пільг окремим категоріям громадян відповідно до законодавства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</si>
  <si>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</si>
  <si>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заходи у сфері соціального захисту і соціального забезпечення</t>
  </si>
  <si>
    <t>3.2.</t>
  </si>
  <si>
    <t>3.3.</t>
  </si>
  <si>
    <t>3.4.</t>
  </si>
  <si>
    <t>7.3.</t>
  </si>
  <si>
    <t>Ольга ЯКОВЕНКО</t>
  </si>
  <si>
    <t>6030</t>
  </si>
  <si>
    <t>Організація благоустрою населених пунктів</t>
  </si>
  <si>
    <t>Заходи державної політики з питань сім`ї</t>
  </si>
  <si>
    <t>розр.</t>
  </si>
  <si>
    <t>Інші заходи, пов`язані з економічною діяльністю</t>
  </si>
  <si>
    <t>КП "Чорноморськводоканал" - фінансова підтримка</t>
  </si>
  <si>
    <t>№12239 від 21.10.25</t>
  </si>
  <si>
    <t>Забезпечення діяльності водопровідно-каналізаційного господарства</t>
  </si>
  <si>
    <t>Будівництво об'єктів житлово-комунального господарства</t>
  </si>
  <si>
    <t>Управління капітального будівництва</t>
  </si>
  <si>
    <t>6091</t>
  </si>
  <si>
    <t>Здійснення заходів із землеустрою</t>
  </si>
  <si>
    <t>8.1.</t>
  </si>
  <si>
    <t>Служба у справах дітей</t>
  </si>
  <si>
    <t>7.4.</t>
  </si>
  <si>
    <t>7.5.</t>
  </si>
  <si>
    <t>8.</t>
  </si>
  <si>
    <t>8.2.</t>
  </si>
  <si>
    <t>8.3.</t>
  </si>
  <si>
    <t>9.</t>
  </si>
  <si>
    <t>9.1.</t>
  </si>
  <si>
    <t>9.2.</t>
  </si>
  <si>
    <t>9.3.</t>
  </si>
  <si>
    <t>Заходи та роботи з мобілізаційної підготовки місцевого значення</t>
  </si>
  <si>
    <t>1.9.</t>
  </si>
  <si>
    <t>1.10.</t>
  </si>
  <si>
    <t>5.2.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</si>
  <si>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</si>
  <si>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</si>
  <si>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Капітальний ремонт покрівлі будівлі КДЮСШ, розташованої за адресою: Одеська область, Одеський район, місто Чорноморськ, Захисників України, 8-Е</t>
  </si>
  <si>
    <t>3.5.</t>
  </si>
  <si>
    <t xml:space="preserve">За рахунок доходів/субвенцій </t>
  </si>
  <si>
    <t>7.6.</t>
  </si>
  <si>
    <t>7370</t>
  </si>
  <si>
    <t>Реалізація інших заходів щодо соціально-економічного розвитку територій</t>
  </si>
  <si>
    <t>Збільшення електропотужностей для 13-го мікрорайону міста Чорноморськ, Одеської області</t>
  </si>
  <si>
    <t>Оплата послуг (крім комунальних)</t>
  </si>
  <si>
    <t>7.7.</t>
  </si>
  <si>
    <t>Оплата комунальних послуг</t>
  </si>
  <si>
    <t>Забезпечення діяльності інклюзивно-ресурсних центрів за рахунок коштів місцевого бюджету</t>
  </si>
  <si>
    <t>Придбання предметів, матеріалів, обладнання та інвентарю</t>
  </si>
  <si>
    <t>Придбання медикаментів</t>
  </si>
  <si>
    <t>Реалізація Національної програми інформатизації</t>
  </si>
  <si>
    <t>Видатки на відрядження</t>
  </si>
  <si>
    <t>Інші поточні видатки</t>
  </si>
  <si>
    <t>Окремі заходи по реалізації державних (регіональних) програм, не віднесені до заходів розвитку</t>
  </si>
  <si>
    <t>Оплата за продукти харчування та послуги з організації харчування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</si>
  <si>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</si>
  <si>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Виплата муніципальної адресної допомоги працівникам закладів та установ Чорноморської міської ради Одеського району Одеської області окремих галузей</t>
  </si>
  <si>
    <t>Придбання шаф холодильних для облаштування приміщень харчоблоків</t>
  </si>
  <si>
    <t>Придбання пральних машин виробничого типу для закладів дошкільної освіти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</si>
  <si>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</si>
  <si>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Встановлення генераторів в Чорноморських ліцеях № 2, № 3  Чорноморської міської ради Одеського району Одеської області (розробка проектно-кошторисної документації)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</si>
  <si>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</si>
  <si>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приміщень (кабінету хімії) Чорноморського ліцею № 3 Чорноморської міської ради Одеського району Одеської області, розташованого за адресою: Одеська область, Одеський район, місто Чорноморськ, вулиця Паркова, 10А</t>
  </si>
  <si>
    <t>Капітальні видатки / придбання шкільного автобусу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</si>
  <si>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</si>
  <si>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</si>
  <si>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</si>
  <si>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</si>
  <si>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</si>
  <si>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покрівлі з встановленням геліосистеми в закладі дошкільної освіти (ясла - садок) № 1 за адресою: Одеська область, Одеський район, місто Чорноморськ, вулиця 1 Травня, 4-Б</t>
  </si>
  <si>
    <t>Встановлення генераторів в Чорноморських ліцеях № 4, № 6  Чорноморської міської ради Одеського району Одеської області (розробка проектно-кошторисної документації)</t>
  </si>
  <si>
    <t>Встановлення генераторів в Чорноморському закладі дошкільної освіти № 4 Чорноморської міської ради Одеського району Одеської області</t>
  </si>
  <si>
    <t>Придбання зарядних станцій для закладів загальної середньої освіти (10 од.)</t>
  </si>
  <si>
    <t>Придбання зарядної станції для спеціальної школи</t>
  </si>
  <si>
    <t>Придбання рятувального надувного човна з двигуном для КДЮСШ</t>
  </si>
  <si>
    <t>Технічне обслуговування та технічний огляд автомобільного транспорту та автобусного парку</t>
  </si>
  <si>
    <t>Поточний ремонт приміщень (заміна внутрішнього освітлення)  господарчої групи</t>
  </si>
  <si>
    <t>Придбання паливно-мастильних матеріалів</t>
  </si>
  <si>
    <t>Надання загальної середньої освіти закладами загальної середньої освіти за рахунок освітньої субвенції</t>
  </si>
  <si>
    <t>Придбання приладів обліку електричної енергії</t>
  </si>
  <si>
    <t>Послуги з встановлення та автоматичного зчитування даних комерційного обліку електричної енергії</t>
  </si>
  <si>
    <t>Технічне обслуговування генераторів</t>
  </si>
  <si>
    <t>2.10.</t>
  </si>
  <si>
    <t>2.11.</t>
  </si>
  <si>
    <t>2.12.</t>
  </si>
  <si>
    <t>2.13.</t>
  </si>
  <si>
    <t>2.14.</t>
  </si>
  <si>
    <t>2.15.</t>
  </si>
  <si>
    <t>Підвищення кваліфікації, перепідготовка кадрів закладами післядипломної освіти</t>
  </si>
  <si>
    <t>2.16.</t>
  </si>
  <si>
    <t>7520</t>
  </si>
  <si>
    <t>Виконачий  комітет / оплата послуг (крім комунальних)</t>
  </si>
  <si>
    <t>Олександрівська селищна адміністрація</t>
  </si>
  <si>
    <t>Придбання товарів, робіт, послуг</t>
  </si>
  <si>
    <t>Оплата комунальних послуг (придбання дров)</t>
  </si>
  <si>
    <t>Оплата послуг з монтажу та комплексу пусконалагоджувальних робіт системи охоронно-тривожної сигналізації</t>
  </si>
  <si>
    <t>№13554 від 25.11.25</t>
  </si>
  <si>
    <t>Капітальні видатки / придбання цифрової рентгенологічної системи на 2 робочих місця</t>
  </si>
  <si>
    <t>№13479 від 21.11.25</t>
  </si>
  <si>
    <t>№13181 від 13.11.25</t>
  </si>
  <si>
    <t>Капітальні видатки / придбання рентгенографічної системи (виконання вимог для укладання договору с НСЗУ на надання медичних послуг)</t>
  </si>
  <si>
    <t>уточ.назви</t>
  </si>
  <si>
    <t>Продукти харчування</t>
  </si>
  <si>
    <t>КНП "Чорноморський міський центр первинної медико-санітарної допомоги"</t>
  </si>
  <si>
    <t>Предмети, матеріали, обладнання та інвентар</t>
  </si>
  <si>
    <t>КНП "Чорноморський міський центр первинної медико-санітарної допомоги" / відшкодування вартості лікарських засобів пільгової категорії населення</t>
  </si>
  <si>
    <t>№13724 від 28.11.25</t>
  </si>
  <si>
    <t>Відшкодування пільгової пенсії</t>
  </si>
  <si>
    <t>№13714 від 28.11.25</t>
  </si>
  <si>
    <t xml:space="preserve">КНП "Чорноморська лікарня" / придбання антирабічної вакцини </t>
  </si>
  <si>
    <t>№13705 від 28.11.25</t>
  </si>
  <si>
    <t>Оплата послуг (крім комунальних) / технічне обслуговування автомобілів</t>
  </si>
  <si>
    <t>КУ "Муніципальна варта" / придбання предметів</t>
  </si>
  <si>
    <t>№13756 від 28.11.25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</si>
  <si>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</si>
  <si>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</si>
  <si>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3.6.</t>
  </si>
  <si>
    <r>
  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/ </t>
    </r>
    <r>
      <rPr>
        <sz val="12"/>
        <color theme="1"/>
        <rFont val="Times New Roman"/>
        <family val="1"/>
        <charset val="204"/>
      </rPr>
      <t>оплата праці з нарахуваннями за рахунок субвенції з Велидолинської СТГ</t>
    </r>
  </si>
  <si>
    <t>3.7.</t>
  </si>
  <si>
    <r>
      <t xml:space="preserve">Керівництво і управління у відповідній сфері у містах (місті Києві), селищах, селах, територіальних громадах / </t>
    </r>
    <r>
      <rPr>
        <sz val="12"/>
        <color theme="1"/>
        <rFont val="Times New Roman"/>
        <family val="1"/>
        <charset val="204"/>
      </rPr>
      <t>оплата послуг (крім комунальних)</t>
    </r>
  </si>
  <si>
    <t>4.2.</t>
  </si>
  <si>
    <t>4060</t>
  </si>
  <si>
    <t>Забезпечення діяльності палаців i будинків культури, клубів, центрів дозвілля та iнших клубних закладів</t>
  </si>
  <si>
    <t>№13618 від 26.11.25</t>
  </si>
  <si>
    <t>4030</t>
  </si>
  <si>
    <t>Забезпечення діяльності бібліотек</t>
  </si>
  <si>
    <t>Оплата комунальних послуг / Оплата природного газ</t>
  </si>
  <si>
    <t>Оплата комунальних послуг / Оплата водопостачання та водовідведення</t>
  </si>
  <si>
    <t>№13750 від 28.11.25</t>
  </si>
  <si>
    <t>5.3.</t>
  </si>
  <si>
    <t>№13652 від 27.11.25</t>
  </si>
  <si>
    <t>Ціфровізація сфери дорожньо-транспортної інфраструктури: програмне забезпечення для інспекторів з паркування</t>
  </si>
  <si>
    <t>8110</t>
  </si>
  <si>
    <t>№13627 від 26.11.25
№13675 від 27.11.25</t>
  </si>
  <si>
    <t>№13634 від 26.11.25</t>
  </si>
  <si>
    <t>КП "Чорноморськтеплоенерго" - Придбання пального для забезпечення роботи генераторів, для виробництва електричної енергії, на котельні та теплових пунктах (поповнення матеріального резерву)</t>
  </si>
  <si>
    <t>КП "Чорноморськводоканал" - Придбання пального для роботи дизельгенераторів на водопровідних та каналізаційних насосних станціях в режимі відключення електроенергії для забезпечення населення послугами водопостачання та водовідведення (поповнення матеріального резерву)</t>
  </si>
  <si>
    <t>№13686 від 27.11.2025</t>
  </si>
  <si>
    <t>КП "Чорноморськводоканал" / 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м.Чорноморськ, вул.Паркова, 23 / виготовлення проектно-кошторисної документації</t>
  </si>
  <si>
    <t>КП "МУЖКГ" - фінансова підтримка на утримання дитячих оздоровчих таборів та інші потреби</t>
  </si>
  <si>
    <t>№13747 від 28.11.2025</t>
  </si>
  <si>
    <t>Оплата послуг з розроблення проектів землеустрою щодо відведення земельних ділянок вид цільового призначення яких змінюється та технічної документації із землеустрою щодо встановлення (відновлення) меж земельної ділянки в натурі (на місцевості)</t>
  </si>
  <si>
    <t>№13747 від 28.11.25</t>
  </si>
  <si>
    <t>№13439 від 20.11.2025</t>
  </si>
  <si>
    <t>КП "МУЖКГ" - фінансова підтримка на покриття збитків за підсумками 9 місяців 2025 року</t>
  </si>
  <si>
    <t>№13574 від 25.11.25</t>
  </si>
  <si>
    <t>КП "МУЖКГ" / Утримання загальноміських територій / ремонт екскаватора-навантажувача</t>
  </si>
  <si>
    <t>КП "Зеленгосп" / придбання основних засобів (бензопили)</t>
  </si>
  <si>
    <t>Експлуатація та технічне обслуговування житлового фонду</t>
  </si>
  <si>
    <t>Капітальний ремонт вхідної групи з улаштуванням пандусу для маломобільної групи населення в гуртожитку за адресою: Одеська область, Одеський район, м.Чорноморськ, вул.Олександрійська, 16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</si>
  <si>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</si>
  <si>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t>Капітальний ремонт житлового будинку (заміна вхідних дверей в під'їзд) за адресою: м.Чорноморськ, вул.Паркова, 20 (2 під'їзд)</t>
  </si>
  <si>
    <t>Забезпечення надійної та безперебійної експлуатації ліфтів</t>
  </si>
  <si>
    <t>Експертне обстеження ліфтів</t>
  </si>
  <si>
    <t>Капітальний ремонт (заміна) ліфту за адресою: Одеський район, Одеська область, м.Чорноморськ, проспект Миру, 28 (5п.)</t>
  </si>
  <si>
    <t xml:space="preserve">Розробка проектно-кошторисної документації стадії "РП" (Робочий проект) по об'єкту: "Будівництво майданчиків для встановлення підземних контейнерів для збору побутових відходів населення  на території міста Чорноморська" </t>
  </si>
  <si>
    <t>7.8.</t>
  </si>
  <si>
    <t>7.9.</t>
  </si>
  <si>
    <r>
      <t>Керівництво і управління у відповідній сфері у містах (місті Києві), селищах, селах, територіальних громадах /</t>
    </r>
    <r>
      <rPr>
        <i/>
        <sz val="12"/>
        <color theme="1"/>
        <rFont val="Times New Roman"/>
        <family val="1"/>
        <charset val="204"/>
      </rPr>
      <t xml:space="preserve"> придбання товарів, робіт, послуг</t>
    </r>
  </si>
  <si>
    <t>№13685 від 27.11.25</t>
  </si>
  <si>
    <t>Придбання комп'ютерного обладнання та засобів КЗІ (електронні ключі)</t>
  </si>
  <si>
    <t>ВКГБ / оплата комунальних послуг (електроенергія)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</si>
  <si>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</si>
  <si>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Рішення виконавчого комітету Чорноморської міської ради Одеського району Одеської області від 28.11.2025 № 446</t>
  </si>
  <si>
    <t>ріш.</t>
  </si>
  <si>
    <t>8746</t>
  </si>
  <si>
    <t>Заходи із запобігання та ліквідації наслідків надзвичайної ситуації в інших системах та об'єктах житлово-комунального господарства за рахунок коштів резервного фонду місцевого бюджету</t>
  </si>
  <si>
    <t>Рішення виконавчого комітету Чорноморської міської ради Одеського району Одеської області від 17.11.2025 № 442</t>
  </si>
  <si>
    <t>7.10.</t>
  </si>
  <si>
    <t>7.11.</t>
  </si>
  <si>
    <t>8710</t>
  </si>
  <si>
    <t>Резервний фонд</t>
  </si>
  <si>
    <t>Зменшення планових показників</t>
  </si>
  <si>
    <t>9770</t>
  </si>
  <si>
    <t>Інші субвенції з місцевого бюджету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</si>
  <si>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</si>
  <si>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Матеріально-технічне забезпечення військової частини А2120</t>
  </si>
  <si>
    <t>№6032-25 від 27.11.2025</t>
  </si>
  <si>
    <t>Інші виплати населенню</t>
  </si>
  <si>
    <t>КП "МУЖКГ" - утримання Пунктів Незламності та найпростіших укриттів / оплата праці працівників, залучених до чергування в найпростіших укриттях та Пунктах Незламності в надурочні години, оплата праці персоналу з обслуговування найпростіших укриттів в житловому фонді та прибиральниць</t>
  </si>
  <si>
    <t>ЦФ</t>
  </si>
  <si>
    <t>від 02.12.25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</si>
  <si>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</si>
  <si>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</si>
  <si>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7.12.</t>
  </si>
  <si>
    <t>КП "МУЖКГ" - Придбання паливно-мастильних матеріалів для забезпечення роботи генераторів, для забезпечення роботи насосного обладнання для подання тепло- та водо- постачання до багатоповерхових будинків</t>
  </si>
  <si>
    <t>№13840 від 01.12.25</t>
  </si>
  <si>
    <t>бюджет розвитку</t>
  </si>
  <si>
    <t xml:space="preserve">          спеціальний фонд</t>
  </si>
  <si>
    <t>цільовий фонд</t>
  </si>
  <si>
    <t>за рахунок цільових внесків</t>
  </si>
  <si>
    <t>Капітальний ремонт покрівлі Чорноморської спеціальної школи, розташованої за адресою: Одеська область, Одеський район, місто Чорноморськ, вулиця Пляжна, 3</t>
  </si>
  <si>
    <t>1.12.</t>
  </si>
  <si>
    <t>Природоохоронні заходи за рахунок цільових фондів</t>
  </si>
  <si>
    <t>СФ (ФОНПС)</t>
  </si>
  <si>
    <t>СФ (ЦФ)</t>
  </si>
  <si>
    <t>№13844 від 01.12.25</t>
  </si>
  <si>
    <t>№13724 від 28.11.25
№13844 від 01.12.25</t>
  </si>
  <si>
    <t>фонпс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</si>
</sst>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quotePrefix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6" fillId="2" borderId="0" xfId="0" applyFont="1" applyFill="1"/>
    <xf numFmtId="16" fontId="2" fillId="3" borderId="1" xfId="0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 wrapText="1"/>
    </xf>
    <xf numFmtId="0" fontId="3" fillId="3" borderId="0" xfId="0" applyFont="1" applyFill="1"/>
    <xf numFmtId="17" fontId="2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8" fillId="3" borderId="3" xfId="0" quotePrefix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3" borderId="0" xfId="0" applyNumberFormat="1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3" xfId="0" quotePrefix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9" xfId="1"/>
    <cellStyle name="Обычный_дод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4"/>
  <sheetViews>
    <sheetView tabSelected="1" view="pageBreakPreview" zoomScale="70" zoomScaleNormal="100" zoomScaleSheetLayoutView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2" sqref="C12"/>
    </sheetView>
  </sheetViews>
  <sheetFormatPr defaultColWidth="8.88671875" defaultRowHeight="15.6" x14ac:dyDescent="0.3"/>
  <cols>
    <col min="1" max="1" width="5.33203125" style="10" customWidth="1"/>
    <col min="2" max="2" width="13" style="9" customWidth="1"/>
    <col min="3" max="3" width="64.5546875" style="11" customWidth="1"/>
    <col min="4" max="4" width="17.88671875" style="11" customWidth="1"/>
    <col min="5" max="5" width="17" style="11" customWidth="1"/>
    <col min="6" max="9" width="17.33203125" style="11" customWidth="1"/>
    <col min="10" max="10" width="17.88671875" style="11" customWidth="1"/>
    <col min="11" max="11" width="16.6640625" style="11" customWidth="1"/>
    <col min="12" max="12" width="16.44140625" style="1" bestFit="1" customWidth="1"/>
    <col min="13" max="16384" width="8.88671875" style="1"/>
  </cols>
  <sheetData>
    <row r="1" spans="1:12" x14ac:dyDescent="0.3">
      <c r="A1" s="10" t="s">
        <v>16</v>
      </c>
      <c r="K1" s="29"/>
    </row>
    <row r="2" spans="1:12" ht="25.95" customHeight="1" x14ac:dyDescent="0.3">
      <c r="A2" s="112" t="s">
        <v>22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4" spans="1:12" ht="68.400000000000006" customHeight="1" x14ac:dyDescent="0.3">
      <c r="A4" s="113" t="s">
        <v>10</v>
      </c>
      <c r="B4" s="114"/>
      <c r="C4" s="113" t="s">
        <v>16</v>
      </c>
      <c r="D4" s="113" t="s">
        <v>9</v>
      </c>
      <c r="E4" s="113" t="s">
        <v>17</v>
      </c>
      <c r="F4" s="113"/>
      <c r="G4" s="121" t="s">
        <v>108</v>
      </c>
      <c r="H4" s="122"/>
      <c r="I4" s="123"/>
      <c r="J4" s="113" t="s">
        <v>54</v>
      </c>
      <c r="K4" s="113"/>
      <c r="L4" s="37"/>
    </row>
    <row r="5" spans="1:12" s="2" customFormat="1" ht="46.8" x14ac:dyDescent="0.3">
      <c r="A5" s="113"/>
      <c r="B5" s="114"/>
      <c r="C5" s="113"/>
      <c r="D5" s="113"/>
      <c r="E5" s="5" t="s">
        <v>18</v>
      </c>
      <c r="F5" s="5" t="s">
        <v>19</v>
      </c>
      <c r="G5" s="5" t="s">
        <v>18</v>
      </c>
      <c r="H5" s="104" t="s">
        <v>263</v>
      </c>
      <c r="I5" s="104" t="s">
        <v>264</v>
      </c>
      <c r="J5" s="5" t="s">
        <v>18</v>
      </c>
      <c r="K5" s="5" t="s">
        <v>249</v>
      </c>
    </row>
    <row r="6" spans="1:12" s="19" customFormat="1" ht="17.399999999999999" x14ac:dyDescent="0.3">
      <c r="A6" s="31" t="s">
        <v>0</v>
      </c>
      <c r="B6" s="18"/>
      <c r="C6" s="32" t="s">
        <v>1</v>
      </c>
      <c r="D6" s="25">
        <f t="shared" ref="D6:D13" si="0">SUM(E6:K6)</f>
        <v>-1611943</v>
      </c>
      <c r="E6" s="25">
        <f>E7+E13+E16+E20+E25+E28+E31+E33+E36+E37</f>
        <v>-1273543</v>
      </c>
      <c r="F6" s="25">
        <f>F7+F13+F16+F20+F25+F28+F31+F33+F36+F37</f>
        <v>24000</v>
      </c>
      <c r="G6" s="25">
        <f>G7+G13+G16+G20+G25+G28+G31+G33+G36+G37</f>
        <v>0</v>
      </c>
      <c r="H6" s="25">
        <f>H7+H13+H16+H20+H25+H28+H31+H33+H36+H37</f>
        <v>-362400</v>
      </c>
      <c r="I6" s="25">
        <f>I7+I13+I16+I20+I25+I28+I31+I33+I36+I37</f>
        <v>0</v>
      </c>
      <c r="J6" s="25">
        <f>J7+J13+J16+J20+J25+J28+J31+J33+J36+J37</f>
        <v>0</v>
      </c>
      <c r="K6" s="25">
        <f>K7+K13+K16+K20+K25+K28+K31+K33+K36+K37</f>
        <v>0</v>
      </c>
    </row>
    <row r="7" spans="1:12" s="8" customFormat="1" ht="62.4" x14ac:dyDescent="0.3">
      <c r="A7" s="33" t="s">
        <v>11</v>
      </c>
      <c r="B7" s="40" t="s">
        <v>49</v>
      </c>
      <c r="C7" s="28" t="s">
        <v>50</v>
      </c>
      <c r="D7" s="6">
        <f t="shared" si="0"/>
        <v>-1500000</v>
      </c>
      <c r="E7" s="7">
        <f>E8+E10</f>
        <v>-1500000</v>
      </c>
      <c r="F7" s="7"/>
      <c r="G7" s="7"/>
      <c r="H7" s="7"/>
      <c r="I7" s="7"/>
      <c r="J7" s="7"/>
      <c r="K7" s="7"/>
    </row>
    <row r="8" spans="1:12" s="8" customFormat="1" x14ac:dyDescent="0.3">
      <c r="A8" s="33"/>
      <c r="B8" s="40"/>
      <c r="C8" s="28" t="s">
        <v>1</v>
      </c>
      <c r="D8" s="6">
        <f t="shared" si="0"/>
        <v>-1500000</v>
      </c>
      <c r="E8" s="7">
        <f>E9</f>
        <v>-1500000</v>
      </c>
      <c r="F8" s="7"/>
      <c r="G8" s="7"/>
      <c r="H8" s="7"/>
      <c r="I8" s="7"/>
      <c r="J8" s="7"/>
      <c r="K8" s="7"/>
    </row>
    <row r="9" spans="1:12" s="20" customFormat="1" x14ac:dyDescent="0.3">
      <c r="A9" s="34"/>
      <c r="B9" s="35" t="s">
        <v>80</v>
      </c>
      <c r="C9" s="30" t="s">
        <v>62</v>
      </c>
      <c r="D9" s="100">
        <f t="shared" si="0"/>
        <v>-1500000</v>
      </c>
      <c r="E9" s="36">
        <f>-1500000</f>
        <v>-1500000</v>
      </c>
      <c r="F9" s="36"/>
      <c r="G9" s="36"/>
      <c r="H9" s="36"/>
      <c r="I9" s="36"/>
      <c r="J9" s="36"/>
      <c r="K9" s="36"/>
    </row>
    <row r="10" spans="1:12" s="8" customFormat="1" x14ac:dyDescent="0.3">
      <c r="A10" s="33"/>
      <c r="B10" s="17"/>
      <c r="C10" s="41" t="s">
        <v>161</v>
      </c>
      <c r="D10" s="6">
        <f t="shared" si="0"/>
        <v>0</v>
      </c>
      <c r="E10" s="7">
        <f>SUM(E11:E12)</f>
        <v>0</v>
      </c>
      <c r="F10" s="7"/>
      <c r="G10" s="7"/>
      <c r="H10" s="7"/>
      <c r="I10" s="7"/>
      <c r="J10" s="7"/>
      <c r="K10" s="7"/>
    </row>
    <row r="11" spans="1:12" s="20" customFormat="1" ht="31.2" customHeight="1" x14ac:dyDescent="0.3">
      <c r="A11" s="34"/>
      <c r="B11" s="115" t="s">
        <v>165</v>
      </c>
      <c r="C11" s="55" t="s">
        <v>163</v>
      </c>
      <c r="D11" s="99">
        <f t="shared" si="0"/>
        <v>-5000</v>
      </c>
      <c r="E11" s="36">
        <v>-5000</v>
      </c>
      <c r="F11" s="36"/>
      <c r="G11" s="36"/>
      <c r="H11" s="36"/>
      <c r="I11" s="36"/>
      <c r="J11" s="36"/>
      <c r="K11" s="36"/>
    </row>
    <row r="12" spans="1:12" s="20" customFormat="1" ht="46.8" x14ac:dyDescent="0.3">
      <c r="A12" s="34"/>
      <c r="B12" s="117"/>
      <c r="C12" s="55" t="s">
        <v>164</v>
      </c>
      <c r="D12" s="99">
        <f t="shared" si="0"/>
        <v>5000</v>
      </c>
      <c r="E12" s="36">
        <v>5000</v>
      </c>
      <c r="F12" s="36"/>
      <c r="G12" s="36"/>
      <c r="H12" s="36"/>
      <c r="I12" s="36"/>
      <c r="J12" s="36"/>
      <c r="K12" s="36"/>
    </row>
    <row r="13" spans="1:12" s="8" customFormat="1" x14ac:dyDescent="0.3">
      <c r="A13" s="33" t="s">
        <v>24</v>
      </c>
      <c r="B13" s="17">
        <v>2010</v>
      </c>
      <c r="C13" s="28" t="s">
        <v>51</v>
      </c>
      <c r="D13" s="6">
        <f t="shared" si="0"/>
        <v>0</v>
      </c>
      <c r="E13" s="7">
        <f>SUM(E14:E15)</f>
        <v>0</v>
      </c>
      <c r="F13" s="7">
        <f>SUM(F14:F15)</f>
        <v>0</v>
      </c>
      <c r="G13" s="7"/>
      <c r="H13" s="7"/>
      <c r="I13" s="7"/>
      <c r="J13" s="7"/>
      <c r="K13" s="7"/>
    </row>
    <row r="14" spans="1:12" s="20" customFormat="1" ht="31.2" x14ac:dyDescent="0.3">
      <c r="A14" s="34"/>
      <c r="B14" s="35" t="s">
        <v>168</v>
      </c>
      <c r="C14" s="46" t="s">
        <v>166</v>
      </c>
      <c r="D14" s="36">
        <f t="shared" ref="D14:D15" si="1">SUM(E14:K14)</f>
        <v>-5500000</v>
      </c>
      <c r="E14" s="38"/>
      <c r="F14" s="36">
        <v>-5500000</v>
      </c>
      <c r="G14" s="36"/>
      <c r="H14" s="36"/>
      <c r="I14" s="36"/>
      <c r="J14" s="36"/>
      <c r="K14" s="36"/>
    </row>
    <row r="15" spans="1:12" s="20" customFormat="1" ht="46.8" x14ac:dyDescent="0.3">
      <c r="A15" s="34"/>
      <c r="B15" s="35" t="s">
        <v>170</v>
      </c>
      <c r="C15" s="46" t="s">
        <v>169</v>
      </c>
      <c r="D15" s="36">
        <f t="shared" si="1"/>
        <v>5500000</v>
      </c>
      <c r="E15" s="38"/>
      <c r="F15" s="36">
        <v>5500000</v>
      </c>
      <c r="G15" s="36"/>
      <c r="H15" s="36"/>
      <c r="I15" s="36"/>
      <c r="J15" s="36"/>
      <c r="K15" s="36"/>
    </row>
    <row r="16" spans="1:12" s="8" customFormat="1" x14ac:dyDescent="0.3">
      <c r="A16" s="33" t="s">
        <v>25</v>
      </c>
      <c r="B16" s="17">
        <v>2100</v>
      </c>
      <c r="C16" s="89" t="s">
        <v>104</v>
      </c>
      <c r="D16" s="7">
        <f>SUM(E16:K16)</f>
        <v>0</v>
      </c>
      <c r="E16" s="7">
        <f>SUM(E17:E19)</f>
        <v>0</v>
      </c>
      <c r="F16" s="7">
        <f>SUM(F17:F19)</f>
        <v>0</v>
      </c>
      <c r="G16" s="7"/>
      <c r="H16" s="7"/>
      <c r="I16" s="7"/>
      <c r="J16" s="7"/>
      <c r="K16" s="7"/>
    </row>
    <row r="17" spans="1:11" s="20" customFormat="1" x14ac:dyDescent="0.3">
      <c r="A17" s="34"/>
      <c r="B17" s="115" t="s">
        <v>177</v>
      </c>
      <c r="C17" s="46" t="s">
        <v>62</v>
      </c>
      <c r="D17" s="36">
        <f>SUM(E17:K17)</f>
        <v>275400</v>
      </c>
      <c r="E17" s="38">
        <v>275400</v>
      </c>
      <c r="F17" s="36"/>
      <c r="G17" s="36"/>
      <c r="H17" s="36"/>
      <c r="I17" s="36"/>
      <c r="J17" s="36"/>
      <c r="K17" s="36"/>
    </row>
    <row r="18" spans="1:11" s="20" customFormat="1" x14ac:dyDescent="0.3">
      <c r="A18" s="34"/>
      <c r="B18" s="116"/>
      <c r="C18" s="46" t="s">
        <v>118</v>
      </c>
      <c r="D18" s="36">
        <f t="shared" ref="D18:D19" si="2">SUM(E18:K18)</f>
        <v>-278000</v>
      </c>
      <c r="E18" s="38">
        <v>-278000</v>
      </c>
      <c r="F18" s="36"/>
      <c r="G18" s="36"/>
      <c r="H18" s="36"/>
      <c r="I18" s="36"/>
      <c r="J18" s="36"/>
      <c r="K18" s="36"/>
    </row>
    <row r="19" spans="1:11" s="20" customFormat="1" x14ac:dyDescent="0.3">
      <c r="A19" s="34"/>
      <c r="B19" s="117"/>
      <c r="C19" s="46" t="s">
        <v>176</v>
      </c>
      <c r="D19" s="36">
        <f t="shared" si="2"/>
        <v>2600</v>
      </c>
      <c r="E19" s="38">
        <v>2600</v>
      </c>
      <c r="F19" s="36"/>
      <c r="G19" s="36"/>
      <c r="H19" s="36"/>
      <c r="I19" s="36"/>
      <c r="J19" s="36"/>
      <c r="K19" s="36"/>
    </row>
    <row r="20" spans="1:11" s="8" customFormat="1" ht="31.2" x14ac:dyDescent="0.3">
      <c r="A20" s="33" t="s">
        <v>26</v>
      </c>
      <c r="B20" s="17">
        <v>2111</v>
      </c>
      <c r="C20" s="89" t="s">
        <v>105</v>
      </c>
      <c r="D20" s="7">
        <f t="shared" ref="D20:D86" si="3">SUM(E20:K20)</f>
        <v>-96800</v>
      </c>
      <c r="E20" s="42">
        <f>SUM(E21:E24)</f>
        <v>-96800</v>
      </c>
      <c r="F20" s="42">
        <f>SUM(F21:F23)</f>
        <v>0</v>
      </c>
      <c r="G20" s="7"/>
      <c r="H20" s="7"/>
      <c r="I20" s="7"/>
      <c r="J20" s="7"/>
      <c r="K20" s="7"/>
    </row>
    <row r="21" spans="1:11" s="20" customFormat="1" ht="21.6" customHeight="1" x14ac:dyDescent="0.3">
      <c r="A21" s="34"/>
      <c r="B21" s="115" t="s">
        <v>266</v>
      </c>
      <c r="C21" s="30" t="s">
        <v>113</v>
      </c>
      <c r="D21" s="36">
        <f t="shared" si="3"/>
        <v>-136800</v>
      </c>
      <c r="E21" s="38">
        <v>-136800</v>
      </c>
      <c r="F21" s="36"/>
      <c r="G21" s="36"/>
      <c r="H21" s="36"/>
      <c r="I21" s="36"/>
      <c r="J21" s="36"/>
      <c r="K21" s="36"/>
    </row>
    <row r="22" spans="1:11" s="95" customFormat="1" ht="21.6" customHeight="1" x14ac:dyDescent="0.3">
      <c r="A22" s="91"/>
      <c r="B22" s="116"/>
      <c r="C22" s="92" t="s">
        <v>171</v>
      </c>
      <c r="D22" s="36">
        <f t="shared" si="3"/>
        <v>-25500</v>
      </c>
      <c r="E22" s="94">
        <v>-25500</v>
      </c>
      <c r="F22" s="93"/>
      <c r="G22" s="93"/>
      <c r="H22" s="93"/>
      <c r="I22" s="93"/>
      <c r="J22" s="93"/>
      <c r="K22" s="93"/>
    </row>
    <row r="23" spans="1:11" s="95" customFormat="1" ht="21.6" customHeight="1" x14ac:dyDescent="0.3">
      <c r="A23" s="91"/>
      <c r="B23" s="117"/>
      <c r="C23" s="92" t="s">
        <v>173</v>
      </c>
      <c r="D23" s="36">
        <f t="shared" si="3"/>
        <v>186900</v>
      </c>
      <c r="E23" s="94">
        <f>165500+21400</f>
        <v>186900</v>
      </c>
      <c r="F23" s="93"/>
      <c r="G23" s="93"/>
      <c r="H23" s="93"/>
      <c r="I23" s="93"/>
      <c r="J23" s="93"/>
      <c r="K23" s="93"/>
    </row>
    <row r="24" spans="1:11" s="95" customFormat="1" ht="31.2" x14ac:dyDescent="0.3">
      <c r="A24" s="91"/>
      <c r="B24" s="103" t="s">
        <v>265</v>
      </c>
      <c r="C24" s="92" t="s">
        <v>115</v>
      </c>
      <c r="D24" s="36">
        <f t="shared" si="3"/>
        <v>-121400</v>
      </c>
      <c r="E24" s="94">
        <f>-4500-80000-36000-900</f>
        <v>-121400</v>
      </c>
      <c r="F24" s="93"/>
      <c r="G24" s="93"/>
      <c r="H24" s="93"/>
      <c r="I24" s="93"/>
      <c r="J24" s="93"/>
      <c r="K24" s="93"/>
    </row>
    <row r="25" spans="1:11" s="8" customFormat="1" x14ac:dyDescent="0.3">
      <c r="A25" s="52" t="s">
        <v>39</v>
      </c>
      <c r="B25" s="17">
        <v>2152</v>
      </c>
      <c r="C25" s="44" t="s">
        <v>58</v>
      </c>
      <c r="D25" s="7">
        <f t="shared" si="3"/>
        <v>830510</v>
      </c>
      <c r="E25" s="42">
        <f>E26+E27</f>
        <v>830510</v>
      </c>
      <c r="F25" s="53"/>
      <c r="G25" s="53"/>
      <c r="H25" s="53"/>
      <c r="I25" s="53"/>
      <c r="J25" s="53"/>
      <c r="K25" s="53"/>
    </row>
    <row r="26" spans="1:11" s="20" customFormat="1" ht="62.4" x14ac:dyDescent="0.3">
      <c r="A26" s="54"/>
      <c r="B26" s="103" t="s">
        <v>266</v>
      </c>
      <c r="C26" s="80" t="s">
        <v>174</v>
      </c>
      <c r="D26" s="36">
        <f t="shared" si="3"/>
        <v>600000</v>
      </c>
      <c r="E26" s="38">
        <f>500000+100000</f>
        <v>600000</v>
      </c>
      <c r="F26" s="39"/>
      <c r="G26" s="39"/>
      <c r="H26" s="39"/>
      <c r="I26" s="39"/>
      <c r="J26" s="39"/>
      <c r="K26" s="39"/>
    </row>
    <row r="27" spans="1:11" s="95" customFormat="1" ht="36" x14ac:dyDescent="0.3">
      <c r="A27" s="91"/>
      <c r="B27" s="35" t="s">
        <v>167</v>
      </c>
      <c r="C27" s="101" t="s">
        <v>178</v>
      </c>
      <c r="D27" s="93">
        <f t="shared" si="3"/>
        <v>230510</v>
      </c>
      <c r="E27" s="94">
        <v>230510</v>
      </c>
      <c r="F27" s="94"/>
      <c r="G27" s="93"/>
      <c r="H27" s="93"/>
      <c r="I27" s="93"/>
      <c r="J27" s="93"/>
      <c r="K27" s="93"/>
    </row>
    <row r="28" spans="1:11" s="8" customFormat="1" x14ac:dyDescent="0.3">
      <c r="A28" s="52" t="s">
        <v>52</v>
      </c>
      <c r="B28" s="40" t="s">
        <v>159</v>
      </c>
      <c r="C28" s="41" t="s">
        <v>119</v>
      </c>
      <c r="D28" s="7">
        <f t="shared" si="3"/>
        <v>-47000</v>
      </c>
      <c r="E28" s="53">
        <f>SUM(E29:E30)</f>
        <v>-71000</v>
      </c>
      <c r="F28" s="53">
        <f>SUM(F29:F30)</f>
        <v>24000</v>
      </c>
      <c r="G28" s="53"/>
      <c r="H28" s="53"/>
      <c r="I28" s="53"/>
      <c r="J28" s="53"/>
      <c r="K28" s="53"/>
    </row>
    <row r="29" spans="1:11" s="20" customFormat="1" x14ac:dyDescent="0.3">
      <c r="A29" s="54"/>
      <c r="B29" s="43" t="s">
        <v>80</v>
      </c>
      <c r="C29" s="55" t="s">
        <v>160</v>
      </c>
      <c r="D29" s="36">
        <f t="shared" si="3"/>
        <v>-80000</v>
      </c>
      <c r="E29" s="39">
        <v>-80000</v>
      </c>
      <c r="F29" s="39"/>
      <c r="G29" s="39"/>
      <c r="H29" s="39"/>
      <c r="I29" s="39"/>
      <c r="J29" s="39"/>
      <c r="K29" s="39"/>
    </row>
    <row r="30" spans="1:11" s="20" customFormat="1" ht="31.2" x14ac:dyDescent="0.3">
      <c r="A30" s="54"/>
      <c r="B30" s="43" t="s">
        <v>179</v>
      </c>
      <c r="C30" s="55" t="s">
        <v>181</v>
      </c>
      <c r="D30" s="36">
        <f t="shared" si="3"/>
        <v>33000</v>
      </c>
      <c r="E30" s="39">
        <v>9000</v>
      </c>
      <c r="F30" s="39">
        <v>24000</v>
      </c>
      <c r="G30" s="39"/>
      <c r="H30" s="39"/>
      <c r="I30" s="39"/>
      <c r="J30" s="39"/>
      <c r="K30" s="39"/>
    </row>
    <row r="31" spans="1:11" s="8" customFormat="1" ht="31.2" x14ac:dyDescent="0.3">
      <c r="A31" s="52" t="s">
        <v>67</v>
      </c>
      <c r="B31" s="17">
        <v>8110</v>
      </c>
      <c r="C31" s="28" t="s">
        <v>44</v>
      </c>
      <c r="D31" s="7">
        <f t="shared" si="3"/>
        <v>-3200</v>
      </c>
      <c r="E31" s="53">
        <f>E32</f>
        <v>-3200</v>
      </c>
      <c r="F31" s="53"/>
      <c r="G31" s="53"/>
      <c r="H31" s="53"/>
      <c r="I31" s="53"/>
      <c r="J31" s="53"/>
      <c r="K31" s="53"/>
    </row>
    <row r="32" spans="1:11" s="20" customFormat="1" ht="31.2" x14ac:dyDescent="0.3">
      <c r="A32" s="54"/>
      <c r="B32" s="35" t="s">
        <v>175</v>
      </c>
      <c r="C32" s="30" t="s">
        <v>172</v>
      </c>
      <c r="D32" s="36">
        <f t="shared" si="3"/>
        <v>-3200</v>
      </c>
      <c r="E32" s="39">
        <v>-3200</v>
      </c>
      <c r="F32" s="39"/>
      <c r="G32" s="39"/>
      <c r="H32" s="39"/>
      <c r="I32" s="39"/>
      <c r="J32" s="39"/>
      <c r="K32" s="39"/>
    </row>
    <row r="33" spans="1:11" s="8" customFormat="1" x14ac:dyDescent="0.3">
      <c r="A33" s="52" t="s">
        <v>101</v>
      </c>
      <c r="B33" s="17">
        <v>8210</v>
      </c>
      <c r="C33" s="28" t="s">
        <v>42</v>
      </c>
      <c r="D33" s="7">
        <f t="shared" si="3"/>
        <v>-33000</v>
      </c>
      <c r="E33" s="53">
        <f>SUM(E34:E35)</f>
        <v>-33000</v>
      </c>
      <c r="F33" s="53"/>
      <c r="G33" s="53"/>
      <c r="H33" s="53"/>
      <c r="I33" s="53"/>
      <c r="J33" s="53"/>
      <c r="K33" s="53"/>
    </row>
    <row r="34" spans="1:11" s="20" customFormat="1" ht="31.2" customHeight="1" x14ac:dyDescent="0.3">
      <c r="A34" s="54"/>
      <c r="B34" s="115" t="s">
        <v>179</v>
      </c>
      <c r="C34" s="30" t="s">
        <v>62</v>
      </c>
      <c r="D34" s="36">
        <f t="shared" si="3"/>
        <v>-63000</v>
      </c>
      <c r="E34" s="39">
        <v>-63000</v>
      </c>
      <c r="F34" s="39"/>
      <c r="G34" s="39"/>
      <c r="H34" s="39"/>
      <c r="I34" s="39"/>
      <c r="J34" s="39"/>
      <c r="K34" s="39"/>
    </row>
    <row r="35" spans="1:11" s="20" customFormat="1" ht="31.2" x14ac:dyDescent="0.3">
      <c r="A35" s="54"/>
      <c r="B35" s="117"/>
      <c r="C35" s="30" t="s">
        <v>180</v>
      </c>
      <c r="D35" s="36">
        <f t="shared" si="3"/>
        <v>30000</v>
      </c>
      <c r="E35" s="39">
        <v>30000</v>
      </c>
      <c r="F35" s="39"/>
      <c r="G35" s="39"/>
      <c r="H35" s="39"/>
      <c r="I35" s="39"/>
      <c r="J35" s="39"/>
      <c r="K35" s="39"/>
    </row>
    <row r="36" spans="1:11" s="8" customFormat="1" ht="31.2" x14ac:dyDescent="0.3">
      <c r="A36" s="52" t="s">
        <v>102</v>
      </c>
      <c r="B36" s="17">
        <v>8220</v>
      </c>
      <c r="C36" s="28" t="s">
        <v>100</v>
      </c>
      <c r="D36" s="7">
        <f t="shared" si="3"/>
        <v>-400053</v>
      </c>
      <c r="E36" s="53">
        <f>-400027-26</f>
        <v>-400053</v>
      </c>
      <c r="F36" s="53"/>
      <c r="G36" s="53"/>
      <c r="H36" s="53"/>
      <c r="I36" s="53"/>
      <c r="J36" s="53"/>
      <c r="K36" s="53"/>
    </row>
    <row r="37" spans="1:11" s="8" customFormat="1" ht="31.2" x14ac:dyDescent="0.3">
      <c r="A37" s="52" t="s">
        <v>261</v>
      </c>
      <c r="B37" s="17">
        <v>8340</v>
      </c>
      <c r="C37" s="28" t="s">
        <v>262</v>
      </c>
      <c r="D37" s="7">
        <f t="shared" si="3"/>
        <v>-362400</v>
      </c>
      <c r="E37" s="53"/>
      <c r="F37" s="53"/>
      <c r="G37" s="53"/>
      <c r="H37" s="53">
        <v>-362400</v>
      </c>
      <c r="I37" s="53"/>
      <c r="J37" s="53"/>
      <c r="K37" s="53"/>
    </row>
    <row r="38" spans="1:11" s="19" customFormat="1" ht="17.399999999999999" x14ac:dyDescent="0.3">
      <c r="A38" s="31" t="s">
        <v>2</v>
      </c>
      <c r="B38" s="18"/>
      <c r="C38" s="32" t="s">
        <v>3</v>
      </c>
      <c r="D38" s="25">
        <f t="shared" si="3"/>
        <v>5597500</v>
      </c>
      <c r="E38" s="25">
        <f>E39+E45+E57+E70+E82+E84+E86+E94+E96+E105+E110+E117+E119+E121+E128+E130</f>
        <v>6432922.8799999999</v>
      </c>
      <c r="F38" s="25">
        <f t="shared" ref="F38:K38" si="4">F39+F45+F57+F70+F82+F84+F86+F94+F96+F105+F110+F117+F119+F121+F128+F130</f>
        <v>-835422.88</v>
      </c>
      <c r="G38" s="25">
        <f t="shared" si="4"/>
        <v>0</v>
      </c>
      <c r="H38" s="25"/>
      <c r="I38" s="25"/>
      <c r="J38" s="25">
        <f t="shared" si="4"/>
        <v>0</v>
      </c>
      <c r="K38" s="25">
        <f t="shared" si="4"/>
        <v>0</v>
      </c>
    </row>
    <row r="39" spans="1:11" s="8" customFormat="1" ht="31.2" x14ac:dyDescent="0.3">
      <c r="A39" s="33" t="s">
        <v>12</v>
      </c>
      <c r="B39" s="82" t="s">
        <v>55</v>
      </c>
      <c r="C39" s="28" t="s">
        <v>56</v>
      </c>
      <c r="D39" s="7">
        <f t="shared" si="3"/>
        <v>-122309.12</v>
      </c>
      <c r="E39" s="7">
        <f>SUM(E40:E44)</f>
        <v>-122309.12</v>
      </c>
      <c r="F39" s="7">
        <f>SUM(F40:F44)</f>
        <v>0</v>
      </c>
      <c r="G39" s="7"/>
      <c r="H39" s="7"/>
      <c r="I39" s="7"/>
      <c r="J39" s="7"/>
      <c r="K39" s="7"/>
    </row>
    <row r="40" spans="1:11" s="20" customFormat="1" ht="18" customHeight="1" x14ac:dyDescent="0.3">
      <c r="A40" s="34"/>
      <c r="B40" s="110" t="s">
        <v>182</v>
      </c>
      <c r="C40" s="30" t="s">
        <v>62</v>
      </c>
      <c r="D40" s="36">
        <f t="shared" si="3"/>
        <v>3000</v>
      </c>
      <c r="E40" s="36">
        <f>3000</f>
        <v>3000</v>
      </c>
      <c r="F40" s="36"/>
      <c r="G40" s="36"/>
      <c r="H40" s="36"/>
      <c r="I40" s="36"/>
      <c r="J40" s="36"/>
      <c r="K40" s="36"/>
    </row>
    <row r="41" spans="1:11" s="20" customFormat="1" x14ac:dyDescent="0.3">
      <c r="A41" s="34"/>
      <c r="B41" s="118"/>
      <c r="C41" s="30" t="s">
        <v>115</v>
      </c>
      <c r="D41" s="36">
        <f t="shared" si="3"/>
        <v>-99804</v>
      </c>
      <c r="E41" s="36">
        <f>-99804</f>
        <v>-99804</v>
      </c>
      <c r="F41" s="36"/>
      <c r="G41" s="36"/>
      <c r="H41" s="36"/>
      <c r="I41" s="36"/>
      <c r="J41" s="36"/>
      <c r="K41" s="36"/>
    </row>
    <row r="42" spans="1:11" s="59" customFormat="1" ht="16.2" x14ac:dyDescent="0.3">
      <c r="A42" s="57"/>
      <c r="B42" s="118"/>
      <c r="C42" s="30" t="s">
        <v>117</v>
      </c>
      <c r="D42" s="36">
        <f t="shared" si="3"/>
        <v>-2225.12</v>
      </c>
      <c r="E42" s="38">
        <f>-2225.12</f>
        <v>-2225.12</v>
      </c>
      <c r="F42" s="36"/>
      <c r="G42" s="58"/>
      <c r="H42" s="58"/>
      <c r="I42" s="58"/>
      <c r="J42" s="58"/>
      <c r="K42" s="58"/>
    </row>
    <row r="43" spans="1:11" s="59" customFormat="1" ht="16.2" x14ac:dyDescent="0.3">
      <c r="A43" s="57"/>
      <c r="B43" s="118"/>
      <c r="C43" s="30" t="s">
        <v>113</v>
      </c>
      <c r="D43" s="36">
        <f t="shared" si="3"/>
        <v>-10000</v>
      </c>
      <c r="E43" s="38">
        <f>-10000</f>
        <v>-10000</v>
      </c>
      <c r="F43" s="36"/>
      <c r="G43" s="58"/>
      <c r="H43" s="58"/>
      <c r="I43" s="58"/>
      <c r="J43" s="58"/>
      <c r="K43" s="58"/>
    </row>
    <row r="44" spans="1:11" s="59" customFormat="1" ht="16.2" x14ac:dyDescent="0.3">
      <c r="A44" s="57"/>
      <c r="B44" s="111"/>
      <c r="C44" s="30" t="s">
        <v>121</v>
      </c>
      <c r="D44" s="36">
        <f t="shared" si="3"/>
        <v>-13280</v>
      </c>
      <c r="E44" s="38">
        <f>-13280</f>
        <v>-13280</v>
      </c>
      <c r="F44" s="36"/>
      <c r="G44" s="58"/>
      <c r="H44" s="58"/>
      <c r="I44" s="58"/>
      <c r="J44" s="58"/>
      <c r="K44" s="58"/>
    </row>
    <row r="45" spans="1:11" s="8" customFormat="1" ht="17.399999999999999" customHeight="1" x14ac:dyDescent="0.3">
      <c r="A45" s="33" t="s">
        <v>28</v>
      </c>
      <c r="B45" s="40">
        <v>1010</v>
      </c>
      <c r="C45" s="28" t="s">
        <v>27</v>
      </c>
      <c r="D45" s="7">
        <f t="shared" si="3"/>
        <v>-957624</v>
      </c>
      <c r="E45" s="7">
        <f>SUM(E46:E56)</f>
        <v>-67627</v>
      </c>
      <c r="F45" s="7">
        <f>SUM(F46:F56)</f>
        <v>-889997</v>
      </c>
      <c r="G45" s="7"/>
      <c r="H45" s="7"/>
      <c r="I45" s="7"/>
      <c r="J45" s="7"/>
      <c r="K45" s="7"/>
    </row>
    <row r="46" spans="1:11" s="20" customFormat="1" ht="18" customHeight="1" x14ac:dyDescent="0.3">
      <c r="A46" s="34"/>
      <c r="B46" s="110" t="s">
        <v>182</v>
      </c>
      <c r="C46" s="30" t="s">
        <v>62</v>
      </c>
      <c r="D46" s="36">
        <f t="shared" si="3"/>
        <v>430000</v>
      </c>
      <c r="E46" s="36">
        <f>265000+165000</f>
        <v>430000</v>
      </c>
      <c r="F46" s="36"/>
      <c r="G46" s="36"/>
      <c r="H46" s="36"/>
      <c r="I46" s="36"/>
      <c r="J46" s="36"/>
      <c r="K46" s="36"/>
    </row>
    <row r="47" spans="1:11" s="8" customFormat="1" x14ac:dyDescent="0.3">
      <c r="A47" s="33"/>
      <c r="B47" s="118"/>
      <c r="C47" s="30" t="s">
        <v>115</v>
      </c>
      <c r="D47" s="36">
        <f t="shared" si="3"/>
        <v>-137056</v>
      </c>
      <c r="E47" s="38">
        <f>-137056</f>
        <v>-137056</v>
      </c>
      <c r="F47" s="7"/>
      <c r="G47" s="7"/>
      <c r="H47" s="7"/>
      <c r="I47" s="7"/>
      <c r="J47" s="7"/>
      <c r="K47" s="7"/>
    </row>
    <row r="48" spans="1:11" s="8" customFormat="1" x14ac:dyDescent="0.3">
      <c r="A48" s="33"/>
      <c r="B48" s="118"/>
      <c r="C48" s="30" t="s">
        <v>117</v>
      </c>
      <c r="D48" s="36">
        <f t="shared" si="3"/>
        <v>-40000</v>
      </c>
      <c r="E48" s="38">
        <f>-40000</f>
        <v>-40000</v>
      </c>
      <c r="F48" s="7"/>
      <c r="G48" s="7"/>
      <c r="H48" s="7"/>
      <c r="I48" s="7"/>
      <c r="J48" s="7"/>
      <c r="K48" s="7"/>
    </row>
    <row r="49" spans="1:11" s="8" customFormat="1" x14ac:dyDescent="0.3">
      <c r="A49" s="33"/>
      <c r="B49" s="118"/>
      <c r="C49" s="30" t="s">
        <v>118</v>
      </c>
      <c r="D49" s="36">
        <f t="shared" si="3"/>
        <v>-38971</v>
      </c>
      <c r="E49" s="38">
        <f>-38971</f>
        <v>-38971</v>
      </c>
      <c r="F49" s="7"/>
      <c r="G49" s="7"/>
      <c r="H49" s="7"/>
      <c r="I49" s="7"/>
      <c r="J49" s="7"/>
      <c r="K49" s="7"/>
    </row>
    <row r="50" spans="1:11" s="8" customFormat="1" x14ac:dyDescent="0.3">
      <c r="A50" s="33"/>
      <c r="B50" s="118"/>
      <c r="C50" s="30" t="s">
        <v>113</v>
      </c>
      <c r="D50" s="36">
        <f t="shared" si="3"/>
        <v>-170000</v>
      </c>
      <c r="E50" s="38">
        <f>-170000</f>
        <v>-170000</v>
      </c>
      <c r="F50" s="7"/>
      <c r="G50" s="7"/>
      <c r="H50" s="7"/>
      <c r="I50" s="7"/>
      <c r="J50" s="7"/>
      <c r="K50" s="7"/>
    </row>
    <row r="51" spans="1:11" s="8" customFormat="1" ht="31.2" x14ac:dyDescent="0.3">
      <c r="A51" s="33"/>
      <c r="B51" s="118"/>
      <c r="C51" s="30" t="s">
        <v>122</v>
      </c>
      <c r="D51" s="36">
        <f t="shared" si="3"/>
        <v>-61600</v>
      </c>
      <c r="E51" s="38">
        <f>-61600</f>
        <v>-61600</v>
      </c>
      <c r="F51" s="7"/>
      <c r="G51" s="7"/>
      <c r="H51" s="7"/>
      <c r="I51" s="7"/>
      <c r="J51" s="7"/>
      <c r="K51" s="7"/>
    </row>
    <row r="52" spans="1:11" s="8" customFormat="1" ht="46.8" x14ac:dyDescent="0.3">
      <c r="A52" s="33"/>
      <c r="B52" s="118"/>
      <c r="C52" s="30" t="s">
        <v>125</v>
      </c>
      <c r="D52" s="36">
        <f t="shared" si="3"/>
        <v>-50000</v>
      </c>
      <c r="E52" s="38">
        <f>-50000</f>
        <v>-50000</v>
      </c>
      <c r="F52" s="7"/>
      <c r="G52" s="7"/>
      <c r="H52" s="7"/>
      <c r="I52" s="7"/>
      <c r="J52" s="7"/>
      <c r="K52" s="7"/>
    </row>
    <row r="53" spans="1:11" s="20" customFormat="1" ht="31.2" x14ac:dyDescent="0.3">
      <c r="A53" s="34"/>
      <c r="B53" s="118"/>
      <c r="C53" s="30" t="s">
        <v>126</v>
      </c>
      <c r="D53" s="36">
        <f t="shared" si="3"/>
        <v>-6560</v>
      </c>
      <c r="E53" s="38"/>
      <c r="F53" s="36">
        <f>-6560</f>
        <v>-6560</v>
      </c>
      <c r="G53" s="36"/>
      <c r="H53" s="36"/>
      <c r="I53" s="36"/>
      <c r="J53" s="36"/>
      <c r="K53" s="36"/>
    </row>
    <row r="54" spans="1:11" s="20" customFormat="1" ht="31.2" x14ac:dyDescent="0.3">
      <c r="A54" s="34"/>
      <c r="B54" s="118"/>
      <c r="C54" s="30" t="s">
        <v>127</v>
      </c>
      <c r="D54" s="36">
        <f t="shared" si="3"/>
        <v>-10400</v>
      </c>
      <c r="E54" s="38"/>
      <c r="F54" s="36">
        <f>-10400</f>
        <v>-10400</v>
      </c>
      <c r="G54" s="36"/>
      <c r="H54" s="36"/>
      <c r="I54" s="36"/>
      <c r="J54" s="36"/>
      <c r="K54" s="36"/>
    </row>
    <row r="55" spans="1:11" s="8" customFormat="1" ht="62.4" x14ac:dyDescent="0.3">
      <c r="A55" s="33"/>
      <c r="B55" s="118"/>
      <c r="C55" s="64" t="s">
        <v>138</v>
      </c>
      <c r="D55" s="36">
        <f t="shared" si="3"/>
        <v>-1073037</v>
      </c>
      <c r="E55" s="38"/>
      <c r="F55" s="38">
        <f>-1073037</f>
        <v>-1073037</v>
      </c>
      <c r="G55" s="36"/>
      <c r="H55" s="36"/>
      <c r="I55" s="36"/>
      <c r="J55" s="36"/>
      <c r="K55" s="36"/>
    </row>
    <row r="56" spans="1:11" s="8" customFormat="1" ht="46.8" x14ac:dyDescent="0.3">
      <c r="A56" s="33"/>
      <c r="B56" s="111"/>
      <c r="C56" s="30" t="s">
        <v>140</v>
      </c>
      <c r="D56" s="36">
        <f t="shared" si="3"/>
        <v>200000</v>
      </c>
      <c r="E56" s="38"/>
      <c r="F56" s="36">
        <v>200000</v>
      </c>
      <c r="G56" s="7"/>
      <c r="H56" s="7"/>
      <c r="I56" s="7"/>
      <c r="J56" s="7"/>
      <c r="K56" s="7"/>
    </row>
    <row r="57" spans="1:11" s="8" customFormat="1" ht="31.2" x14ac:dyDescent="0.3">
      <c r="A57" s="33" t="s">
        <v>29</v>
      </c>
      <c r="B57" s="40">
        <v>1021</v>
      </c>
      <c r="C57" s="28" t="s">
        <v>43</v>
      </c>
      <c r="D57" s="7">
        <f t="shared" si="3"/>
        <v>4703849.6100000003</v>
      </c>
      <c r="E57" s="42">
        <f>SUM(E58:E69)</f>
        <v>4399437</v>
      </c>
      <c r="F57" s="42">
        <f>SUM(F58:F69)</f>
        <v>304412.61</v>
      </c>
      <c r="G57" s="7"/>
      <c r="H57" s="7"/>
      <c r="I57" s="7"/>
      <c r="J57" s="7"/>
      <c r="K57" s="7"/>
    </row>
    <row r="58" spans="1:11" s="20" customFormat="1" ht="18" customHeight="1" x14ac:dyDescent="0.3">
      <c r="A58" s="34"/>
      <c r="B58" s="110" t="s">
        <v>182</v>
      </c>
      <c r="C58" s="30" t="s">
        <v>62</v>
      </c>
      <c r="D58" s="36">
        <f t="shared" si="3"/>
        <v>6032000</v>
      </c>
      <c r="E58" s="36">
        <f>5100000+900000+27000+5000</f>
        <v>6032000</v>
      </c>
      <c r="F58" s="36"/>
      <c r="G58" s="36"/>
      <c r="H58" s="36"/>
      <c r="I58" s="36"/>
      <c r="J58" s="36"/>
      <c r="K58" s="36"/>
    </row>
    <row r="59" spans="1:11" s="8" customFormat="1" x14ac:dyDescent="0.3">
      <c r="A59" s="33"/>
      <c r="B59" s="118"/>
      <c r="C59" s="30" t="s">
        <v>115</v>
      </c>
      <c r="D59" s="36">
        <f t="shared" si="3"/>
        <v>-773208</v>
      </c>
      <c r="E59" s="38">
        <f>-26050-113876-579300-45805-8177</f>
        <v>-773208</v>
      </c>
      <c r="F59" s="38"/>
      <c r="G59" s="36"/>
      <c r="H59" s="36"/>
      <c r="I59" s="36"/>
      <c r="J59" s="36"/>
      <c r="K59" s="36"/>
    </row>
    <row r="60" spans="1:11" s="8" customFormat="1" x14ac:dyDescent="0.3">
      <c r="A60" s="33"/>
      <c r="B60" s="118"/>
      <c r="C60" s="30" t="s">
        <v>113</v>
      </c>
      <c r="D60" s="36">
        <f t="shared" si="3"/>
        <v>-670000</v>
      </c>
      <c r="E60" s="38">
        <f>-670000</f>
        <v>-670000</v>
      </c>
      <c r="F60" s="38"/>
      <c r="G60" s="36"/>
      <c r="H60" s="36"/>
      <c r="I60" s="36"/>
      <c r="J60" s="36"/>
      <c r="K60" s="36"/>
    </row>
    <row r="61" spans="1:11" s="8" customFormat="1" ht="31.2" x14ac:dyDescent="0.3">
      <c r="A61" s="33"/>
      <c r="B61" s="118"/>
      <c r="C61" s="30" t="s">
        <v>122</v>
      </c>
      <c r="D61" s="36">
        <f t="shared" si="3"/>
        <v>-5155</v>
      </c>
      <c r="E61" s="38">
        <f>-5155</f>
        <v>-5155</v>
      </c>
      <c r="F61" s="38"/>
      <c r="G61" s="36"/>
      <c r="H61" s="36"/>
      <c r="I61" s="36"/>
      <c r="J61" s="36"/>
      <c r="K61" s="36"/>
    </row>
    <row r="62" spans="1:11" s="8" customFormat="1" ht="31.2" x14ac:dyDescent="0.3">
      <c r="A62" s="33"/>
      <c r="B62" s="118"/>
      <c r="C62" s="30" t="s">
        <v>123</v>
      </c>
      <c r="D62" s="36">
        <f t="shared" si="3"/>
        <v>-84200</v>
      </c>
      <c r="E62" s="38">
        <f>-84200</f>
        <v>-84200</v>
      </c>
      <c r="F62" s="38"/>
      <c r="G62" s="36"/>
      <c r="H62" s="36"/>
      <c r="I62" s="36"/>
      <c r="J62" s="36"/>
      <c r="K62" s="36"/>
    </row>
    <row r="63" spans="1:11" s="8" customFormat="1" ht="46.8" x14ac:dyDescent="0.3">
      <c r="A63" s="33"/>
      <c r="B63" s="118"/>
      <c r="C63" s="30" t="s">
        <v>125</v>
      </c>
      <c r="D63" s="36">
        <f t="shared" si="3"/>
        <v>-100000</v>
      </c>
      <c r="E63" s="38">
        <f>-100000</f>
        <v>-100000</v>
      </c>
      <c r="F63" s="38"/>
      <c r="G63" s="36"/>
      <c r="H63" s="36"/>
      <c r="I63" s="36"/>
      <c r="J63" s="36"/>
      <c r="K63" s="36"/>
    </row>
    <row r="64" spans="1:11" s="8" customFormat="1" ht="78" x14ac:dyDescent="0.3">
      <c r="A64" s="33"/>
      <c r="B64" s="118"/>
      <c r="C64" s="30" t="s">
        <v>128</v>
      </c>
      <c r="D64" s="36">
        <f t="shared" si="3"/>
        <v>-7140</v>
      </c>
      <c r="E64" s="38"/>
      <c r="F64" s="38">
        <f>-7140</f>
        <v>-7140</v>
      </c>
      <c r="G64" s="36"/>
      <c r="H64" s="36"/>
      <c r="I64" s="36"/>
      <c r="J64" s="36"/>
      <c r="K64" s="36"/>
    </row>
    <row r="65" spans="1:11" s="8" customFormat="1" ht="46.8" x14ac:dyDescent="0.3">
      <c r="A65" s="33"/>
      <c r="B65" s="118"/>
      <c r="C65" s="30" t="s">
        <v>129</v>
      </c>
      <c r="D65" s="36">
        <f t="shared" si="3"/>
        <v>-62911.39</v>
      </c>
      <c r="E65" s="38"/>
      <c r="F65" s="38">
        <f>-62911.39</f>
        <v>-62911.39</v>
      </c>
      <c r="G65" s="36"/>
      <c r="H65" s="36"/>
      <c r="I65" s="36"/>
      <c r="J65" s="36"/>
      <c r="K65" s="36"/>
    </row>
    <row r="66" spans="1:11" s="8" customFormat="1" ht="78" x14ac:dyDescent="0.3">
      <c r="A66" s="33"/>
      <c r="B66" s="118"/>
      <c r="C66" s="64" t="s">
        <v>130</v>
      </c>
      <c r="D66" s="36">
        <f t="shared" si="3"/>
        <v>-536</v>
      </c>
      <c r="E66" s="38"/>
      <c r="F66" s="38">
        <f>-536</f>
        <v>-536</v>
      </c>
      <c r="G66" s="36"/>
      <c r="H66" s="36"/>
      <c r="I66" s="36"/>
      <c r="J66" s="36"/>
      <c r="K66" s="36"/>
    </row>
    <row r="67" spans="1:11" s="8" customFormat="1" ht="78" x14ac:dyDescent="0.3">
      <c r="A67" s="33"/>
      <c r="B67" s="118"/>
      <c r="C67" s="64" t="s">
        <v>131</v>
      </c>
      <c r="D67" s="36">
        <f t="shared" si="3"/>
        <v>-475000</v>
      </c>
      <c r="E67" s="38"/>
      <c r="F67" s="38">
        <f>-475000</f>
        <v>-475000</v>
      </c>
      <c r="G67" s="36"/>
      <c r="H67" s="36"/>
      <c r="I67" s="36"/>
      <c r="J67" s="36"/>
      <c r="K67" s="36"/>
    </row>
    <row r="68" spans="1:11" s="8" customFormat="1" ht="46.8" x14ac:dyDescent="0.3">
      <c r="A68" s="33"/>
      <c r="B68" s="118"/>
      <c r="C68" s="64" t="s">
        <v>139</v>
      </c>
      <c r="D68" s="36">
        <f t="shared" si="3"/>
        <v>400000</v>
      </c>
      <c r="E68" s="38"/>
      <c r="F68" s="38">
        <v>400000</v>
      </c>
      <c r="G68" s="36"/>
      <c r="H68" s="36"/>
      <c r="I68" s="36"/>
      <c r="J68" s="36"/>
      <c r="K68" s="36"/>
    </row>
    <row r="69" spans="1:11" s="8" customFormat="1" ht="31.2" x14ac:dyDescent="0.3">
      <c r="A69" s="33"/>
      <c r="B69" s="111"/>
      <c r="C69" s="64" t="s">
        <v>141</v>
      </c>
      <c r="D69" s="36">
        <f t="shared" si="3"/>
        <v>450000</v>
      </c>
      <c r="E69" s="38"/>
      <c r="F69" s="38">
        <v>450000</v>
      </c>
      <c r="G69" s="36"/>
      <c r="H69" s="36"/>
      <c r="I69" s="36"/>
      <c r="J69" s="36"/>
      <c r="K69" s="36"/>
    </row>
    <row r="70" spans="1:11" s="8" customFormat="1" ht="62.4" x14ac:dyDescent="0.3">
      <c r="A70" s="33" t="s">
        <v>30</v>
      </c>
      <c r="B70" s="86">
        <v>1022</v>
      </c>
      <c r="C70" s="83" t="s">
        <v>61</v>
      </c>
      <c r="D70" s="7">
        <f t="shared" si="3"/>
        <v>988694</v>
      </c>
      <c r="E70" s="85">
        <f>SUM(E71:E81)</f>
        <v>313694</v>
      </c>
      <c r="F70" s="85">
        <f>SUM(F71:F81)</f>
        <v>675000</v>
      </c>
      <c r="G70" s="36"/>
      <c r="H70" s="36"/>
      <c r="I70" s="36"/>
      <c r="J70" s="36"/>
      <c r="K70" s="36"/>
    </row>
    <row r="71" spans="1:11" s="20" customFormat="1" ht="18" customHeight="1" x14ac:dyDescent="0.3">
      <c r="A71" s="34"/>
      <c r="B71" s="110" t="s">
        <v>182</v>
      </c>
      <c r="C71" s="30" t="s">
        <v>62</v>
      </c>
      <c r="D71" s="36">
        <f t="shared" si="3"/>
        <v>825000</v>
      </c>
      <c r="E71" s="36">
        <f>650000+175000</f>
        <v>825000</v>
      </c>
      <c r="F71" s="36"/>
      <c r="G71" s="36"/>
      <c r="H71" s="36"/>
      <c r="I71" s="36"/>
      <c r="J71" s="36"/>
      <c r="K71" s="36"/>
    </row>
    <row r="72" spans="1:11" s="8" customFormat="1" x14ac:dyDescent="0.3">
      <c r="A72" s="33"/>
      <c r="B72" s="118"/>
      <c r="C72" s="30" t="s">
        <v>115</v>
      </c>
      <c r="D72" s="36">
        <f t="shared" si="3"/>
        <v>-29744</v>
      </c>
      <c r="E72" s="38">
        <f>-29744</f>
        <v>-29744</v>
      </c>
      <c r="F72" s="38"/>
      <c r="G72" s="36"/>
      <c r="H72" s="36"/>
      <c r="I72" s="36"/>
      <c r="J72" s="36"/>
      <c r="K72" s="36"/>
    </row>
    <row r="73" spans="1:11" s="8" customFormat="1" x14ac:dyDescent="0.3">
      <c r="A73" s="33"/>
      <c r="B73" s="118"/>
      <c r="C73" s="30" t="s">
        <v>117</v>
      </c>
      <c r="D73" s="36">
        <f t="shared" si="3"/>
        <v>-270000</v>
      </c>
      <c r="E73" s="38">
        <f>-270000</f>
        <v>-270000</v>
      </c>
      <c r="F73" s="38"/>
      <c r="G73" s="36"/>
      <c r="H73" s="36"/>
      <c r="I73" s="36"/>
      <c r="J73" s="36"/>
      <c r="K73" s="36"/>
    </row>
    <row r="74" spans="1:11" s="8" customFormat="1" x14ac:dyDescent="0.3">
      <c r="A74" s="33"/>
      <c r="B74" s="118"/>
      <c r="C74" s="30" t="s">
        <v>118</v>
      </c>
      <c r="D74" s="36">
        <f t="shared" si="3"/>
        <v>-50000</v>
      </c>
      <c r="E74" s="38">
        <f>-50000</f>
        <v>-50000</v>
      </c>
      <c r="F74" s="38"/>
      <c r="G74" s="36"/>
      <c r="H74" s="36"/>
      <c r="I74" s="36"/>
      <c r="J74" s="36"/>
      <c r="K74" s="36"/>
    </row>
    <row r="75" spans="1:11" s="8" customFormat="1" x14ac:dyDescent="0.3">
      <c r="A75" s="33"/>
      <c r="B75" s="118"/>
      <c r="C75" s="30" t="s">
        <v>113</v>
      </c>
      <c r="D75" s="36">
        <f t="shared" si="3"/>
        <v>-150000</v>
      </c>
      <c r="E75" s="38">
        <f>-150000</f>
        <v>-150000</v>
      </c>
      <c r="F75" s="38"/>
      <c r="G75" s="36"/>
      <c r="H75" s="36"/>
      <c r="I75" s="36"/>
      <c r="J75" s="36"/>
      <c r="K75" s="36"/>
    </row>
    <row r="76" spans="1:11" s="8" customFormat="1" x14ac:dyDescent="0.3">
      <c r="A76" s="33"/>
      <c r="B76" s="118"/>
      <c r="C76" s="64" t="s">
        <v>120</v>
      </c>
      <c r="D76" s="36">
        <f t="shared" si="3"/>
        <v>-2000</v>
      </c>
      <c r="E76" s="38">
        <f>-2000</f>
        <v>-2000</v>
      </c>
      <c r="F76" s="38"/>
      <c r="G76" s="36"/>
      <c r="H76" s="36"/>
      <c r="I76" s="36"/>
      <c r="J76" s="36"/>
      <c r="K76" s="36"/>
    </row>
    <row r="77" spans="1:11" s="8" customFormat="1" ht="31.2" x14ac:dyDescent="0.3">
      <c r="A77" s="33"/>
      <c r="B77" s="118"/>
      <c r="C77" s="30" t="s">
        <v>122</v>
      </c>
      <c r="D77" s="36">
        <f t="shared" si="3"/>
        <v>-3962</v>
      </c>
      <c r="E77" s="38">
        <f>-3962</f>
        <v>-3962</v>
      </c>
      <c r="F77" s="38"/>
      <c r="G77" s="36"/>
      <c r="H77" s="36"/>
      <c r="I77" s="36"/>
      <c r="J77" s="36"/>
      <c r="K77" s="36"/>
    </row>
    <row r="78" spans="1:11" s="8" customFormat="1" ht="31.2" x14ac:dyDescent="0.3">
      <c r="A78" s="33"/>
      <c r="B78" s="118"/>
      <c r="C78" s="30" t="s">
        <v>123</v>
      </c>
      <c r="D78" s="36">
        <f t="shared" si="3"/>
        <v>-15600</v>
      </c>
      <c r="E78" s="38">
        <f>-15600</f>
        <v>-15600</v>
      </c>
      <c r="F78" s="38"/>
      <c r="G78" s="36"/>
      <c r="H78" s="36"/>
      <c r="I78" s="36"/>
      <c r="J78" s="36"/>
      <c r="K78" s="36"/>
    </row>
    <row r="79" spans="1:11" s="8" customFormat="1" x14ac:dyDescent="0.3">
      <c r="A79" s="33"/>
      <c r="B79" s="118"/>
      <c r="C79" s="64" t="s">
        <v>142</v>
      </c>
      <c r="D79" s="36">
        <f t="shared" si="3"/>
        <v>45000</v>
      </c>
      <c r="E79" s="38"/>
      <c r="F79" s="38">
        <v>45000</v>
      </c>
      <c r="G79" s="36"/>
      <c r="H79" s="36"/>
      <c r="I79" s="36"/>
      <c r="J79" s="36"/>
      <c r="K79" s="36"/>
    </row>
    <row r="80" spans="1:11" s="8" customFormat="1" ht="50.4" customHeight="1" x14ac:dyDescent="0.3">
      <c r="A80" s="33"/>
      <c r="B80" s="111"/>
      <c r="C80" s="30" t="s">
        <v>125</v>
      </c>
      <c r="D80" s="36">
        <f t="shared" si="3"/>
        <v>10000</v>
      </c>
      <c r="E80" s="38">
        <v>10000</v>
      </c>
      <c r="F80" s="38"/>
      <c r="G80" s="36"/>
      <c r="H80" s="36"/>
      <c r="I80" s="36"/>
      <c r="J80" s="36"/>
      <c r="K80" s="36"/>
    </row>
    <row r="81" spans="1:11" s="8" customFormat="1" ht="46.8" x14ac:dyDescent="0.3">
      <c r="A81" s="33"/>
      <c r="B81" s="106" t="s">
        <v>250</v>
      </c>
      <c r="C81" s="64" t="s">
        <v>260</v>
      </c>
      <c r="D81" s="36">
        <f t="shared" si="3"/>
        <v>630000</v>
      </c>
      <c r="E81" s="38"/>
      <c r="F81" s="38">
        <v>630000</v>
      </c>
      <c r="G81" s="36"/>
      <c r="H81" s="36"/>
      <c r="I81" s="36"/>
      <c r="J81" s="36"/>
      <c r="K81" s="36"/>
    </row>
    <row r="82" spans="1:11" s="8" customFormat="1" ht="31.2" x14ac:dyDescent="0.3">
      <c r="A82" s="33" t="s">
        <v>37</v>
      </c>
      <c r="B82" s="96">
        <v>1031</v>
      </c>
      <c r="C82" s="81" t="s">
        <v>147</v>
      </c>
      <c r="D82" s="7">
        <f t="shared" si="3"/>
        <v>280000</v>
      </c>
      <c r="E82" s="42">
        <f>E83</f>
        <v>280000</v>
      </c>
      <c r="F82" s="42"/>
      <c r="G82" s="7"/>
      <c r="H82" s="7"/>
      <c r="I82" s="7"/>
      <c r="J82" s="7"/>
      <c r="K82" s="7"/>
    </row>
    <row r="83" spans="1:11" s="8" customFormat="1" ht="31.2" x14ac:dyDescent="0.3">
      <c r="A83" s="33"/>
      <c r="B83" s="79" t="s">
        <v>182</v>
      </c>
      <c r="C83" s="64" t="s">
        <v>62</v>
      </c>
      <c r="D83" s="36">
        <f t="shared" si="3"/>
        <v>280000</v>
      </c>
      <c r="E83" s="38">
        <f>85000+195000</f>
        <v>280000</v>
      </c>
      <c r="F83" s="38"/>
      <c r="G83" s="36"/>
      <c r="H83" s="36"/>
      <c r="I83" s="36"/>
      <c r="J83" s="36"/>
      <c r="K83" s="36"/>
    </row>
    <row r="84" spans="1:11" s="8" customFormat="1" ht="62.4" x14ac:dyDescent="0.3">
      <c r="A84" s="33" t="s">
        <v>38</v>
      </c>
      <c r="B84" s="86">
        <v>1032</v>
      </c>
      <c r="C84" s="83" t="s">
        <v>124</v>
      </c>
      <c r="D84" s="7">
        <f t="shared" si="3"/>
        <v>-280000</v>
      </c>
      <c r="E84" s="85">
        <f>SUM(E85:E85)</f>
        <v>-280000</v>
      </c>
      <c r="F84" s="38"/>
      <c r="G84" s="36"/>
      <c r="H84" s="36"/>
      <c r="I84" s="36"/>
      <c r="J84" s="36"/>
      <c r="K84" s="36"/>
    </row>
    <row r="85" spans="1:11" s="8" customFormat="1" ht="31.2" x14ac:dyDescent="0.3">
      <c r="A85" s="33"/>
      <c r="B85" s="79" t="s">
        <v>182</v>
      </c>
      <c r="C85" s="64" t="s">
        <v>62</v>
      </c>
      <c r="D85" s="36">
        <f t="shared" si="3"/>
        <v>-280000</v>
      </c>
      <c r="E85" s="38">
        <f>-175000-105000</f>
        <v>-280000</v>
      </c>
      <c r="F85" s="38"/>
      <c r="G85" s="36"/>
      <c r="H85" s="36"/>
      <c r="I85" s="36"/>
      <c r="J85" s="36"/>
      <c r="K85" s="36"/>
    </row>
    <row r="86" spans="1:11" s="8" customFormat="1" ht="31.2" x14ac:dyDescent="0.3">
      <c r="A86" s="33" t="s">
        <v>46</v>
      </c>
      <c r="B86" s="86">
        <v>1070</v>
      </c>
      <c r="C86" s="83" t="s">
        <v>59</v>
      </c>
      <c r="D86" s="7">
        <f t="shared" si="3"/>
        <v>181</v>
      </c>
      <c r="E86" s="85">
        <f>SUM(E87:E93)</f>
        <v>181</v>
      </c>
      <c r="F86" s="38"/>
      <c r="G86" s="36"/>
      <c r="H86" s="36"/>
      <c r="I86" s="36"/>
      <c r="J86" s="36"/>
      <c r="K86" s="36"/>
    </row>
    <row r="87" spans="1:11" s="8" customFormat="1" x14ac:dyDescent="0.3">
      <c r="A87" s="33"/>
      <c r="B87" s="115" t="s">
        <v>182</v>
      </c>
      <c r="C87" s="64" t="s">
        <v>62</v>
      </c>
      <c r="D87" s="36">
        <f t="shared" ref="D87:D150" si="5">SUM(E87:K87)</f>
        <v>590000</v>
      </c>
      <c r="E87" s="38">
        <f>480000+110000</f>
        <v>590000</v>
      </c>
      <c r="F87" s="38"/>
      <c r="G87" s="36"/>
      <c r="H87" s="36"/>
      <c r="I87" s="36"/>
      <c r="J87" s="36"/>
      <c r="K87" s="36"/>
    </row>
    <row r="88" spans="1:11" s="8" customFormat="1" x14ac:dyDescent="0.3">
      <c r="A88" s="33"/>
      <c r="B88" s="116"/>
      <c r="C88" s="30" t="s">
        <v>115</v>
      </c>
      <c r="D88" s="36">
        <f t="shared" si="5"/>
        <v>-71220</v>
      </c>
      <c r="E88" s="38">
        <f>-71220</f>
        <v>-71220</v>
      </c>
      <c r="F88" s="38"/>
      <c r="G88" s="36"/>
      <c r="H88" s="36"/>
      <c r="I88" s="36"/>
      <c r="J88" s="36"/>
      <c r="K88" s="36"/>
    </row>
    <row r="89" spans="1:11" s="8" customFormat="1" x14ac:dyDescent="0.3">
      <c r="A89" s="33"/>
      <c r="B89" s="116"/>
      <c r="C89" s="30" t="s">
        <v>117</v>
      </c>
      <c r="D89" s="36">
        <f t="shared" si="5"/>
        <v>-180000</v>
      </c>
      <c r="E89" s="38">
        <f>-180000</f>
        <v>-180000</v>
      </c>
      <c r="F89" s="38"/>
      <c r="G89" s="36"/>
      <c r="H89" s="36"/>
      <c r="I89" s="36"/>
      <c r="J89" s="36"/>
      <c r="K89" s="36"/>
    </row>
    <row r="90" spans="1:11" s="8" customFormat="1" x14ac:dyDescent="0.3">
      <c r="A90" s="33"/>
      <c r="B90" s="116"/>
      <c r="C90" s="30" t="s">
        <v>118</v>
      </c>
      <c r="D90" s="36">
        <f t="shared" si="5"/>
        <v>-28199</v>
      </c>
      <c r="E90" s="38">
        <f>-28199</f>
        <v>-28199</v>
      </c>
      <c r="F90" s="38"/>
      <c r="G90" s="36"/>
      <c r="H90" s="36"/>
      <c r="I90" s="36"/>
      <c r="J90" s="36"/>
      <c r="K90" s="36"/>
    </row>
    <row r="91" spans="1:11" s="8" customFormat="1" x14ac:dyDescent="0.3">
      <c r="A91" s="33"/>
      <c r="B91" s="116"/>
      <c r="C91" s="30" t="s">
        <v>113</v>
      </c>
      <c r="D91" s="36">
        <f t="shared" si="5"/>
        <v>-180000</v>
      </c>
      <c r="E91" s="38">
        <f>-180000</f>
        <v>-180000</v>
      </c>
      <c r="F91" s="38"/>
      <c r="G91" s="36"/>
      <c r="H91" s="36"/>
      <c r="I91" s="36"/>
      <c r="J91" s="36"/>
      <c r="K91" s="36"/>
    </row>
    <row r="92" spans="1:11" s="8" customFormat="1" ht="31.2" x14ac:dyDescent="0.3">
      <c r="A92" s="33"/>
      <c r="B92" s="116"/>
      <c r="C92" s="30" t="s">
        <v>122</v>
      </c>
      <c r="D92" s="36">
        <f t="shared" si="5"/>
        <v>-400</v>
      </c>
      <c r="E92" s="38">
        <f>-400</f>
        <v>-400</v>
      </c>
      <c r="F92" s="38"/>
      <c r="G92" s="36"/>
      <c r="H92" s="36"/>
      <c r="I92" s="36"/>
      <c r="J92" s="36"/>
      <c r="K92" s="36"/>
    </row>
    <row r="93" spans="1:11" s="8" customFormat="1" ht="46.8" x14ac:dyDescent="0.3">
      <c r="A93" s="33"/>
      <c r="B93" s="117"/>
      <c r="C93" s="30" t="s">
        <v>125</v>
      </c>
      <c r="D93" s="36">
        <f t="shared" si="5"/>
        <v>-130000</v>
      </c>
      <c r="E93" s="38">
        <f>-130000</f>
        <v>-130000</v>
      </c>
      <c r="F93" s="38"/>
      <c r="G93" s="36"/>
      <c r="H93" s="36"/>
      <c r="I93" s="36"/>
      <c r="J93" s="36"/>
      <c r="K93" s="36"/>
    </row>
    <row r="94" spans="1:11" s="8" customFormat="1" ht="31.2" x14ac:dyDescent="0.3">
      <c r="A94" s="33" t="s">
        <v>47</v>
      </c>
      <c r="B94" s="96">
        <v>1120</v>
      </c>
      <c r="C94" s="81" t="s">
        <v>157</v>
      </c>
      <c r="D94" s="7">
        <f t="shared" si="5"/>
        <v>-27000</v>
      </c>
      <c r="E94" s="42">
        <f>E95</f>
        <v>-27000</v>
      </c>
      <c r="F94" s="42"/>
      <c r="G94" s="7"/>
      <c r="H94" s="7"/>
      <c r="I94" s="7"/>
      <c r="J94" s="7"/>
      <c r="K94" s="7"/>
    </row>
    <row r="95" spans="1:11" s="8" customFormat="1" ht="31.2" x14ac:dyDescent="0.3">
      <c r="A95" s="33"/>
      <c r="B95" s="79" t="s">
        <v>182</v>
      </c>
      <c r="C95" s="64" t="s">
        <v>120</v>
      </c>
      <c r="D95" s="36">
        <f t="shared" si="5"/>
        <v>-27000</v>
      </c>
      <c r="E95" s="38">
        <v>-27000</v>
      </c>
      <c r="F95" s="38"/>
      <c r="G95" s="36"/>
      <c r="H95" s="36"/>
      <c r="I95" s="36"/>
      <c r="J95" s="36"/>
      <c r="K95" s="36"/>
    </row>
    <row r="96" spans="1:11" s="8" customFormat="1" x14ac:dyDescent="0.3">
      <c r="A96" s="33" t="s">
        <v>48</v>
      </c>
      <c r="B96" s="86">
        <v>1141</v>
      </c>
      <c r="C96" s="83" t="s">
        <v>36</v>
      </c>
      <c r="D96" s="7">
        <f t="shared" si="5"/>
        <v>2058777</v>
      </c>
      <c r="E96" s="85">
        <f>SUM(E97:E104)</f>
        <v>2075777</v>
      </c>
      <c r="F96" s="85">
        <f>SUM(F97:F104)</f>
        <v>-17000</v>
      </c>
      <c r="G96" s="85"/>
      <c r="H96" s="85"/>
      <c r="I96" s="85"/>
      <c r="J96" s="36"/>
      <c r="K96" s="36"/>
    </row>
    <row r="97" spans="1:11" s="20" customFormat="1" x14ac:dyDescent="0.3">
      <c r="A97" s="34"/>
      <c r="B97" s="124" t="s">
        <v>182</v>
      </c>
      <c r="C97" s="84" t="s">
        <v>62</v>
      </c>
      <c r="D97" s="36">
        <f t="shared" si="5"/>
        <v>1400000</v>
      </c>
      <c r="E97" s="97">
        <f>1200000+200000</f>
        <v>1400000</v>
      </c>
      <c r="F97" s="97"/>
      <c r="G97" s="97"/>
      <c r="H97" s="97"/>
      <c r="I97" s="97"/>
      <c r="J97" s="36"/>
      <c r="K97" s="36"/>
    </row>
    <row r="98" spans="1:11" s="8" customFormat="1" x14ac:dyDescent="0.3">
      <c r="A98" s="33"/>
      <c r="B98" s="125"/>
      <c r="C98" s="30" t="s">
        <v>115</v>
      </c>
      <c r="D98" s="36">
        <f t="shared" si="5"/>
        <v>-215323</v>
      </c>
      <c r="E98" s="38">
        <f>-1758-22558-179714-11293</f>
        <v>-215323</v>
      </c>
      <c r="F98" s="38"/>
      <c r="G98" s="36"/>
      <c r="H98" s="36"/>
      <c r="I98" s="36"/>
      <c r="J98" s="36"/>
      <c r="K98" s="36"/>
    </row>
    <row r="99" spans="1:11" s="8" customFormat="1" x14ac:dyDescent="0.3">
      <c r="A99" s="33"/>
      <c r="B99" s="125"/>
      <c r="C99" s="30" t="s">
        <v>132</v>
      </c>
      <c r="D99" s="36">
        <f t="shared" si="5"/>
        <v>-17000</v>
      </c>
      <c r="E99" s="38"/>
      <c r="F99" s="38">
        <f>-17000</f>
        <v>-17000</v>
      </c>
      <c r="G99" s="36"/>
      <c r="H99" s="36"/>
      <c r="I99" s="36"/>
      <c r="J99" s="36"/>
      <c r="K99" s="36"/>
    </row>
    <row r="100" spans="1:11" s="8" customFormat="1" ht="31.2" x14ac:dyDescent="0.3">
      <c r="A100" s="33"/>
      <c r="B100" s="125"/>
      <c r="C100" s="64" t="s">
        <v>144</v>
      </c>
      <c r="D100" s="36">
        <f t="shared" si="5"/>
        <v>42000</v>
      </c>
      <c r="E100" s="38">
        <v>42000</v>
      </c>
      <c r="F100" s="38"/>
      <c r="G100" s="36"/>
      <c r="H100" s="36"/>
      <c r="I100" s="36"/>
      <c r="J100" s="36"/>
      <c r="K100" s="36"/>
    </row>
    <row r="101" spans="1:11" s="8" customFormat="1" ht="31.2" x14ac:dyDescent="0.3">
      <c r="A101" s="33"/>
      <c r="B101" s="125"/>
      <c r="C101" s="64" t="s">
        <v>145</v>
      </c>
      <c r="D101" s="36">
        <f t="shared" si="5"/>
        <v>210000</v>
      </c>
      <c r="E101" s="38">
        <v>210000</v>
      </c>
      <c r="F101" s="38"/>
      <c r="G101" s="36"/>
      <c r="H101" s="36"/>
      <c r="I101" s="36"/>
      <c r="J101" s="36"/>
      <c r="K101" s="36"/>
    </row>
    <row r="102" spans="1:11" s="8" customFormat="1" x14ac:dyDescent="0.3">
      <c r="A102" s="33"/>
      <c r="B102" s="125"/>
      <c r="C102" s="64" t="s">
        <v>146</v>
      </c>
      <c r="D102" s="36">
        <f t="shared" si="5"/>
        <v>577000</v>
      </c>
      <c r="E102" s="38">
        <f>1207000-630000</f>
        <v>577000</v>
      </c>
      <c r="F102" s="38"/>
      <c r="G102" s="36"/>
      <c r="H102" s="36"/>
      <c r="I102" s="36"/>
      <c r="J102" s="36"/>
      <c r="K102" s="36"/>
    </row>
    <row r="103" spans="1:11" s="8" customFormat="1" x14ac:dyDescent="0.3">
      <c r="A103" s="33"/>
      <c r="B103" s="125"/>
      <c r="C103" s="64" t="s">
        <v>148</v>
      </c>
      <c r="D103" s="36">
        <f t="shared" si="5"/>
        <v>47000</v>
      </c>
      <c r="E103" s="38">
        <v>47000</v>
      </c>
      <c r="F103" s="38"/>
      <c r="G103" s="36"/>
      <c r="H103" s="36"/>
      <c r="I103" s="36"/>
      <c r="J103" s="36"/>
      <c r="K103" s="36"/>
    </row>
    <row r="104" spans="1:11" s="8" customFormat="1" ht="31.2" x14ac:dyDescent="0.3">
      <c r="A104" s="33"/>
      <c r="B104" s="126"/>
      <c r="C104" s="64" t="s">
        <v>149</v>
      </c>
      <c r="D104" s="36">
        <f t="shared" si="5"/>
        <v>15100</v>
      </c>
      <c r="E104" s="38">
        <v>15100</v>
      </c>
      <c r="F104" s="38"/>
      <c r="G104" s="36"/>
      <c r="H104" s="36"/>
      <c r="I104" s="36"/>
      <c r="J104" s="36"/>
      <c r="K104" s="36"/>
    </row>
    <row r="105" spans="1:11" s="8" customFormat="1" ht="31.2" x14ac:dyDescent="0.3">
      <c r="A105" s="33" t="s">
        <v>151</v>
      </c>
      <c r="B105" s="86">
        <v>1151</v>
      </c>
      <c r="C105" s="83" t="s">
        <v>116</v>
      </c>
      <c r="D105" s="7">
        <f t="shared" si="5"/>
        <v>-97485</v>
      </c>
      <c r="E105" s="85">
        <f>SUM(E106:E109)</f>
        <v>-97485</v>
      </c>
      <c r="F105" s="85"/>
      <c r="G105" s="85"/>
      <c r="H105" s="85"/>
      <c r="I105" s="85"/>
      <c r="J105" s="36"/>
      <c r="K105" s="36"/>
    </row>
    <row r="106" spans="1:11" s="20" customFormat="1" x14ac:dyDescent="0.3">
      <c r="A106" s="34"/>
      <c r="B106" s="124" t="s">
        <v>182</v>
      </c>
      <c r="C106" s="84" t="s">
        <v>62</v>
      </c>
      <c r="D106" s="36">
        <f t="shared" si="5"/>
        <v>-55000</v>
      </c>
      <c r="E106" s="97">
        <f>-50000-5000</f>
        <v>-55000</v>
      </c>
      <c r="F106" s="97"/>
      <c r="G106" s="97"/>
      <c r="H106" s="97"/>
      <c r="I106" s="97"/>
      <c r="J106" s="36"/>
      <c r="K106" s="36"/>
    </row>
    <row r="107" spans="1:11" s="8" customFormat="1" x14ac:dyDescent="0.3">
      <c r="A107" s="33"/>
      <c r="B107" s="125"/>
      <c r="C107" s="30" t="s">
        <v>115</v>
      </c>
      <c r="D107" s="36">
        <f t="shared" si="5"/>
        <v>-7485</v>
      </c>
      <c r="E107" s="38">
        <f>-6650-835</f>
        <v>-7485</v>
      </c>
      <c r="F107" s="38"/>
      <c r="G107" s="36"/>
      <c r="H107" s="36"/>
      <c r="I107" s="36"/>
      <c r="J107" s="36"/>
      <c r="K107" s="36"/>
    </row>
    <row r="108" spans="1:11" s="8" customFormat="1" x14ac:dyDescent="0.3">
      <c r="A108" s="33"/>
      <c r="B108" s="125"/>
      <c r="C108" s="30" t="s">
        <v>113</v>
      </c>
      <c r="D108" s="36">
        <f t="shared" si="5"/>
        <v>-15000</v>
      </c>
      <c r="E108" s="38">
        <f>-15000</f>
        <v>-15000</v>
      </c>
      <c r="F108" s="38"/>
      <c r="G108" s="36"/>
      <c r="H108" s="36"/>
      <c r="I108" s="36"/>
      <c r="J108" s="36"/>
      <c r="K108" s="36"/>
    </row>
    <row r="109" spans="1:11" s="8" customFormat="1" ht="46.8" x14ac:dyDescent="0.3">
      <c r="A109" s="33"/>
      <c r="B109" s="126"/>
      <c r="C109" s="30" t="s">
        <v>125</v>
      </c>
      <c r="D109" s="36">
        <f t="shared" si="5"/>
        <v>-20000</v>
      </c>
      <c r="E109" s="38">
        <v>-20000</v>
      </c>
      <c r="F109" s="38"/>
      <c r="G109" s="36"/>
      <c r="H109" s="36"/>
      <c r="I109" s="36"/>
      <c r="J109" s="36"/>
      <c r="K109" s="36"/>
    </row>
    <row r="110" spans="1:11" s="8" customFormat="1" ht="31.2" x14ac:dyDescent="0.3">
      <c r="A110" s="33" t="s">
        <v>152</v>
      </c>
      <c r="B110" s="86">
        <v>1160</v>
      </c>
      <c r="C110" s="83" t="s">
        <v>68</v>
      </c>
      <c r="D110" s="7">
        <f t="shared" si="5"/>
        <v>109163</v>
      </c>
      <c r="E110" s="85">
        <f>SUM(E111:E116)</f>
        <v>109163</v>
      </c>
      <c r="F110" s="38"/>
      <c r="G110" s="36"/>
      <c r="H110" s="36"/>
      <c r="I110" s="36"/>
      <c r="J110" s="36"/>
      <c r="K110" s="36"/>
    </row>
    <row r="111" spans="1:11" s="20" customFormat="1" x14ac:dyDescent="0.3">
      <c r="A111" s="34"/>
      <c r="B111" s="124" t="s">
        <v>182</v>
      </c>
      <c r="C111" s="84" t="s">
        <v>62</v>
      </c>
      <c r="D111" s="36">
        <f t="shared" si="5"/>
        <v>256000</v>
      </c>
      <c r="E111" s="97">
        <f>190000+66000</f>
        <v>256000</v>
      </c>
      <c r="F111" s="97"/>
      <c r="G111" s="97"/>
      <c r="H111" s="97"/>
      <c r="I111" s="97"/>
      <c r="J111" s="36"/>
      <c r="K111" s="36"/>
    </row>
    <row r="112" spans="1:11" s="8" customFormat="1" x14ac:dyDescent="0.3">
      <c r="A112" s="33"/>
      <c r="B112" s="125"/>
      <c r="C112" s="30" t="s">
        <v>115</v>
      </c>
      <c r="D112" s="36">
        <f t="shared" si="5"/>
        <v>-1337</v>
      </c>
      <c r="E112" s="38">
        <f>-1337</f>
        <v>-1337</v>
      </c>
      <c r="F112" s="38"/>
      <c r="G112" s="36"/>
      <c r="H112" s="36"/>
      <c r="I112" s="36"/>
      <c r="J112" s="36"/>
      <c r="K112" s="36"/>
    </row>
    <row r="113" spans="1:11" s="8" customFormat="1" x14ac:dyDescent="0.3">
      <c r="A113" s="33"/>
      <c r="B113" s="125"/>
      <c r="C113" s="30" t="s">
        <v>117</v>
      </c>
      <c r="D113" s="36">
        <f t="shared" si="5"/>
        <v>-25000</v>
      </c>
      <c r="E113" s="38">
        <f>-25000</f>
        <v>-25000</v>
      </c>
      <c r="F113" s="38"/>
      <c r="G113" s="36"/>
      <c r="H113" s="36"/>
      <c r="I113" s="36"/>
      <c r="J113" s="36"/>
      <c r="K113" s="36"/>
    </row>
    <row r="114" spans="1:11" s="8" customFormat="1" x14ac:dyDescent="0.3">
      <c r="A114" s="33"/>
      <c r="B114" s="125"/>
      <c r="C114" s="30" t="s">
        <v>118</v>
      </c>
      <c r="D114" s="36">
        <f t="shared" si="5"/>
        <v>-5500</v>
      </c>
      <c r="E114" s="38">
        <f>-5500</f>
        <v>-5500</v>
      </c>
      <c r="F114" s="38"/>
      <c r="G114" s="36"/>
      <c r="H114" s="36"/>
      <c r="I114" s="36"/>
      <c r="J114" s="36"/>
      <c r="K114" s="36"/>
    </row>
    <row r="115" spans="1:11" s="8" customFormat="1" x14ac:dyDescent="0.3">
      <c r="A115" s="33"/>
      <c r="B115" s="125"/>
      <c r="C115" s="30" t="s">
        <v>113</v>
      </c>
      <c r="D115" s="36">
        <f t="shared" si="5"/>
        <v>-110000</v>
      </c>
      <c r="E115" s="38">
        <f>-110000</f>
        <v>-110000</v>
      </c>
      <c r="F115" s="38"/>
      <c r="G115" s="36"/>
      <c r="H115" s="36"/>
      <c r="I115" s="36"/>
      <c r="J115" s="36"/>
      <c r="K115" s="36"/>
    </row>
    <row r="116" spans="1:11" s="8" customFormat="1" ht="31.2" x14ac:dyDescent="0.3">
      <c r="A116" s="33"/>
      <c r="B116" s="126"/>
      <c r="C116" s="30" t="s">
        <v>122</v>
      </c>
      <c r="D116" s="36">
        <f t="shared" si="5"/>
        <v>-5000</v>
      </c>
      <c r="E116" s="38">
        <f>-5000</f>
        <v>-5000</v>
      </c>
      <c r="F116" s="38"/>
      <c r="G116" s="36"/>
      <c r="H116" s="36"/>
      <c r="I116" s="36"/>
      <c r="J116" s="36"/>
      <c r="K116" s="36"/>
    </row>
    <row r="117" spans="1:11" s="8" customFormat="1" ht="46.8" x14ac:dyDescent="0.3">
      <c r="A117" s="33" t="s">
        <v>153</v>
      </c>
      <c r="B117" s="96">
        <v>1310</v>
      </c>
      <c r="C117" s="81" t="s">
        <v>133</v>
      </c>
      <c r="D117" s="7">
        <f t="shared" si="5"/>
        <v>-35386.199999999997</v>
      </c>
      <c r="E117" s="42">
        <f>E118</f>
        <v>0</v>
      </c>
      <c r="F117" s="42">
        <f>F118</f>
        <v>-35386.199999999997</v>
      </c>
      <c r="G117" s="7"/>
      <c r="H117" s="7"/>
      <c r="I117" s="7"/>
      <c r="J117" s="7"/>
      <c r="K117" s="7"/>
    </row>
    <row r="118" spans="1:11" s="8" customFormat="1" ht="78" x14ac:dyDescent="0.3">
      <c r="A118" s="33"/>
      <c r="B118" s="79" t="s">
        <v>182</v>
      </c>
      <c r="C118" s="64" t="s">
        <v>134</v>
      </c>
      <c r="D118" s="36">
        <f t="shared" si="5"/>
        <v>-35386.199999999997</v>
      </c>
      <c r="E118" s="38"/>
      <c r="F118" s="38">
        <f>-35386.2</f>
        <v>-35386.199999999997</v>
      </c>
      <c r="G118" s="36"/>
      <c r="H118" s="36"/>
      <c r="I118" s="36"/>
      <c r="J118" s="36"/>
      <c r="K118" s="36"/>
    </row>
    <row r="119" spans="1:11" s="8" customFormat="1" ht="31.2" x14ac:dyDescent="0.3">
      <c r="A119" s="33" t="s">
        <v>154</v>
      </c>
      <c r="B119" s="86">
        <v>3242</v>
      </c>
      <c r="C119" s="83" t="s">
        <v>71</v>
      </c>
      <c r="D119" s="7">
        <f t="shared" si="5"/>
        <v>-588500</v>
      </c>
      <c r="E119" s="85">
        <f>SUM(E120:E120)</f>
        <v>-588500</v>
      </c>
      <c r="F119" s="85"/>
      <c r="G119" s="36"/>
      <c r="H119" s="36"/>
      <c r="I119" s="36"/>
      <c r="J119" s="36"/>
      <c r="K119" s="36"/>
    </row>
    <row r="120" spans="1:11" s="8" customFormat="1" ht="31.2" x14ac:dyDescent="0.3">
      <c r="A120" s="33"/>
      <c r="B120" s="79" t="s">
        <v>182</v>
      </c>
      <c r="C120" s="64" t="s">
        <v>247</v>
      </c>
      <c r="D120" s="36">
        <f t="shared" si="5"/>
        <v>-588500</v>
      </c>
      <c r="E120" s="38">
        <f>-588500</f>
        <v>-588500</v>
      </c>
      <c r="F120" s="38"/>
      <c r="G120" s="36"/>
      <c r="H120" s="36"/>
      <c r="I120" s="36"/>
      <c r="J120" s="36"/>
      <c r="K120" s="36"/>
    </row>
    <row r="121" spans="1:11" s="8" customFormat="1" ht="46.8" x14ac:dyDescent="0.3">
      <c r="A121" s="33" t="s">
        <v>155</v>
      </c>
      <c r="B121" s="86">
        <v>5031</v>
      </c>
      <c r="C121" s="83" t="s">
        <v>60</v>
      </c>
      <c r="D121" s="7">
        <f t="shared" si="5"/>
        <v>-476408</v>
      </c>
      <c r="E121" s="85">
        <f>SUM(E122:E127)</f>
        <v>392592</v>
      </c>
      <c r="F121" s="85">
        <f>SUM(F122:F127)</f>
        <v>-869000</v>
      </c>
      <c r="G121" s="36"/>
      <c r="H121" s="36"/>
      <c r="I121" s="36"/>
      <c r="J121" s="36"/>
      <c r="K121" s="36"/>
    </row>
    <row r="122" spans="1:11" s="20" customFormat="1" x14ac:dyDescent="0.3">
      <c r="A122" s="34"/>
      <c r="B122" s="124" t="s">
        <v>182</v>
      </c>
      <c r="C122" s="84" t="s">
        <v>62</v>
      </c>
      <c r="D122" s="36">
        <f t="shared" si="5"/>
        <v>465000</v>
      </c>
      <c r="E122" s="97">
        <f>405000+60000</f>
        <v>465000</v>
      </c>
      <c r="F122" s="97"/>
      <c r="G122" s="97"/>
      <c r="H122" s="97"/>
      <c r="I122" s="97"/>
      <c r="J122" s="36"/>
      <c r="K122" s="36"/>
    </row>
    <row r="123" spans="1:11" s="8" customFormat="1" x14ac:dyDescent="0.3">
      <c r="A123" s="33"/>
      <c r="B123" s="125"/>
      <c r="C123" s="30" t="s">
        <v>115</v>
      </c>
      <c r="D123" s="36">
        <f t="shared" si="5"/>
        <v>-7408</v>
      </c>
      <c r="E123" s="38">
        <f>-7408</f>
        <v>-7408</v>
      </c>
      <c r="F123" s="38"/>
      <c r="G123" s="36"/>
      <c r="H123" s="36"/>
      <c r="I123" s="36"/>
      <c r="J123" s="36"/>
      <c r="K123" s="36"/>
    </row>
    <row r="124" spans="1:11" s="8" customFormat="1" x14ac:dyDescent="0.3">
      <c r="A124" s="33"/>
      <c r="B124" s="125"/>
      <c r="C124" s="64" t="s">
        <v>120</v>
      </c>
      <c r="D124" s="36">
        <f t="shared" si="5"/>
        <v>-50000</v>
      </c>
      <c r="E124" s="38">
        <f>-50000</f>
        <v>-50000</v>
      </c>
      <c r="F124" s="38"/>
      <c r="G124" s="36"/>
      <c r="H124" s="36"/>
      <c r="I124" s="36"/>
      <c r="J124" s="36"/>
      <c r="K124" s="36"/>
    </row>
    <row r="125" spans="1:11" s="8" customFormat="1" ht="46.8" x14ac:dyDescent="0.3">
      <c r="A125" s="33"/>
      <c r="B125" s="125"/>
      <c r="C125" s="30" t="s">
        <v>125</v>
      </c>
      <c r="D125" s="36">
        <f t="shared" si="5"/>
        <v>-15000</v>
      </c>
      <c r="E125" s="38">
        <f>-15000</f>
        <v>-15000</v>
      </c>
      <c r="F125" s="38"/>
      <c r="G125" s="36"/>
      <c r="H125" s="36"/>
      <c r="I125" s="36"/>
      <c r="J125" s="36"/>
      <c r="K125" s="36"/>
    </row>
    <row r="126" spans="1:11" s="8" customFormat="1" ht="46.8" x14ac:dyDescent="0.3">
      <c r="A126" s="33"/>
      <c r="B126" s="125"/>
      <c r="C126" s="30" t="s">
        <v>106</v>
      </c>
      <c r="D126" s="36">
        <f t="shared" si="5"/>
        <v>-950000</v>
      </c>
      <c r="E126" s="38"/>
      <c r="F126" s="38">
        <v>-950000</v>
      </c>
      <c r="G126" s="36"/>
      <c r="H126" s="36"/>
      <c r="I126" s="36"/>
      <c r="J126" s="36"/>
      <c r="K126" s="36"/>
    </row>
    <row r="127" spans="1:11" s="8" customFormat="1" ht="31.2" x14ac:dyDescent="0.3">
      <c r="A127" s="33"/>
      <c r="B127" s="126"/>
      <c r="C127" s="30" t="s">
        <v>143</v>
      </c>
      <c r="D127" s="36">
        <f t="shared" si="5"/>
        <v>81000</v>
      </c>
      <c r="E127" s="38"/>
      <c r="F127" s="38">
        <v>81000</v>
      </c>
      <c r="G127" s="36"/>
      <c r="H127" s="36"/>
      <c r="I127" s="36"/>
      <c r="J127" s="36"/>
      <c r="K127" s="36"/>
    </row>
    <row r="128" spans="1:11" s="8" customFormat="1" x14ac:dyDescent="0.3">
      <c r="A128" s="33" t="s">
        <v>156</v>
      </c>
      <c r="B128" s="96">
        <v>7520</v>
      </c>
      <c r="C128" s="28" t="s">
        <v>119</v>
      </c>
      <c r="D128" s="7">
        <f t="shared" si="5"/>
        <v>-120000</v>
      </c>
      <c r="E128" s="42">
        <f>SUM(E129:E129)</f>
        <v>-120000</v>
      </c>
      <c r="F128" s="42"/>
      <c r="G128" s="7"/>
      <c r="H128" s="7"/>
      <c r="I128" s="7"/>
      <c r="J128" s="7"/>
      <c r="K128" s="7"/>
    </row>
    <row r="129" spans="1:12" s="8" customFormat="1" ht="31.2" x14ac:dyDescent="0.3">
      <c r="A129" s="33"/>
      <c r="B129" s="79" t="s">
        <v>182</v>
      </c>
      <c r="C129" s="30" t="s">
        <v>113</v>
      </c>
      <c r="D129" s="36">
        <f t="shared" si="5"/>
        <v>-120000</v>
      </c>
      <c r="E129" s="38">
        <f>-120000</f>
        <v>-120000</v>
      </c>
      <c r="F129" s="38"/>
      <c r="G129" s="36"/>
      <c r="H129" s="36"/>
      <c r="I129" s="36"/>
      <c r="J129" s="36"/>
      <c r="K129" s="36"/>
    </row>
    <row r="130" spans="1:12" s="8" customFormat="1" ht="31.2" x14ac:dyDescent="0.3">
      <c r="A130" s="78" t="s">
        <v>158</v>
      </c>
      <c r="B130" s="40">
        <v>8110</v>
      </c>
      <c r="C130" s="28" t="s">
        <v>44</v>
      </c>
      <c r="D130" s="7">
        <f t="shared" si="5"/>
        <v>161547.71</v>
      </c>
      <c r="E130" s="42">
        <f>SUM(E131:E135)</f>
        <v>165000</v>
      </c>
      <c r="F130" s="42">
        <f>SUM(F131:F135)</f>
        <v>-3452.29</v>
      </c>
      <c r="G130" s="7"/>
      <c r="H130" s="7"/>
      <c r="I130" s="7"/>
      <c r="J130" s="7"/>
      <c r="K130" s="7"/>
    </row>
    <row r="131" spans="1:12" s="8" customFormat="1" ht="78" x14ac:dyDescent="0.3">
      <c r="A131" s="78"/>
      <c r="B131" s="115" t="s">
        <v>182</v>
      </c>
      <c r="C131" s="30" t="s">
        <v>135</v>
      </c>
      <c r="D131" s="36">
        <f t="shared" si="5"/>
        <v>-472</v>
      </c>
      <c r="E131" s="38"/>
      <c r="F131" s="38">
        <f>-472</f>
        <v>-472</v>
      </c>
      <c r="G131" s="36"/>
      <c r="H131" s="36"/>
      <c r="I131" s="36"/>
      <c r="J131" s="36"/>
      <c r="K131" s="36"/>
    </row>
    <row r="132" spans="1:12" s="8" customFormat="1" ht="78" x14ac:dyDescent="0.3">
      <c r="A132" s="78"/>
      <c r="B132" s="116"/>
      <c r="C132" s="98" t="s">
        <v>136</v>
      </c>
      <c r="D132" s="36">
        <f t="shared" si="5"/>
        <v>-2880.29</v>
      </c>
      <c r="E132" s="38"/>
      <c r="F132" s="38">
        <f>-2880.29</f>
        <v>-2880.29</v>
      </c>
      <c r="G132" s="36"/>
      <c r="H132" s="36"/>
      <c r="I132" s="36"/>
      <c r="J132" s="36"/>
      <c r="K132" s="36"/>
    </row>
    <row r="133" spans="1:12" s="59" customFormat="1" ht="46.8" x14ac:dyDescent="0.3">
      <c r="A133" s="57"/>
      <c r="B133" s="116"/>
      <c r="C133" s="30" t="s">
        <v>137</v>
      </c>
      <c r="D133" s="36">
        <f t="shared" si="5"/>
        <v>-100</v>
      </c>
      <c r="E133" s="38"/>
      <c r="F133" s="36">
        <f>-100</f>
        <v>-100</v>
      </c>
      <c r="G133" s="36"/>
      <c r="H133" s="36"/>
      <c r="I133" s="36"/>
      <c r="J133" s="36"/>
      <c r="K133" s="36"/>
    </row>
    <row r="134" spans="1:12" s="59" customFormat="1" ht="16.2" x14ac:dyDescent="0.3">
      <c r="A134" s="57"/>
      <c r="B134" s="116"/>
      <c r="C134" s="30" t="s">
        <v>146</v>
      </c>
      <c r="D134" s="36">
        <f t="shared" si="5"/>
        <v>150000</v>
      </c>
      <c r="E134" s="38">
        <v>150000</v>
      </c>
      <c r="F134" s="36"/>
      <c r="G134" s="36"/>
      <c r="H134" s="36"/>
      <c r="I134" s="36"/>
      <c r="J134" s="36"/>
      <c r="K134" s="36"/>
    </row>
    <row r="135" spans="1:12" s="59" customFormat="1" ht="16.2" x14ac:dyDescent="0.3">
      <c r="A135" s="57"/>
      <c r="B135" s="117"/>
      <c r="C135" s="30" t="s">
        <v>150</v>
      </c>
      <c r="D135" s="36">
        <f t="shared" si="5"/>
        <v>15000</v>
      </c>
      <c r="E135" s="38">
        <v>15000</v>
      </c>
      <c r="F135" s="36"/>
      <c r="G135" s="36"/>
      <c r="H135" s="36"/>
      <c r="I135" s="36"/>
      <c r="J135" s="36"/>
      <c r="K135" s="36"/>
    </row>
    <row r="136" spans="1:12" s="19" customFormat="1" ht="17.399999999999999" x14ac:dyDescent="0.3">
      <c r="A136" s="31" t="s">
        <v>4</v>
      </c>
      <c r="B136" s="18"/>
      <c r="C136" s="32" t="s">
        <v>31</v>
      </c>
      <c r="D136" s="25">
        <f t="shared" si="5"/>
        <v>-2880000</v>
      </c>
      <c r="E136" s="25">
        <f>SUM(E137:E143)</f>
        <v>-2500000</v>
      </c>
      <c r="F136" s="25">
        <f t="shared" ref="F136:K136" si="6">SUM(F137:F143)</f>
        <v>0</v>
      </c>
      <c r="G136" s="25">
        <f t="shared" si="6"/>
        <v>-380000</v>
      </c>
      <c r="H136" s="25"/>
      <c r="I136" s="25"/>
      <c r="J136" s="25">
        <f t="shared" si="6"/>
        <v>0</v>
      </c>
      <c r="K136" s="25">
        <f t="shared" si="6"/>
        <v>0</v>
      </c>
      <c r="L136" s="45"/>
    </row>
    <row r="137" spans="1:12" s="59" customFormat="1" ht="31.2" x14ac:dyDescent="0.3">
      <c r="A137" s="33" t="s">
        <v>13</v>
      </c>
      <c r="B137" s="17">
        <v>3031</v>
      </c>
      <c r="C137" s="28" t="s">
        <v>69</v>
      </c>
      <c r="D137" s="7">
        <f t="shared" si="5"/>
        <v>-189000</v>
      </c>
      <c r="E137" s="7">
        <v>-189000</v>
      </c>
      <c r="F137" s="7"/>
      <c r="G137" s="58"/>
      <c r="H137" s="58"/>
      <c r="I137" s="58"/>
      <c r="J137" s="58"/>
      <c r="K137" s="58"/>
    </row>
    <row r="138" spans="1:12" s="59" customFormat="1" ht="78" x14ac:dyDescent="0.3">
      <c r="A138" s="33" t="s">
        <v>72</v>
      </c>
      <c r="B138" s="17">
        <v>3104</v>
      </c>
      <c r="C138" s="28" t="s">
        <v>186</v>
      </c>
      <c r="D138" s="7">
        <f t="shared" si="5"/>
        <v>-380000</v>
      </c>
      <c r="E138" s="7"/>
      <c r="F138" s="7"/>
      <c r="G138" s="7">
        <v>-380000</v>
      </c>
      <c r="H138" s="7"/>
      <c r="I138" s="7"/>
      <c r="J138" s="7"/>
      <c r="K138" s="7"/>
    </row>
    <row r="139" spans="1:12" s="8" customFormat="1" x14ac:dyDescent="0.3">
      <c r="A139" s="33" t="s">
        <v>73</v>
      </c>
      <c r="B139" s="17">
        <v>3123</v>
      </c>
      <c r="C139" s="28" t="s">
        <v>79</v>
      </c>
      <c r="D139" s="7">
        <f t="shared" si="5"/>
        <v>-99000</v>
      </c>
      <c r="E139" s="42">
        <v>-99000</v>
      </c>
      <c r="F139" s="7"/>
      <c r="G139" s="7"/>
      <c r="H139" s="7"/>
      <c r="I139" s="7"/>
      <c r="J139" s="7"/>
      <c r="K139" s="7"/>
    </row>
    <row r="140" spans="1:12" s="8" customFormat="1" ht="62.4" x14ac:dyDescent="0.3">
      <c r="A140" s="33" t="s">
        <v>74</v>
      </c>
      <c r="B140" s="17">
        <v>3160</v>
      </c>
      <c r="C140" s="28" t="s">
        <v>70</v>
      </c>
      <c r="D140" s="7">
        <f t="shared" si="5"/>
        <v>-14000</v>
      </c>
      <c r="E140" s="42">
        <v>-14000</v>
      </c>
      <c r="F140" s="7"/>
      <c r="G140" s="7"/>
      <c r="H140" s="7"/>
      <c r="I140" s="7"/>
      <c r="J140" s="7"/>
      <c r="K140" s="7"/>
    </row>
    <row r="141" spans="1:12" s="8" customFormat="1" ht="62.4" x14ac:dyDescent="0.3">
      <c r="A141" s="33" t="s">
        <v>107</v>
      </c>
      <c r="B141" s="17">
        <v>3180</v>
      </c>
      <c r="C141" s="28" t="s">
        <v>183</v>
      </c>
      <c r="D141" s="7">
        <f t="shared" si="5"/>
        <v>-240000</v>
      </c>
      <c r="E141" s="42">
        <v>-240000</v>
      </c>
      <c r="F141" s="7"/>
      <c r="G141" s="7"/>
      <c r="H141" s="7"/>
      <c r="I141" s="7"/>
      <c r="J141" s="7"/>
      <c r="K141" s="7"/>
    </row>
    <row r="142" spans="1:12" s="8" customFormat="1" ht="46.8" x14ac:dyDescent="0.3">
      <c r="A142" s="33" t="s">
        <v>185</v>
      </c>
      <c r="B142" s="17">
        <v>3230</v>
      </c>
      <c r="C142" s="28" t="s">
        <v>184</v>
      </c>
      <c r="D142" s="7">
        <f t="shared" si="5"/>
        <v>-326000</v>
      </c>
      <c r="E142" s="42">
        <v>-326000</v>
      </c>
      <c r="F142" s="7"/>
      <c r="G142" s="7"/>
      <c r="H142" s="7"/>
      <c r="I142" s="7"/>
      <c r="J142" s="7"/>
      <c r="K142" s="7"/>
    </row>
    <row r="143" spans="1:12" s="8" customFormat="1" ht="31.2" x14ac:dyDescent="0.3">
      <c r="A143" s="33" t="s">
        <v>187</v>
      </c>
      <c r="B143" s="17">
        <v>3242</v>
      </c>
      <c r="C143" s="28" t="s">
        <v>71</v>
      </c>
      <c r="D143" s="7">
        <f t="shared" si="5"/>
        <v>-1632000</v>
      </c>
      <c r="E143" s="42">
        <v>-1632000</v>
      </c>
      <c r="F143" s="7"/>
      <c r="G143" s="7"/>
      <c r="H143" s="7"/>
      <c r="I143" s="7"/>
      <c r="J143" s="7"/>
      <c r="K143" s="7"/>
    </row>
    <row r="144" spans="1:12" s="19" customFormat="1" ht="17.399999999999999" x14ac:dyDescent="0.3">
      <c r="A144" s="31" t="s">
        <v>7</v>
      </c>
      <c r="B144" s="18"/>
      <c r="C144" s="32" t="s">
        <v>90</v>
      </c>
      <c r="D144" s="25">
        <f t="shared" si="5"/>
        <v>0</v>
      </c>
      <c r="E144" s="25">
        <f>E145+E146</f>
        <v>0</v>
      </c>
      <c r="F144" s="25">
        <f t="shared" ref="F144:K144" si="7">F145+F146</f>
        <v>0</v>
      </c>
      <c r="G144" s="25">
        <f t="shared" si="7"/>
        <v>0</v>
      </c>
      <c r="H144" s="25"/>
      <c r="I144" s="25"/>
      <c r="J144" s="25">
        <f t="shared" si="7"/>
        <v>0</v>
      </c>
      <c r="K144" s="25">
        <f t="shared" si="7"/>
        <v>0</v>
      </c>
      <c r="L144" s="45"/>
    </row>
    <row r="145" spans="1:12" s="8" customFormat="1" ht="46.8" x14ac:dyDescent="0.3">
      <c r="A145" s="33" t="s">
        <v>15</v>
      </c>
      <c r="B145" s="82" t="s">
        <v>55</v>
      </c>
      <c r="C145" s="28" t="s">
        <v>188</v>
      </c>
      <c r="D145" s="7">
        <f t="shared" si="5"/>
        <v>-9900</v>
      </c>
      <c r="E145" s="7">
        <v>-9900</v>
      </c>
      <c r="F145" s="7"/>
      <c r="G145" s="7"/>
      <c r="H145" s="7"/>
      <c r="I145" s="7"/>
      <c r="J145" s="7"/>
      <c r="K145" s="7"/>
    </row>
    <row r="146" spans="1:12" s="8" customFormat="1" x14ac:dyDescent="0.3">
      <c r="A146" s="33" t="s">
        <v>189</v>
      </c>
      <c r="B146" s="82" t="s">
        <v>159</v>
      </c>
      <c r="C146" s="28" t="s">
        <v>119</v>
      </c>
      <c r="D146" s="7">
        <f t="shared" si="5"/>
        <v>9900</v>
      </c>
      <c r="E146" s="7">
        <v>9900</v>
      </c>
      <c r="F146" s="7"/>
      <c r="G146" s="7"/>
      <c r="H146" s="7"/>
      <c r="I146" s="7"/>
      <c r="J146" s="7"/>
      <c r="K146" s="7"/>
    </row>
    <row r="147" spans="1:12" s="19" customFormat="1" ht="17.399999999999999" x14ac:dyDescent="0.3">
      <c r="A147" s="31" t="s">
        <v>32</v>
      </c>
      <c r="B147" s="18"/>
      <c r="C147" s="32" t="s">
        <v>53</v>
      </c>
      <c r="D147" s="25">
        <f t="shared" si="5"/>
        <v>0</v>
      </c>
      <c r="E147" s="25">
        <f>E148+E150+E153</f>
        <v>0</v>
      </c>
      <c r="F147" s="25">
        <f t="shared" ref="F147:K147" si="8">F148+F150+F153</f>
        <v>0</v>
      </c>
      <c r="G147" s="25">
        <f t="shared" si="8"/>
        <v>0</v>
      </c>
      <c r="H147" s="25"/>
      <c r="I147" s="25"/>
      <c r="J147" s="25">
        <f t="shared" si="8"/>
        <v>0</v>
      </c>
      <c r="K147" s="25">
        <f t="shared" si="8"/>
        <v>0</v>
      </c>
      <c r="L147" s="45"/>
    </row>
    <row r="148" spans="1:12" s="8" customFormat="1" ht="31.2" x14ac:dyDescent="0.3">
      <c r="A148" s="33" t="s">
        <v>33</v>
      </c>
      <c r="B148" s="82" t="s">
        <v>55</v>
      </c>
      <c r="C148" s="28" t="s">
        <v>56</v>
      </c>
      <c r="D148" s="7">
        <f t="shared" si="5"/>
        <v>20000</v>
      </c>
      <c r="E148" s="7">
        <f>E149</f>
        <v>20000</v>
      </c>
      <c r="F148" s="7"/>
      <c r="G148" s="7"/>
      <c r="H148" s="7"/>
      <c r="I148" s="7"/>
      <c r="J148" s="7"/>
      <c r="K148" s="7"/>
    </row>
    <row r="149" spans="1:12" s="20" customFormat="1" ht="31.2" x14ac:dyDescent="0.3">
      <c r="A149" s="34"/>
      <c r="B149" s="87" t="s">
        <v>192</v>
      </c>
      <c r="C149" s="30" t="s">
        <v>62</v>
      </c>
      <c r="D149" s="36">
        <f t="shared" si="5"/>
        <v>20000</v>
      </c>
      <c r="E149" s="36">
        <v>20000</v>
      </c>
      <c r="F149" s="36"/>
      <c r="G149" s="36"/>
      <c r="H149" s="36"/>
      <c r="I149" s="36"/>
      <c r="J149" s="36"/>
      <c r="K149" s="36"/>
    </row>
    <row r="150" spans="1:12" s="8" customFormat="1" x14ac:dyDescent="0.3">
      <c r="A150" s="33" t="s">
        <v>103</v>
      </c>
      <c r="B150" s="82" t="s">
        <v>193</v>
      </c>
      <c r="C150" s="28" t="s">
        <v>194</v>
      </c>
      <c r="D150" s="7">
        <f t="shared" si="5"/>
        <v>0</v>
      </c>
      <c r="E150" s="7">
        <f>SUM(E151:E152)</f>
        <v>0</v>
      </c>
      <c r="F150" s="7"/>
      <c r="G150" s="7"/>
      <c r="H150" s="7"/>
      <c r="I150" s="7"/>
      <c r="J150" s="7"/>
      <c r="K150" s="7"/>
    </row>
    <row r="151" spans="1:12" s="20" customFormat="1" x14ac:dyDescent="0.3">
      <c r="A151" s="34"/>
      <c r="B151" s="110" t="s">
        <v>197</v>
      </c>
      <c r="C151" s="30" t="s">
        <v>195</v>
      </c>
      <c r="D151" s="36">
        <f t="shared" ref="D151:D211" si="9">SUM(E151:K151)</f>
        <v>-3500</v>
      </c>
      <c r="E151" s="36">
        <v>-3500</v>
      </c>
      <c r="F151" s="36"/>
      <c r="G151" s="36"/>
      <c r="H151" s="36"/>
      <c r="I151" s="36"/>
      <c r="J151" s="36"/>
      <c r="K151" s="36"/>
    </row>
    <row r="152" spans="1:12" s="20" customFormat="1" ht="31.2" x14ac:dyDescent="0.3">
      <c r="A152" s="34"/>
      <c r="B152" s="111"/>
      <c r="C152" s="30" t="s">
        <v>196</v>
      </c>
      <c r="D152" s="36">
        <f t="shared" si="9"/>
        <v>3500</v>
      </c>
      <c r="E152" s="36">
        <v>3500</v>
      </c>
      <c r="F152" s="36"/>
      <c r="G152" s="36"/>
      <c r="H152" s="36"/>
      <c r="I152" s="36"/>
      <c r="J152" s="36"/>
      <c r="K152" s="36"/>
    </row>
    <row r="153" spans="1:12" s="8" customFormat="1" ht="31.2" x14ac:dyDescent="0.3">
      <c r="A153" s="33" t="s">
        <v>198</v>
      </c>
      <c r="B153" s="82" t="s">
        <v>190</v>
      </c>
      <c r="C153" s="44" t="s">
        <v>191</v>
      </c>
      <c r="D153" s="7">
        <f t="shared" si="9"/>
        <v>-20000</v>
      </c>
      <c r="E153" s="7">
        <f>SUM(E154:E155)</f>
        <v>-20000</v>
      </c>
      <c r="F153" s="7"/>
      <c r="G153" s="7"/>
      <c r="H153" s="7"/>
      <c r="I153" s="7"/>
      <c r="J153" s="7"/>
      <c r="K153" s="7"/>
    </row>
    <row r="154" spans="1:12" s="66" customFormat="1" x14ac:dyDescent="0.3">
      <c r="A154" s="63"/>
      <c r="B154" s="119" t="s">
        <v>192</v>
      </c>
      <c r="C154" s="67" t="s">
        <v>62</v>
      </c>
      <c r="D154" s="61">
        <f t="shared" si="9"/>
        <v>-45000</v>
      </c>
      <c r="E154" s="61">
        <f>-25000-20000</f>
        <v>-45000</v>
      </c>
      <c r="F154" s="61"/>
      <c r="G154" s="61"/>
      <c r="H154" s="61"/>
      <c r="I154" s="61"/>
      <c r="J154" s="61"/>
      <c r="K154" s="61"/>
    </row>
    <row r="155" spans="1:12" s="66" customFormat="1" x14ac:dyDescent="0.3">
      <c r="A155" s="63"/>
      <c r="B155" s="120"/>
      <c r="C155" s="67" t="s">
        <v>162</v>
      </c>
      <c r="D155" s="61">
        <f t="shared" si="9"/>
        <v>25000</v>
      </c>
      <c r="E155" s="61">
        <v>25000</v>
      </c>
      <c r="F155" s="61"/>
      <c r="G155" s="61"/>
      <c r="H155" s="61"/>
      <c r="I155" s="61"/>
      <c r="J155" s="61"/>
      <c r="K155" s="61"/>
    </row>
    <row r="156" spans="1:12" s="19" customFormat="1" ht="17.399999999999999" x14ac:dyDescent="0.3">
      <c r="A156" s="31" t="s">
        <v>34</v>
      </c>
      <c r="B156" s="18"/>
      <c r="C156" s="32" t="s">
        <v>45</v>
      </c>
      <c r="D156" s="25">
        <f t="shared" si="9"/>
        <v>0</v>
      </c>
      <c r="E156" s="25">
        <f>E157</f>
        <v>0</v>
      </c>
      <c r="F156" s="25">
        <f t="shared" ref="F156" si="10">F157</f>
        <v>0</v>
      </c>
      <c r="G156" s="25">
        <f t="shared" ref="G156:J156" si="11">G157</f>
        <v>0</v>
      </c>
      <c r="H156" s="25"/>
      <c r="I156" s="25"/>
      <c r="J156" s="25">
        <f t="shared" si="11"/>
        <v>0</v>
      </c>
      <c r="K156" s="25">
        <f t="shared" ref="K156" si="12">K157</f>
        <v>0</v>
      </c>
      <c r="L156" s="45"/>
    </row>
    <row r="157" spans="1:12" s="8" customFormat="1" ht="31.2" x14ac:dyDescent="0.3">
      <c r="A157" s="33" t="s">
        <v>35</v>
      </c>
      <c r="B157" s="82" t="s">
        <v>55</v>
      </c>
      <c r="C157" s="28" t="s">
        <v>56</v>
      </c>
      <c r="D157" s="7">
        <f t="shared" si="9"/>
        <v>0</v>
      </c>
      <c r="E157" s="7">
        <f>SUM(E158:E159)</f>
        <v>0</v>
      </c>
      <c r="F157" s="7"/>
      <c r="G157" s="7"/>
      <c r="H157" s="7"/>
      <c r="I157" s="7"/>
      <c r="J157" s="7"/>
      <c r="K157" s="7"/>
    </row>
    <row r="158" spans="1:12" s="20" customFormat="1" x14ac:dyDescent="0.3">
      <c r="A158" s="34"/>
      <c r="B158" s="110" t="s">
        <v>199</v>
      </c>
      <c r="C158" s="30" t="s">
        <v>62</v>
      </c>
      <c r="D158" s="36">
        <f t="shared" si="9"/>
        <v>5000</v>
      </c>
      <c r="E158" s="36">
        <v>5000</v>
      </c>
      <c r="F158" s="36"/>
      <c r="G158" s="36"/>
      <c r="H158" s="36"/>
      <c r="I158" s="36"/>
      <c r="J158" s="36"/>
      <c r="K158" s="36"/>
    </row>
    <row r="159" spans="1:12" s="20" customFormat="1" x14ac:dyDescent="0.3">
      <c r="A159" s="34"/>
      <c r="B159" s="111"/>
      <c r="C159" s="30" t="s">
        <v>120</v>
      </c>
      <c r="D159" s="36">
        <f t="shared" si="9"/>
        <v>-5000</v>
      </c>
      <c r="E159" s="36">
        <v>-5000</v>
      </c>
      <c r="F159" s="36"/>
      <c r="G159" s="36"/>
      <c r="H159" s="36"/>
      <c r="I159" s="36"/>
      <c r="J159" s="36"/>
      <c r="K159" s="36"/>
    </row>
    <row r="160" spans="1:12" s="19" customFormat="1" ht="17.399999999999999" x14ac:dyDescent="0.3">
      <c r="A160" s="31" t="s">
        <v>63</v>
      </c>
      <c r="B160" s="18"/>
      <c r="C160" s="32" t="s">
        <v>14</v>
      </c>
      <c r="D160" s="25">
        <f t="shared" si="9"/>
        <v>1400323.81</v>
      </c>
      <c r="E160" s="25">
        <f>E161+E165+E167+E170+E174+E176+E178+E180+E182+E186+E191+E193</f>
        <v>6973522</v>
      </c>
      <c r="F160" s="25">
        <f t="shared" ref="F160:K160" si="13">F161+F165+F167+F170+F174+F176+F178+F180+F182+F186+F191+F193</f>
        <v>-5573304</v>
      </c>
      <c r="G160" s="25">
        <f t="shared" si="13"/>
        <v>0</v>
      </c>
      <c r="H160" s="25"/>
      <c r="I160" s="25">
        <f t="shared" si="13"/>
        <v>55.97</v>
      </c>
      <c r="J160" s="25">
        <f t="shared" si="13"/>
        <v>0</v>
      </c>
      <c r="K160" s="25">
        <f t="shared" si="13"/>
        <v>49.84</v>
      </c>
      <c r="L160" s="45"/>
    </row>
    <row r="161" spans="1:12" s="8" customFormat="1" x14ac:dyDescent="0.3">
      <c r="A161" s="33" t="s">
        <v>64</v>
      </c>
      <c r="B161" s="17">
        <v>6011</v>
      </c>
      <c r="C161" s="81" t="s">
        <v>217</v>
      </c>
      <c r="D161" s="7">
        <f>SUM(E161:K161)</f>
        <v>-658471</v>
      </c>
      <c r="E161" s="7"/>
      <c r="F161" s="7">
        <f>SUM(F162:F164)</f>
        <v>-658471</v>
      </c>
      <c r="G161" s="7"/>
      <c r="H161" s="7"/>
      <c r="I161" s="7"/>
      <c r="J161" s="7"/>
      <c r="K161" s="7"/>
      <c r="L161" s="105"/>
    </row>
    <row r="162" spans="1:12" s="20" customFormat="1" ht="62.4" x14ac:dyDescent="0.3">
      <c r="A162" s="34"/>
      <c r="B162" s="35"/>
      <c r="C162" s="64" t="s">
        <v>218</v>
      </c>
      <c r="D162" s="36">
        <f t="shared" ref="D162:D164" si="14">SUM(E162:K162)</f>
        <v>-600000</v>
      </c>
      <c r="E162" s="36"/>
      <c r="F162" s="36">
        <v>-600000</v>
      </c>
      <c r="G162" s="36"/>
      <c r="H162" s="36"/>
      <c r="I162" s="36"/>
      <c r="J162" s="36"/>
      <c r="K162" s="36"/>
      <c r="L162" s="72"/>
    </row>
    <row r="163" spans="1:12" s="20" customFormat="1" ht="46.8" x14ac:dyDescent="0.3">
      <c r="A163" s="34"/>
      <c r="B163" s="35"/>
      <c r="C163" s="64" t="s">
        <v>219</v>
      </c>
      <c r="D163" s="36">
        <f t="shared" si="14"/>
        <v>-56347</v>
      </c>
      <c r="E163" s="36"/>
      <c r="F163" s="36">
        <v>-56347</v>
      </c>
      <c r="G163" s="36"/>
      <c r="H163" s="36"/>
      <c r="I163" s="36"/>
      <c r="J163" s="36"/>
      <c r="K163" s="36"/>
      <c r="L163" s="72"/>
    </row>
    <row r="164" spans="1:12" s="20" customFormat="1" ht="31.2" x14ac:dyDescent="0.3">
      <c r="A164" s="34"/>
      <c r="B164" s="35"/>
      <c r="C164" s="64" t="s">
        <v>220</v>
      </c>
      <c r="D164" s="36">
        <f t="shared" si="14"/>
        <v>-2124</v>
      </c>
      <c r="E164" s="36"/>
      <c r="F164" s="36">
        <v>-2124</v>
      </c>
      <c r="G164" s="36"/>
      <c r="H164" s="36"/>
      <c r="I164" s="36"/>
      <c r="J164" s="36"/>
      <c r="K164" s="36"/>
      <c r="L164" s="72"/>
    </row>
    <row r="165" spans="1:12" s="8" customFormat="1" ht="31.2" x14ac:dyDescent="0.3">
      <c r="A165" s="33" t="s">
        <v>66</v>
      </c>
      <c r="B165" s="40">
        <v>6013</v>
      </c>
      <c r="C165" s="81" t="s">
        <v>84</v>
      </c>
      <c r="D165" s="7">
        <f t="shared" si="9"/>
        <v>137117</v>
      </c>
      <c r="E165" s="42">
        <f>SUM(E166:E166)</f>
        <v>0</v>
      </c>
      <c r="F165" s="42">
        <f>SUM(F166:F166)</f>
        <v>137117</v>
      </c>
      <c r="G165" s="42"/>
      <c r="H165" s="42"/>
      <c r="I165" s="42"/>
      <c r="J165" s="7"/>
      <c r="K165" s="7"/>
    </row>
    <row r="166" spans="1:12" s="59" customFormat="1" ht="93.6" x14ac:dyDescent="0.3">
      <c r="A166" s="57"/>
      <c r="B166" s="54" t="s">
        <v>203</v>
      </c>
      <c r="C166" s="64" t="s">
        <v>207</v>
      </c>
      <c r="D166" s="36">
        <f t="shared" si="9"/>
        <v>137117</v>
      </c>
      <c r="E166" s="38"/>
      <c r="F166" s="38">
        <v>137117</v>
      </c>
      <c r="G166" s="38"/>
      <c r="H166" s="38"/>
      <c r="I166" s="38"/>
      <c r="J166" s="58"/>
      <c r="K166" s="58"/>
    </row>
    <row r="167" spans="1:12" s="8" customFormat="1" x14ac:dyDescent="0.3">
      <c r="A167" s="33" t="s">
        <v>75</v>
      </c>
      <c r="B167" s="40">
        <v>6015</v>
      </c>
      <c r="C167" s="81" t="s">
        <v>221</v>
      </c>
      <c r="D167" s="7">
        <f>SUM(E167:K167)</f>
        <v>-198042</v>
      </c>
      <c r="E167" s="42">
        <f>SUM(E168:E169)</f>
        <v>-149899</v>
      </c>
      <c r="F167" s="42">
        <f>SUM(F168:F169)</f>
        <v>-48143</v>
      </c>
      <c r="G167" s="42"/>
      <c r="H167" s="42"/>
      <c r="I167" s="42"/>
      <c r="J167" s="7"/>
      <c r="K167" s="7"/>
    </row>
    <row r="168" spans="1:12" s="59" customFormat="1" ht="16.2" x14ac:dyDescent="0.3">
      <c r="A168" s="57"/>
      <c r="B168" s="54"/>
      <c r="C168" s="64" t="s">
        <v>222</v>
      </c>
      <c r="D168" s="36">
        <f t="shared" ref="D168:D169" si="15">SUM(E168:K168)</f>
        <v>-149899</v>
      </c>
      <c r="E168" s="38">
        <v>-149899</v>
      </c>
      <c r="F168" s="38"/>
      <c r="G168" s="38"/>
      <c r="H168" s="38"/>
      <c r="I168" s="38"/>
      <c r="J168" s="58"/>
      <c r="K168" s="58"/>
    </row>
    <row r="169" spans="1:12" s="59" customFormat="1" ht="46.8" x14ac:dyDescent="0.3">
      <c r="A169" s="57"/>
      <c r="B169" s="54"/>
      <c r="C169" s="64" t="s">
        <v>223</v>
      </c>
      <c r="D169" s="36">
        <f t="shared" si="15"/>
        <v>-48143</v>
      </c>
      <c r="E169" s="38"/>
      <c r="F169" s="38">
        <v>-48143</v>
      </c>
      <c r="G169" s="38"/>
      <c r="H169" s="38"/>
      <c r="I169" s="38"/>
      <c r="J169" s="58"/>
      <c r="K169" s="58"/>
    </row>
    <row r="170" spans="1:12" s="8" customFormat="1" x14ac:dyDescent="0.3">
      <c r="A170" s="33" t="s">
        <v>91</v>
      </c>
      <c r="B170" s="40" t="s">
        <v>77</v>
      </c>
      <c r="C170" s="41" t="s">
        <v>78</v>
      </c>
      <c r="D170" s="7">
        <f t="shared" si="9"/>
        <v>180800</v>
      </c>
      <c r="E170" s="42">
        <f>E171+E172+E173</f>
        <v>153221</v>
      </c>
      <c r="F170" s="42">
        <f>F171+F172+F173</f>
        <v>27579</v>
      </c>
      <c r="G170" s="42"/>
      <c r="H170" s="42"/>
      <c r="I170" s="42"/>
      <c r="J170" s="7"/>
      <c r="K170" s="7"/>
    </row>
    <row r="171" spans="1:12" s="59" customFormat="1" ht="31.2" x14ac:dyDescent="0.3">
      <c r="A171" s="57"/>
      <c r="B171" s="43" t="s">
        <v>211</v>
      </c>
      <c r="C171" s="108" t="s">
        <v>215</v>
      </c>
      <c r="D171" s="36">
        <f>SUM(E171:K171)</f>
        <v>680800</v>
      </c>
      <c r="E171" s="38">
        <v>680800</v>
      </c>
      <c r="F171" s="109"/>
      <c r="G171" s="109"/>
      <c r="H171" s="109"/>
      <c r="I171" s="109"/>
      <c r="J171" s="58"/>
      <c r="K171" s="58"/>
    </row>
    <row r="172" spans="1:12" s="59" customFormat="1" ht="31.2" x14ac:dyDescent="0.3">
      <c r="A172" s="57"/>
      <c r="B172" s="54" t="s">
        <v>214</v>
      </c>
      <c r="C172" s="64" t="s">
        <v>216</v>
      </c>
      <c r="D172" s="36">
        <f t="shared" si="9"/>
        <v>0</v>
      </c>
      <c r="E172" s="38">
        <v>-27579</v>
      </c>
      <c r="F172" s="38">
        <v>27579</v>
      </c>
      <c r="G172" s="38"/>
      <c r="H172" s="38"/>
      <c r="I172" s="38"/>
      <c r="J172" s="58"/>
      <c r="K172" s="58"/>
    </row>
    <row r="173" spans="1:12" s="59" customFormat="1" ht="16.2" x14ac:dyDescent="0.3">
      <c r="A173" s="57"/>
      <c r="B173" s="54"/>
      <c r="C173" s="64" t="s">
        <v>230</v>
      </c>
      <c r="D173" s="36">
        <f t="shared" si="9"/>
        <v>-500000</v>
      </c>
      <c r="E173" s="38">
        <v>-500000</v>
      </c>
      <c r="F173" s="38"/>
      <c r="G173" s="38"/>
      <c r="H173" s="38"/>
      <c r="I173" s="38"/>
      <c r="J173" s="58"/>
      <c r="K173" s="58"/>
    </row>
    <row r="174" spans="1:12" s="8" customFormat="1" x14ac:dyDescent="0.3">
      <c r="A174" s="33" t="s">
        <v>92</v>
      </c>
      <c r="B174" s="40" t="s">
        <v>87</v>
      </c>
      <c r="C174" s="41" t="s">
        <v>85</v>
      </c>
      <c r="D174" s="7">
        <f t="shared" ref="D174:D179" si="16">SUM(E174:K174)</f>
        <v>-300000</v>
      </c>
      <c r="E174" s="42"/>
      <c r="F174" s="42">
        <f>F175</f>
        <v>-300000</v>
      </c>
      <c r="G174" s="42"/>
      <c r="H174" s="42"/>
      <c r="I174" s="42"/>
      <c r="J174" s="7"/>
      <c r="K174" s="7"/>
    </row>
    <row r="175" spans="1:12" s="59" customFormat="1" ht="62.4" x14ac:dyDescent="0.3">
      <c r="A175" s="57"/>
      <c r="B175" s="54"/>
      <c r="C175" s="64" t="s">
        <v>224</v>
      </c>
      <c r="D175" s="36">
        <f t="shared" si="16"/>
        <v>-300000</v>
      </c>
      <c r="E175" s="38"/>
      <c r="F175" s="38">
        <v>-300000</v>
      </c>
      <c r="G175" s="38"/>
      <c r="H175" s="38"/>
      <c r="I175" s="38"/>
      <c r="J175" s="58"/>
      <c r="K175" s="58"/>
    </row>
    <row r="176" spans="1:12" s="8" customFormat="1" x14ac:dyDescent="0.3">
      <c r="A176" s="33" t="s">
        <v>109</v>
      </c>
      <c r="B176" s="40">
        <v>7130</v>
      </c>
      <c r="C176" s="81" t="s">
        <v>88</v>
      </c>
      <c r="D176" s="7">
        <f t="shared" si="16"/>
        <v>-180000</v>
      </c>
      <c r="E176" s="42">
        <f>E177</f>
        <v>-180000</v>
      </c>
      <c r="F176" s="42"/>
      <c r="G176" s="42"/>
      <c r="H176" s="42"/>
      <c r="I176" s="42"/>
      <c r="J176" s="7"/>
      <c r="K176" s="7"/>
    </row>
    <row r="177" spans="1:11" s="59" customFormat="1" ht="78" x14ac:dyDescent="0.3">
      <c r="A177" s="57"/>
      <c r="B177" s="54" t="s">
        <v>211</v>
      </c>
      <c r="C177" s="64" t="s">
        <v>210</v>
      </c>
      <c r="D177" s="36">
        <f t="shared" si="16"/>
        <v>-180000</v>
      </c>
      <c r="E177" s="38">
        <v>-180000</v>
      </c>
      <c r="F177" s="38"/>
      <c r="G177" s="38"/>
      <c r="H177" s="38"/>
      <c r="I177" s="38"/>
      <c r="J177" s="58"/>
      <c r="K177" s="58"/>
    </row>
    <row r="178" spans="1:11" s="8" customFormat="1" x14ac:dyDescent="0.3">
      <c r="A178" s="33" t="s">
        <v>114</v>
      </c>
      <c r="B178" s="40">
        <v>7520</v>
      </c>
      <c r="C178" s="81" t="s">
        <v>119</v>
      </c>
      <c r="D178" s="7">
        <f t="shared" si="16"/>
        <v>-466000</v>
      </c>
      <c r="E178" s="42">
        <f>E179</f>
        <v>-430000</v>
      </c>
      <c r="F178" s="42">
        <f>F179</f>
        <v>-36000</v>
      </c>
      <c r="G178" s="42"/>
      <c r="H178" s="42"/>
      <c r="I178" s="42"/>
      <c r="J178" s="7"/>
      <c r="K178" s="7"/>
    </row>
    <row r="179" spans="1:11" s="59" customFormat="1" ht="31.2" x14ac:dyDescent="0.3">
      <c r="A179" s="57"/>
      <c r="B179" s="54"/>
      <c r="C179" s="64" t="s">
        <v>200</v>
      </c>
      <c r="D179" s="36">
        <f t="shared" si="16"/>
        <v>-466000</v>
      </c>
      <c r="E179" s="38">
        <v>-430000</v>
      </c>
      <c r="F179" s="38">
        <v>-36000</v>
      </c>
      <c r="G179" s="38"/>
      <c r="H179" s="38"/>
      <c r="I179" s="38"/>
      <c r="J179" s="58"/>
      <c r="K179" s="58"/>
    </row>
    <row r="180" spans="1:11" s="8" customFormat="1" ht="93.6" x14ac:dyDescent="0.3">
      <c r="A180" s="33" t="s">
        <v>225</v>
      </c>
      <c r="B180" s="40">
        <v>7691</v>
      </c>
      <c r="C180" s="81" t="s">
        <v>251</v>
      </c>
      <c r="D180" s="7">
        <f>SUM(E180:K180)</f>
        <v>105.81</v>
      </c>
      <c r="E180" s="42"/>
      <c r="F180" s="42"/>
      <c r="G180" s="42"/>
      <c r="H180" s="42"/>
      <c r="I180" s="42">
        <f>I181</f>
        <v>55.97</v>
      </c>
      <c r="J180" s="7"/>
      <c r="K180" s="7">
        <f>K181</f>
        <v>49.84</v>
      </c>
    </row>
    <row r="181" spans="1:11" s="59" customFormat="1" ht="46.8" x14ac:dyDescent="0.3">
      <c r="A181" s="57"/>
      <c r="B181" s="54" t="s">
        <v>80</v>
      </c>
      <c r="C181" s="64" t="s">
        <v>252</v>
      </c>
      <c r="D181" s="36">
        <f>SUM(E181:K181)</f>
        <v>105.81</v>
      </c>
      <c r="E181" s="38"/>
      <c r="F181" s="38"/>
      <c r="G181" s="38"/>
      <c r="H181" s="38"/>
      <c r="I181" s="38">
        <v>55.97</v>
      </c>
      <c r="J181" s="58"/>
      <c r="K181" s="36">
        <v>49.84</v>
      </c>
    </row>
    <row r="182" spans="1:11" s="8" customFormat="1" x14ac:dyDescent="0.3">
      <c r="A182" s="33" t="s">
        <v>226</v>
      </c>
      <c r="B182" s="40">
        <v>7693</v>
      </c>
      <c r="C182" s="28" t="s">
        <v>81</v>
      </c>
      <c r="D182" s="7">
        <f t="shared" si="9"/>
        <v>3596200</v>
      </c>
      <c r="E182" s="42">
        <f>SUM(E183:E185)</f>
        <v>3596200</v>
      </c>
      <c r="F182" s="42"/>
      <c r="G182" s="42"/>
      <c r="H182" s="42"/>
      <c r="I182" s="42"/>
      <c r="J182" s="7"/>
      <c r="K182" s="7"/>
    </row>
    <row r="183" spans="1:11" s="59" customFormat="1" ht="31.2" x14ac:dyDescent="0.3">
      <c r="A183" s="57"/>
      <c r="B183" s="54" t="s">
        <v>83</v>
      </c>
      <c r="C183" s="30" t="s">
        <v>82</v>
      </c>
      <c r="D183" s="36">
        <f t="shared" si="9"/>
        <v>1500000</v>
      </c>
      <c r="E183" s="38">
        <v>1500000</v>
      </c>
      <c r="F183" s="38"/>
      <c r="G183" s="38"/>
      <c r="H183" s="38"/>
      <c r="I183" s="38"/>
      <c r="J183" s="58"/>
      <c r="K183" s="58"/>
    </row>
    <row r="184" spans="1:11" s="59" customFormat="1" ht="31.2" x14ac:dyDescent="0.3">
      <c r="A184" s="57"/>
      <c r="B184" s="54" t="s">
        <v>209</v>
      </c>
      <c r="C184" s="30" t="s">
        <v>208</v>
      </c>
      <c r="D184" s="36">
        <f t="shared" si="9"/>
        <v>-500800</v>
      </c>
      <c r="E184" s="38">
        <f>-500800</f>
        <v>-500800</v>
      </c>
      <c r="F184" s="38"/>
      <c r="G184" s="38"/>
      <c r="H184" s="38"/>
      <c r="I184" s="38"/>
      <c r="J184" s="58"/>
      <c r="K184" s="58"/>
    </row>
    <row r="185" spans="1:11" s="59" customFormat="1" ht="31.2" x14ac:dyDescent="0.3">
      <c r="A185" s="57"/>
      <c r="B185" s="54" t="s">
        <v>212</v>
      </c>
      <c r="C185" s="30" t="s">
        <v>213</v>
      </c>
      <c r="D185" s="36">
        <f t="shared" si="9"/>
        <v>2597000</v>
      </c>
      <c r="E185" s="38">
        <v>2597000</v>
      </c>
      <c r="F185" s="38"/>
      <c r="G185" s="38"/>
      <c r="H185" s="38"/>
      <c r="I185" s="38"/>
      <c r="J185" s="58"/>
      <c r="K185" s="58"/>
    </row>
    <row r="186" spans="1:11" s="8" customFormat="1" ht="31.2" x14ac:dyDescent="0.3">
      <c r="A186" s="33" t="s">
        <v>237</v>
      </c>
      <c r="B186" s="40" t="s">
        <v>201</v>
      </c>
      <c r="C186" s="28" t="s">
        <v>44</v>
      </c>
      <c r="D186" s="7">
        <f t="shared" ref="D186:D194" si="17">SUM(E186:K186)</f>
        <v>3584000</v>
      </c>
      <c r="E186" s="42">
        <f>E187+E188</f>
        <v>3584000</v>
      </c>
      <c r="F186" s="42"/>
      <c r="G186" s="42"/>
      <c r="H186" s="42"/>
      <c r="I186" s="42"/>
      <c r="J186" s="7"/>
      <c r="K186" s="7"/>
    </row>
    <row r="187" spans="1:11" s="59" customFormat="1" ht="78" x14ac:dyDescent="0.3">
      <c r="A187" s="57"/>
      <c r="B187" s="54" t="s">
        <v>202</v>
      </c>
      <c r="C187" s="30" t="s">
        <v>205</v>
      </c>
      <c r="D187" s="36">
        <f t="shared" si="17"/>
        <v>2430000</v>
      </c>
      <c r="E187" s="38">
        <f>1192000+1238000</f>
        <v>2430000</v>
      </c>
      <c r="F187" s="38"/>
      <c r="G187" s="38"/>
      <c r="H187" s="38"/>
      <c r="I187" s="38"/>
      <c r="J187" s="58"/>
      <c r="K187" s="58"/>
    </row>
    <row r="188" spans="1:11" s="59" customFormat="1" ht="62.4" x14ac:dyDescent="0.3">
      <c r="A188" s="57"/>
      <c r="B188" s="54" t="s">
        <v>206</v>
      </c>
      <c r="C188" s="30" t="s">
        <v>204</v>
      </c>
      <c r="D188" s="36">
        <f t="shared" si="17"/>
        <v>1154000</v>
      </c>
      <c r="E188" s="38">
        <v>1154000</v>
      </c>
      <c r="F188" s="38"/>
      <c r="G188" s="38"/>
      <c r="H188" s="38"/>
      <c r="I188" s="38"/>
      <c r="J188" s="58"/>
      <c r="K188" s="58"/>
    </row>
    <row r="189" spans="1:11" s="59" customFormat="1" ht="93.6" x14ac:dyDescent="0.3">
      <c r="A189" s="57"/>
      <c r="B189" s="54" t="s">
        <v>255</v>
      </c>
      <c r="C189" s="30" t="s">
        <v>248</v>
      </c>
      <c r="D189" s="36">
        <f>SUM(E189:K189)</f>
        <v>-700000</v>
      </c>
      <c r="E189" s="38">
        <v>-700000</v>
      </c>
      <c r="F189" s="38"/>
      <c r="G189" s="38"/>
      <c r="H189" s="38"/>
      <c r="I189" s="38"/>
      <c r="J189" s="58"/>
      <c r="K189" s="58"/>
    </row>
    <row r="190" spans="1:11" s="59" customFormat="1" ht="62.4" x14ac:dyDescent="0.3">
      <c r="A190" s="57"/>
      <c r="B190" s="54" t="s">
        <v>255</v>
      </c>
      <c r="C190" s="30" t="s">
        <v>254</v>
      </c>
      <c r="D190" s="36">
        <f>SUM(E190:K190)</f>
        <v>700000</v>
      </c>
      <c r="E190" s="38">
        <v>700000</v>
      </c>
      <c r="F190" s="38"/>
      <c r="G190" s="38"/>
      <c r="H190" s="38"/>
      <c r="I190" s="38"/>
      <c r="J190" s="58"/>
      <c r="K190" s="58"/>
    </row>
    <row r="191" spans="1:11" s="8" customFormat="1" ht="46.8" x14ac:dyDescent="0.3">
      <c r="A191" s="33" t="s">
        <v>238</v>
      </c>
      <c r="B191" s="40">
        <v>8742</v>
      </c>
      <c r="C191" s="28" t="s">
        <v>231</v>
      </c>
      <c r="D191" s="7">
        <f t="shared" si="17"/>
        <v>-4695386</v>
      </c>
      <c r="E191" s="42"/>
      <c r="F191" s="42">
        <f>F192</f>
        <v>-4695386</v>
      </c>
      <c r="G191" s="42"/>
      <c r="H191" s="42"/>
      <c r="I191" s="42"/>
      <c r="J191" s="7"/>
      <c r="K191" s="7"/>
    </row>
    <row r="192" spans="1:11" s="59" customFormat="1" ht="31.2" x14ac:dyDescent="0.3">
      <c r="A192" s="57"/>
      <c r="B192" s="54" t="s">
        <v>233</v>
      </c>
      <c r="C192" s="30" t="s">
        <v>232</v>
      </c>
      <c r="D192" s="36">
        <f t="shared" si="17"/>
        <v>-4695386</v>
      </c>
      <c r="E192" s="38"/>
      <c r="F192" s="38">
        <v>-4695386</v>
      </c>
      <c r="G192" s="38"/>
      <c r="H192" s="38"/>
      <c r="I192" s="38"/>
      <c r="J192" s="58"/>
      <c r="K192" s="58"/>
    </row>
    <row r="193" spans="1:11" s="8" customFormat="1" ht="62.4" x14ac:dyDescent="0.3">
      <c r="A193" s="33" t="s">
        <v>253</v>
      </c>
      <c r="B193" s="40" t="s">
        <v>234</v>
      </c>
      <c r="C193" s="28" t="s">
        <v>235</v>
      </c>
      <c r="D193" s="7">
        <f t="shared" si="17"/>
        <v>400000</v>
      </c>
      <c r="E193" s="42">
        <f>SUM(E194)</f>
        <v>400000</v>
      </c>
      <c r="F193" s="42"/>
      <c r="G193" s="42"/>
      <c r="H193" s="42"/>
      <c r="I193" s="42"/>
      <c r="J193" s="7"/>
      <c r="K193" s="7"/>
    </row>
    <row r="194" spans="1:11" s="59" customFormat="1" ht="31.2" x14ac:dyDescent="0.3">
      <c r="A194" s="57"/>
      <c r="B194" s="54" t="s">
        <v>233</v>
      </c>
      <c r="C194" s="30" t="s">
        <v>236</v>
      </c>
      <c r="D194" s="36">
        <f t="shared" si="17"/>
        <v>400000</v>
      </c>
      <c r="E194" s="38">
        <v>400000</v>
      </c>
      <c r="F194" s="38"/>
      <c r="G194" s="38"/>
      <c r="H194" s="38"/>
      <c r="I194" s="38"/>
      <c r="J194" s="58"/>
      <c r="K194" s="58"/>
    </row>
    <row r="195" spans="1:11" s="19" customFormat="1" ht="17.399999999999999" x14ac:dyDescent="0.3">
      <c r="A195" s="31" t="s">
        <v>93</v>
      </c>
      <c r="B195" s="18"/>
      <c r="C195" s="32" t="s">
        <v>86</v>
      </c>
      <c r="D195" s="25">
        <f t="shared" si="9"/>
        <v>-3000000</v>
      </c>
      <c r="E195" s="25">
        <f>E196+E198+E200</f>
        <v>0</v>
      </c>
      <c r="F195" s="25">
        <f t="shared" ref="F195:K195" si="18">F196+F198+F200</f>
        <v>-3000000</v>
      </c>
      <c r="G195" s="25">
        <f t="shared" si="18"/>
        <v>0</v>
      </c>
      <c r="H195" s="25"/>
      <c r="I195" s="25"/>
      <c r="J195" s="25">
        <f t="shared" si="18"/>
        <v>0</v>
      </c>
      <c r="K195" s="25">
        <f t="shared" si="18"/>
        <v>0</v>
      </c>
    </row>
    <row r="196" spans="1:11" s="8" customFormat="1" ht="46.8" x14ac:dyDescent="0.3">
      <c r="A196" s="33" t="s">
        <v>89</v>
      </c>
      <c r="B196" s="82" t="s">
        <v>55</v>
      </c>
      <c r="C196" s="28" t="s">
        <v>227</v>
      </c>
      <c r="D196" s="7">
        <f t="shared" si="9"/>
        <v>-10000</v>
      </c>
      <c r="E196" s="7">
        <f>E197</f>
        <v>-10000</v>
      </c>
      <c r="F196" s="7"/>
      <c r="G196" s="7"/>
      <c r="H196" s="7"/>
      <c r="I196" s="7"/>
      <c r="J196" s="7"/>
      <c r="K196" s="7"/>
    </row>
    <row r="197" spans="1:11" s="20" customFormat="1" ht="31.2" x14ac:dyDescent="0.3">
      <c r="A197" s="34"/>
      <c r="B197" s="87" t="s">
        <v>228</v>
      </c>
      <c r="C197" s="30" t="s">
        <v>162</v>
      </c>
      <c r="D197" s="36">
        <f t="shared" si="9"/>
        <v>-10000</v>
      </c>
      <c r="E197" s="36">
        <v>-10000</v>
      </c>
      <c r="F197" s="36"/>
      <c r="G197" s="36"/>
      <c r="H197" s="36"/>
      <c r="I197" s="36"/>
      <c r="J197" s="36"/>
      <c r="K197" s="36"/>
    </row>
    <row r="198" spans="1:11" s="8" customFormat="1" ht="31.2" x14ac:dyDescent="0.3">
      <c r="A198" s="33" t="s">
        <v>94</v>
      </c>
      <c r="B198" s="40" t="s">
        <v>110</v>
      </c>
      <c r="C198" s="28" t="s">
        <v>111</v>
      </c>
      <c r="D198" s="7">
        <f t="shared" si="9"/>
        <v>-3000000</v>
      </c>
      <c r="E198" s="42"/>
      <c r="F198" s="42">
        <f>F199</f>
        <v>-3000000</v>
      </c>
      <c r="G198" s="42"/>
      <c r="H198" s="42"/>
      <c r="I198" s="42"/>
      <c r="J198" s="7"/>
      <c r="K198" s="7"/>
    </row>
    <row r="199" spans="1:11" s="59" customFormat="1" ht="31.2" x14ac:dyDescent="0.3">
      <c r="A199" s="57"/>
      <c r="B199" s="43"/>
      <c r="C199" s="30" t="s">
        <v>112</v>
      </c>
      <c r="D199" s="36">
        <f t="shared" si="9"/>
        <v>-3000000</v>
      </c>
      <c r="E199" s="38"/>
      <c r="F199" s="38">
        <v>-3000000</v>
      </c>
      <c r="G199" s="38"/>
      <c r="H199" s="38"/>
      <c r="I199" s="38"/>
      <c r="J199" s="58"/>
      <c r="K199" s="58"/>
    </row>
    <row r="200" spans="1:11" s="8" customFormat="1" x14ac:dyDescent="0.3">
      <c r="A200" s="33" t="s">
        <v>95</v>
      </c>
      <c r="B200" s="40" t="s">
        <v>159</v>
      </c>
      <c r="C200" s="41" t="s">
        <v>119</v>
      </c>
      <c r="D200" s="7">
        <f t="shared" si="9"/>
        <v>10000</v>
      </c>
      <c r="E200" s="7">
        <f>E201</f>
        <v>10000</v>
      </c>
      <c r="F200" s="7"/>
      <c r="G200" s="7"/>
      <c r="H200" s="7"/>
      <c r="I200" s="7"/>
      <c r="J200" s="7"/>
      <c r="K200" s="7"/>
    </row>
    <row r="201" spans="1:11" s="66" customFormat="1" ht="31.2" x14ac:dyDescent="0.3">
      <c r="A201" s="63"/>
      <c r="B201" s="102" t="s">
        <v>228</v>
      </c>
      <c r="C201" s="65" t="s">
        <v>229</v>
      </c>
      <c r="D201" s="61">
        <f t="shared" si="9"/>
        <v>10000</v>
      </c>
      <c r="E201" s="60">
        <v>10000</v>
      </c>
      <c r="F201" s="60"/>
      <c r="G201" s="60"/>
      <c r="H201" s="60"/>
      <c r="I201" s="60"/>
      <c r="J201" s="61"/>
      <c r="K201" s="61"/>
    </row>
    <row r="202" spans="1:11" s="19" customFormat="1" ht="17.399999999999999" x14ac:dyDescent="0.3">
      <c r="A202" s="31" t="s">
        <v>96</v>
      </c>
      <c r="B202" s="18"/>
      <c r="C202" s="32" t="s">
        <v>5</v>
      </c>
      <c r="D202" s="25">
        <f>SUM(E202:K202)</f>
        <v>-248175</v>
      </c>
      <c r="E202" s="25">
        <f>E203+E207+E209</f>
        <v>-548175</v>
      </c>
      <c r="F202" s="25">
        <f t="shared" ref="F202:K202" si="19">F203+F207+F209</f>
        <v>300000</v>
      </c>
      <c r="G202" s="25">
        <f t="shared" si="19"/>
        <v>0</v>
      </c>
      <c r="H202" s="25"/>
      <c r="I202" s="25"/>
      <c r="J202" s="25">
        <f t="shared" si="19"/>
        <v>0</v>
      </c>
      <c r="K202" s="25">
        <f t="shared" si="19"/>
        <v>0</v>
      </c>
    </row>
    <row r="203" spans="1:11" s="8" customFormat="1" x14ac:dyDescent="0.3">
      <c r="A203" s="33" t="s">
        <v>97</v>
      </c>
      <c r="B203" s="82" t="s">
        <v>239</v>
      </c>
      <c r="C203" s="28" t="s">
        <v>240</v>
      </c>
      <c r="D203" s="7">
        <f>SUM(E203:K203)</f>
        <v>-248175</v>
      </c>
      <c r="E203" s="7">
        <f>SUM(E204:E206)</f>
        <v>-248175</v>
      </c>
      <c r="F203" s="7"/>
      <c r="G203" s="7"/>
      <c r="H203" s="7"/>
      <c r="I203" s="7"/>
      <c r="J203" s="7"/>
      <c r="K203" s="7"/>
    </row>
    <row r="204" spans="1:11" s="20" customFormat="1" ht="31.2" x14ac:dyDescent="0.3">
      <c r="A204" s="34"/>
      <c r="B204" s="102"/>
      <c r="C204" s="30" t="s">
        <v>236</v>
      </c>
      <c r="D204" s="36">
        <f>SUM(E204:K204)</f>
        <v>-400000</v>
      </c>
      <c r="E204" s="36">
        <v>-400000</v>
      </c>
      <c r="F204" s="36"/>
      <c r="G204" s="36"/>
      <c r="H204" s="36"/>
      <c r="I204" s="36"/>
      <c r="J204" s="36"/>
      <c r="K204" s="36"/>
    </row>
    <row r="205" spans="1:11" s="20" customFormat="1" ht="31.2" x14ac:dyDescent="0.3">
      <c r="A205" s="34"/>
      <c r="B205" s="87"/>
      <c r="C205" s="30" t="s">
        <v>232</v>
      </c>
      <c r="D205" s="36">
        <f t="shared" ref="D205:D206" si="20">SUM(E205:K205)</f>
        <v>4695386</v>
      </c>
      <c r="E205" s="36">
        <v>4695386</v>
      </c>
      <c r="F205" s="36"/>
      <c r="G205" s="36"/>
      <c r="H205" s="36"/>
      <c r="I205" s="36"/>
      <c r="J205" s="36"/>
      <c r="K205" s="36"/>
    </row>
    <row r="206" spans="1:11" s="20" customFormat="1" x14ac:dyDescent="0.3">
      <c r="A206" s="34"/>
      <c r="B206" s="102"/>
      <c r="C206" s="30" t="s">
        <v>241</v>
      </c>
      <c r="D206" s="36">
        <f t="shared" si="20"/>
        <v>-4543561</v>
      </c>
      <c r="E206" s="36">
        <f>-4543561</f>
        <v>-4543561</v>
      </c>
      <c r="F206" s="36"/>
      <c r="G206" s="36"/>
      <c r="H206" s="36"/>
      <c r="I206" s="36"/>
      <c r="J206" s="36"/>
      <c r="K206" s="36"/>
    </row>
    <row r="207" spans="1:11" s="8" customFormat="1" x14ac:dyDescent="0.3">
      <c r="A207" s="33" t="s">
        <v>98</v>
      </c>
      <c r="B207" s="82" t="s">
        <v>242</v>
      </c>
      <c r="C207" s="44" t="s">
        <v>243</v>
      </c>
      <c r="D207" s="7">
        <f>SUM(E207:K207)</f>
        <v>0</v>
      </c>
      <c r="E207" s="7">
        <f>E208</f>
        <v>-300000</v>
      </c>
      <c r="F207" s="7">
        <f>F208</f>
        <v>300000</v>
      </c>
      <c r="G207" s="7"/>
      <c r="H207" s="7"/>
      <c r="I207" s="7"/>
      <c r="J207" s="7"/>
      <c r="K207" s="7"/>
    </row>
    <row r="208" spans="1:11" s="20" customFormat="1" ht="78" x14ac:dyDescent="0.3">
      <c r="A208" s="34"/>
      <c r="B208" s="102"/>
      <c r="C208" s="30" t="s">
        <v>244</v>
      </c>
      <c r="D208" s="36">
        <f>SUM(E208:K208)</f>
        <v>0</v>
      </c>
      <c r="E208" s="36">
        <v>-300000</v>
      </c>
      <c r="F208" s="36">
        <v>300000</v>
      </c>
      <c r="G208" s="36"/>
      <c r="H208" s="36"/>
      <c r="I208" s="36"/>
      <c r="J208" s="36"/>
      <c r="K208" s="36"/>
    </row>
    <row r="209" spans="1:12" s="8" customFormat="1" ht="52.2" x14ac:dyDescent="0.3">
      <c r="A209" s="33" t="s">
        <v>99</v>
      </c>
      <c r="B209" s="68">
        <v>9800</v>
      </c>
      <c r="C209" s="69" t="s">
        <v>20</v>
      </c>
      <c r="D209" s="7">
        <f t="shared" si="9"/>
        <v>0</v>
      </c>
      <c r="E209" s="7"/>
      <c r="F209" s="7"/>
      <c r="G209" s="7"/>
      <c r="H209" s="7"/>
      <c r="I209" s="7"/>
      <c r="J209" s="7">
        <f>J210</f>
        <v>0</v>
      </c>
      <c r="K209" s="7"/>
    </row>
    <row r="210" spans="1:12" s="66" customFormat="1" ht="62.4" x14ac:dyDescent="0.3">
      <c r="A210" s="63"/>
      <c r="B210" s="70"/>
      <c r="C210" s="67" t="s">
        <v>6</v>
      </c>
      <c r="D210" s="61">
        <f t="shared" si="9"/>
        <v>0</v>
      </c>
      <c r="E210" s="61"/>
      <c r="F210" s="61"/>
      <c r="G210" s="61"/>
      <c r="H210" s="61"/>
      <c r="I210" s="61"/>
      <c r="J210" s="61">
        <f>SUM(J211:J212)</f>
        <v>0</v>
      </c>
      <c r="K210" s="61"/>
    </row>
    <row r="211" spans="1:12" s="20" customFormat="1" ht="26.4" x14ac:dyDescent="0.3">
      <c r="A211" s="34"/>
      <c r="B211" s="62" t="s">
        <v>246</v>
      </c>
      <c r="C211" s="30" t="s">
        <v>245</v>
      </c>
      <c r="D211" s="36">
        <f t="shared" si="9"/>
        <v>1000000</v>
      </c>
      <c r="E211" s="36"/>
      <c r="F211" s="36"/>
      <c r="G211" s="36"/>
      <c r="H211" s="36"/>
      <c r="I211" s="36"/>
      <c r="J211" s="36">
        <v>1000000</v>
      </c>
      <c r="K211" s="36"/>
    </row>
    <row r="212" spans="1:12" s="20" customFormat="1" ht="46.8" x14ac:dyDescent="0.3">
      <c r="A212" s="71"/>
      <c r="B212" s="35"/>
      <c r="C212" s="30" t="s">
        <v>57</v>
      </c>
      <c r="D212" s="36">
        <f t="shared" ref="D212:D222" si="21">SUM(E212:K212)</f>
        <v>-1000000</v>
      </c>
      <c r="E212" s="36"/>
      <c r="F212" s="36"/>
      <c r="G212" s="36"/>
      <c r="H212" s="36"/>
      <c r="I212" s="36"/>
      <c r="J212" s="36">
        <v>-1000000</v>
      </c>
      <c r="K212" s="38"/>
    </row>
    <row r="213" spans="1:12" s="19" customFormat="1" ht="17.399999999999999" x14ac:dyDescent="0.3">
      <c r="A213" s="31"/>
      <c r="B213" s="18"/>
      <c r="C213" s="32" t="s">
        <v>8</v>
      </c>
      <c r="D213" s="25">
        <f>SUM(E213:K213)</f>
        <v>-742294.19000000006</v>
      </c>
      <c r="E213" s="25">
        <f>E6+E38+E136+E144+E147+E156+E160+E195+E202</f>
        <v>9084726.879999999</v>
      </c>
      <c r="F213" s="25">
        <f>F6+F38+F136+F144+F147+F156+F160+F195+F202</f>
        <v>-9084726.879999999</v>
      </c>
      <c r="G213" s="25">
        <f>G6+G38+G136+G144+G147+G156+G160+G195+G202</f>
        <v>-380000</v>
      </c>
      <c r="H213" s="25">
        <f>H6+H38+H136+H144+H147+H156+H160+H195+H202</f>
        <v>-362400</v>
      </c>
      <c r="I213" s="25">
        <f>I6+I38+I136+I144+I147+I156+I160+I195+I202</f>
        <v>55.97</v>
      </c>
      <c r="J213" s="25">
        <f>J6+J38+J136+J144+J147+J156+J160+J195+J202</f>
        <v>0</v>
      </c>
      <c r="K213" s="25">
        <f>K6+K38+K136+K144+K147+K156+K160+K195+K202</f>
        <v>49.84</v>
      </c>
      <c r="L213" s="45"/>
    </row>
    <row r="214" spans="1:12" s="20" customFormat="1" x14ac:dyDescent="0.3">
      <c r="A214" s="34"/>
      <c r="B214" s="35"/>
      <c r="C214" s="30" t="s">
        <v>23</v>
      </c>
      <c r="D214" s="36">
        <f>SUM(E214:K214)</f>
        <v>8704726.879999999</v>
      </c>
      <c r="E214" s="36">
        <f>E213</f>
        <v>9084726.879999999</v>
      </c>
      <c r="F214" s="36"/>
      <c r="G214" s="36">
        <f>G213</f>
        <v>-380000</v>
      </c>
      <c r="H214" s="36"/>
      <c r="I214" s="36"/>
      <c r="J214" s="36">
        <f>J213</f>
        <v>0</v>
      </c>
      <c r="K214" s="36"/>
      <c r="L214" s="72"/>
    </row>
    <row r="215" spans="1:12" s="20" customFormat="1" x14ac:dyDescent="0.3">
      <c r="A215" s="34"/>
      <c r="B215" s="35"/>
      <c r="C215" s="30" t="s">
        <v>257</v>
      </c>
      <c r="D215" s="36">
        <f>SUM(E215:K215)</f>
        <v>-9447021.0699999984</v>
      </c>
      <c r="E215" s="36"/>
      <c r="F215" s="36">
        <f>SUM(F216:F218)</f>
        <v>-9084726.879999999</v>
      </c>
      <c r="G215" s="36"/>
      <c r="H215" s="36">
        <f t="shared" ref="H215:K215" si="22">SUM(H216:H218)</f>
        <v>-362400</v>
      </c>
      <c r="I215" s="36">
        <f t="shared" si="22"/>
        <v>55.97</v>
      </c>
      <c r="J215" s="36"/>
      <c r="K215" s="36">
        <f t="shared" si="22"/>
        <v>49.84</v>
      </c>
      <c r="L215" s="72"/>
    </row>
    <row r="216" spans="1:12" s="20" customFormat="1" x14ac:dyDescent="0.3">
      <c r="A216" s="34"/>
      <c r="B216" s="35"/>
      <c r="C216" s="107" t="s">
        <v>256</v>
      </c>
      <c r="D216" s="36">
        <f t="shared" si="21"/>
        <v>-9084726.879999999</v>
      </c>
      <c r="E216" s="36"/>
      <c r="F216" s="36">
        <f>F213</f>
        <v>-9084726.879999999</v>
      </c>
      <c r="G216" s="36"/>
      <c r="H216" s="36"/>
      <c r="I216" s="36"/>
      <c r="J216" s="36"/>
      <c r="K216" s="36"/>
      <c r="L216" s="72"/>
    </row>
    <row r="217" spans="1:12" s="20" customFormat="1" x14ac:dyDescent="0.3">
      <c r="A217" s="34"/>
      <c r="B217" s="35"/>
      <c r="C217" s="107" t="s">
        <v>258</v>
      </c>
      <c r="D217" s="36">
        <f t="shared" si="21"/>
        <v>105.81</v>
      </c>
      <c r="E217" s="36"/>
      <c r="F217" s="36"/>
      <c r="G217" s="36"/>
      <c r="H217" s="36"/>
      <c r="I217" s="36">
        <f>I213</f>
        <v>55.97</v>
      </c>
      <c r="J217" s="36"/>
      <c r="K217" s="36">
        <f>K213</f>
        <v>49.84</v>
      </c>
      <c r="L217" s="72"/>
    </row>
    <row r="218" spans="1:12" s="20" customFormat="1" x14ac:dyDescent="0.3">
      <c r="A218" s="34"/>
      <c r="B218" s="35"/>
      <c r="C218" s="107" t="s">
        <v>267</v>
      </c>
      <c r="D218" s="36">
        <f t="shared" si="21"/>
        <v>-362400</v>
      </c>
      <c r="E218" s="36"/>
      <c r="F218" s="36"/>
      <c r="G218" s="36"/>
      <c r="H218" s="36">
        <f>H213</f>
        <v>-362400</v>
      </c>
      <c r="I218" s="36"/>
      <c r="J218" s="36"/>
      <c r="K218" s="36"/>
      <c r="L218" s="72"/>
    </row>
    <row r="219" spans="1:12" s="51" customFormat="1" ht="16.2" x14ac:dyDescent="0.35">
      <c r="A219" s="48"/>
      <c r="B219" s="49"/>
      <c r="C219" s="47" t="s">
        <v>40</v>
      </c>
      <c r="D219" s="50">
        <f t="shared" si="21"/>
        <v>-742294.19000000006</v>
      </c>
      <c r="E219" s="50">
        <f>E220+E221+E222</f>
        <v>9084726.879999999</v>
      </c>
      <c r="F219" s="50">
        <f t="shared" ref="F219:G219" si="23">F220+F221+F222</f>
        <v>-9084726.879999999</v>
      </c>
      <c r="G219" s="50">
        <f t="shared" si="23"/>
        <v>-380000</v>
      </c>
      <c r="H219" s="50">
        <f t="shared" ref="H219" si="24">H220+H221+H222</f>
        <v>-362400</v>
      </c>
      <c r="I219" s="50">
        <f t="shared" ref="I219" si="25">I220+I221+I222</f>
        <v>55.97</v>
      </c>
      <c r="J219" s="50">
        <f t="shared" ref="J219" si="26">J220+J221+J222</f>
        <v>0</v>
      </c>
      <c r="K219" s="50">
        <f t="shared" ref="K219" si="27">K220+K221+K222</f>
        <v>49.84</v>
      </c>
    </row>
    <row r="220" spans="1:12" s="77" customFormat="1" ht="31.2" x14ac:dyDescent="0.3">
      <c r="A220" s="73"/>
      <c r="B220" s="74"/>
      <c r="C220" s="75" t="s">
        <v>41</v>
      </c>
      <c r="D220" s="76">
        <f t="shared" si="21"/>
        <v>-362400</v>
      </c>
      <c r="E220" s="76">
        <f>E213</f>
        <v>9084726.879999999</v>
      </c>
      <c r="F220" s="76">
        <f>F213</f>
        <v>-9084726.879999999</v>
      </c>
      <c r="G220" s="76"/>
      <c r="H220" s="76">
        <f>H213</f>
        <v>-362400</v>
      </c>
      <c r="I220" s="76"/>
      <c r="J220" s="76">
        <f>J213</f>
        <v>0</v>
      </c>
      <c r="K220" s="76"/>
    </row>
    <row r="221" spans="1:12" s="77" customFormat="1" x14ac:dyDescent="0.3">
      <c r="A221" s="73"/>
      <c r="B221" s="74"/>
      <c r="C221" s="75" t="s">
        <v>259</v>
      </c>
      <c r="D221" s="76">
        <f t="shared" si="21"/>
        <v>105.81</v>
      </c>
      <c r="E221" s="76"/>
      <c r="F221" s="76"/>
      <c r="G221" s="76"/>
      <c r="H221" s="76"/>
      <c r="I221" s="76">
        <f>I213</f>
        <v>55.97</v>
      </c>
      <c r="J221" s="76"/>
      <c r="K221" s="76">
        <f>K213</f>
        <v>49.84</v>
      </c>
    </row>
    <row r="222" spans="1:12" s="77" customFormat="1" x14ac:dyDescent="0.3">
      <c r="A222" s="73"/>
      <c r="B222" s="74"/>
      <c r="C222" s="75" t="s">
        <v>65</v>
      </c>
      <c r="D222" s="76">
        <f t="shared" si="21"/>
        <v>-380000</v>
      </c>
      <c r="E222" s="76"/>
      <c r="F222" s="76"/>
      <c r="G222" s="76">
        <f>G213</f>
        <v>-380000</v>
      </c>
      <c r="H222" s="76"/>
      <c r="I222" s="76"/>
      <c r="J222" s="76"/>
      <c r="K222" s="76"/>
    </row>
    <row r="223" spans="1:12" s="15" customFormat="1" x14ac:dyDescent="0.3">
      <c r="A223" s="12"/>
      <c r="B223" s="88"/>
      <c r="C223" s="13" t="s">
        <v>21</v>
      </c>
      <c r="D223" s="22"/>
      <c r="E223" s="22"/>
      <c r="F223" s="90" t="s">
        <v>76</v>
      </c>
      <c r="G223" s="13"/>
      <c r="H223" s="13"/>
      <c r="I223" s="13"/>
      <c r="K223" s="13"/>
    </row>
    <row r="224" spans="1:12" s="15" customFormat="1" x14ac:dyDescent="0.3">
      <c r="A224" s="12"/>
      <c r="B224" s="3"/>
      <c r="C224" s="13"/>
      <c r="D224" s="16"/>
      <c r="E224" s="16"/>
      <c r="F224" s="16"/>
      <c r="G224" s="16"/>
      <c r="H224" s="16"/>
      <c r="I224" s="16"/>
      <c r="J224" s="22"/>
      <c r="K224" s="13"/>
    </row>
    <row r="225" spans="1:11" x14ac:dyDescent="0.3">
      <c r="C225" s="56"/>
      <c r="D225" s="4"/>
      <c r="E225" s="24"/>
      <c r="F225" s="24"/>
      <c r="G225" s="24"/>
      <c r="H225" s="24"/>
      <c r="I225" s="24"/>
      <c r="J225" s="21"/>
    </row>
    <row r="226" spans="1:11" x14ac:dyDescent="0.3">
      <c r="D226" s="4"/>
      <c r="E226" s="24"/>
      <c r="F226" s="24"/>
      <c r="G226" s="24"/>
      <c r="H226" s="24"/>
      <c r="I226" s="24"/>
      <c r="J226" s="21"/>
    </row>
    <row r="227" spans="1:11" ht="17.399999999999999" x14ac:dyDescent="0.3">
      <c r="D227" s="4"/>
      <c r="E227" s="24"/>
      <c r="F227" s="27"/>
      <c r="G227" s="27"/>
      <c r="H227" s="27"/>
      <c r="I227" s="27"/>
      <c r="J227" s="26"/>
    </row>
    <row r="228" spans="1:11" x14ac:dyDescent="0.3">
      <c r="D228" s="4"/>
      <c r="E228" s="24"/>
      <c r="F228" s="24"/>
      <c r="G228" s="24"/>
      <c r="H228" s="24"/>
      <c r="I228" s="24"/>
    </row>
    <row r="229" spans="1:11" x14ac:dyDescent="0.3">
      <c r="D229" s="4"/>
      <c r="E229" s="9"/>
      <c r="F229" s="24"/>
      <c r="G229" s="24"/>
      <c r="H229" s="24"/>
      <c r="I229" s="24"/>
    </row>
    <row r="230" spans="1:11" x14ac:dyDescent="0.3">
      <c r="D230" s="4"/>
      <c r="E230" s="9"/>
      <c r="F230" s="24"/>
      <c r="G230" s="24"/>
      <c r="H230" s="24"/>
      <c r="I230" s="24"/>
    </row>
    <row r="231" spans="1:11" x14ac:dyDescent="0.3">
      <c r="D231" s="4"/>
      <c r="E231" s="24"/>
      <c r="F231" s="24"/>
      <c r="G231" s="24"/>
      <c r="H231" s="24"/>
      <c r="I231" s="24"/>
    </row>
    <row r="232" spans="1:11" x14ac:dyDescent="0.3">
      <c r="D232" s="4"/>
      <c r="E232" s="24"/>
      <c r="F232" s="24"/>
      <c r="G232" s="24"/>
      <c r="H232" s="24"/>
      <c r="I232" s="24"/>
    </row>
    <row r="233" spans="1:11" x14ac:dyDescent="0.3">
      <c r="D233" s="4"/>
      <c r="E233" s="24"/>
      <c r="F233" s="24"/>
      <c r="G233" s="24"/>
      <c r="H233" s="24"/>
      <c r="I233" s="24"/>
    </row>
    <row r="234" spans="1:11" s="15" customFormat="1" x14ac:dyDescent="0.3">
      <c r="A234" s="12"/>
      <c r="B234" s="3"/>
      <c r="C234" s="13"/>
      <c r="D234" s="14"/>
      <c r="E234" s="14"/>
      <c r="F234" s="14"/>
      <c r="G234" s="14"/>
      <c r="H234" s="14"/>
      <c r="I234" s="14"/>
      <c r="J234" s="13"/>
      <c r="K234" s="13"/>
    </row>
    <row r="235" spans="1:11" x14ac:dyDescent="0.3">
      <c r="D235" s="4"/>
      <c r="E235" s="24"/>
      <c r="F235" s="24"/>
      <c r="G235" s="24"/>
      <c r="H235" s="24"/>
      <c r="I235" s="24"/>
      <c r="K235" s="13"/>
    </row>
    <row r="236" spans="1:11" x14ac:dyDescent="0.3">
      <c r="D236" s="4"/>
      <c r="E236" s="24"/>
      <c r="F236" s="24"/>
      <c r="G236" s="24"/>
      <c r="H236" s="24"/>
      <c r="I236" s="24"/>
    </row>
    <row r="237" spans="1:11" s="15" customFormat="1" x14ac:dyDescent="0.3">
      <c r="A237" s="12"/>
      <c r="B237" s="3"/>
      <c r="C237" s="13"/>
      <c r="D237" s="14"/>
      <c r="E237" s="14"/>
      <c r="F237" s="14"/>
      <c r="G237" s="14"/>
      <c r="H237" s="14"/>
      <c r="I237" s="14"/>
      <c r="J237" s="13"/>
      <c r="K237" s="13"/>
    </row>
    <row r="238" spans="1:11" x14ac:dyDescent="0.3">
      <c r="D238" s="4"/>
      <c r="E238" s="24"/>
      <c r="F238" s="24"/>
      <c r="G238" s="24"/>
      <c r="H238" s="24"/>
      <c r="I238" s="24"/>
    </row>
    <row r="239" spans="1:11" x14ac:dyDescent="0.3">
      <c r="D239" s="23"/>
      <c r="E239" s="24"/>
      <c r="F239" s="24"/>
      <c r="G239" s="24"/>
      <c r="H239" s="24"/>
      <c r="I239" s="24"/>
    </row>
    <row r="240" spans="1:11" x14ac:dyDescent="0.3">
      <c r="D240" s="4"/>
      <c r="E240" s="24"/>
      <c r="F240" s="24"/>
      <c r="G240" s="24"/>
      <c r="H240" s="24"/>
      <c r="I240" s="24"/>
    </row>
    <row r="241" spans="1:11" x14ac:dyDescent="0.3">
      <c r="D241" s="4"/>
      <c r="E241" s="9"/>
      <c r="F241" s="9"/>
      <c r="G241" s="9"/>
      <c r="H241" s="9"/>
      <c r="I241" s="9"/>
    </row>
    <row r="242" spans="1:11" s="15" customFormat="1" x14ac:dyDescent="0.3">
      <c r="A242" s="12"/>
      <c r="B242" s="3"/>
      <c r="C242" s="13"/>
      <c r="D242" s="14"/>
      <c r="E242" s="14"/>
      <c r="F242" s="14"/>
      <c r="G242" s="14"/>
      <c r="H242" s="14"/>
      <c r="I242" s="14"/>
      <c r="J242" s="13"/>
      <c r="K242" s="13"/>
    </row>
    <row r="244" spans="1:11" x14ac:dyDescent="0.3">
      <c r="E244" s="21"/>
    </row>
  </sheetData>
  <mergeCells count="25">
    <mergeCell ref="B131:B135"/>
    <mergeCell ref="B154:B155"/>
    <mergeCell ref="B151:B152"/>
    <mergeCell ref="G4:I4"/>
    <mergeCell ref="B87:B93"/>
    <mergeCell ref="B97:B104"/>
    <mergeCell ref="B106:B109"/>
    <mergeCell ref="B111:B116"/>
    <mergeCell ref="B122:B127"/>
    <mergeCell ref="B11:B12"/>
    <mergeCell ref="B158:B159"/>
    <mergeCell ref="A2:K2"/>
    <mergeCell ref="E4:F4"/>
    <mergeCell ref="A4:A5"/>
    <mergeCell ref="B4:B5"/>
    <mergeCell ref="C4:C5"/>
    <mergeCell ref="D4:D5"/>
    <mergeCell ref="J4:K4"/>
    <mergeCell ref="B21:B23"/>
    <mergeCell ref="B17:B19"/>
    <mergeCell ref="B34:B35"/>
    <mergeCell ref="B40:B44"/>
    <mergeCell ref="B46:B56"/>
    <mergeCell ref="B58:B69"/>
    <mergeCell ref="B71:B80"/>
  </mergeCells>
  <pageMargins left="0.31496062992125984" right="0.31496062992125984" top="0.15748031496062992" bottom="0.15748031496062992" header="0.15748031496062992" footer="0.15748031496062992"/>
  <pageSetup paperSize="9" scale="63" fitToHeight="16" orientation="landscape" r:id="rId1"/>
  <headerFooter differentFirst="1">
    <oddHeader>&amp;C&amp;P</oddHeader>
  </headerFooter>
  <rowBreaks count="3" manualBreakCount="3">
    <brk id="37" max="12" man="1"/>
    <brk id="109" max="12" man="1"/>
    <brk id="20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220FU6</cp:lastModifiedBy>
  <cp:lastPrinted>2025-12-02T09:51:18Z</cp:lastPrinted>
  <dcterms:created xsi:type="dcterms:W3CDTF">2025-01-06T19:58:35Z</dcterms:created>
  <dcterms:modified xsi:type="dcterms:W3CDTF">2025-12-02T13:04:09Z</dcterms:modified>
</cp:coreProperties>
</file>