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108" yWindow="-108" windowWidth="23256" windowHeight="12576"/>
  </bookViews>
  <sheets>
    <sheet name="2025" sheetId="11" r:id="rId1"/>
  </sheets>
  <definedNames>
    <definedName name="_xlnm._FilterDatabase" localSheetId="0" hidden="1">'2025'!$A$6:$K$201</definedName>
    <definedName name="_xlnm.Print_Titles" localSheetId="0">'2025'!$12:$14</definedName>
    <definedName name="_xlnm.Print_Area" localSheetId="0">'2025'!$A$1:$K$204</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2" i="11" l="1"/>
  <c r="J42" i="11"/>
  <c r="K41" i="11"/>
  <c r="J41" i="11"/>
  <c r="K142" i="11" l="1"/>
  <c r="J142" i="11"/>
  <c r="I202" i="11"/>
  <c r="H198" i="11"/>
  <c r="K198" i="11"/>
  <c r="J198" i="11"/>
  <c r="I148" i="11"/>
  <c r="H146" i="11"/>
  <c r="I32" i="11" l="1"/>
  <c r="I18" i="11"/>
  <c r="I78" i="11" l="1"/>
  <c r="I77" i="11"/>
  <c r="I66" i="11" l="1"/>
  <c r="I65" i="11"/>
  <c r="H122" i="11" l="1"/>
  <c r="J121" i="11"/>
  <c r="K121" i="11"/>
  <c r="I153" i="11"/>
  <c r="I138" i="11"/>
  <c r="K137" i="11"/>
  <c r="J137" i="11"/>
  <c r="I127" i="11"/>
  <c r="I126" i="11"/>
  <c r="J124" i="11"/>
  <c r="K120" i="11"/>
  <c r="J120" i="11"/>
  <c r="I120" i="11"/>
  <c r="I118" i="11"/>
  <c r="K115" i="11"/>
  <c r="J115" i="11"/>
  <c r="K114" i="11"/>
  <c r="J114" i="11"/>
  <c r="I114" i="11"/>
  <c r="K110" i="11"/>
  <c r="J110" i="11"/>
  <c r="I110" i="11"/>
  <c r="K108" i="11"/>
  <c r="J108" i="11"/>
  <c r="I84" i="11"/>
  <c r="I76" i="11"/>
  <c r="I74" i="11"/>
  <c r="I73" i="11"/>
  <c r="I71" i="11"/>
  <c r="K62" i="11"/>
  <c r="J62" i="11"/>
  <c r="I62" i="11"/>
  <c r="I61" i="11"/>
  <c r="K60" i="11"/>
  <c r="J60" i="11"/>
  <c r="I60" i="11"/>
  <c r="I59" i="11"/>
  <c r="K53" i="11"/>
  <c r="J53" i="11"/>
  <c r="I48" i="11"/>
  <c r="K47" i="11"/>
  <c r="J47" i="11"/>
  <c r="I46" i="11"/>
  <c r="K45" i="11"/>
  <c r="J45" i="11"/>
  <c r="I45" i="11"/>
  <c r="I41" i="11"/>
  <c r="J37" i="11"/>
  <c r="I33" i="11"/>
  <c r="K29" i="11"/>
  <c r="J29" i="11"/>
  <c r="I29" i="11"/>
  <c r="I20" i="11"/>
  <c r="I19" i="11"/>
  <c r="I131" i="11" l="1"/>
  <c r="H139" i="11"/>
  <c r="I34" i="11" l="1"/>
  <c r="I35" i="11"/>
  <c r="J125" i="11" l="1"/>
  <c r="K19" i="11" l="1"/>
  <c r="J19" i="11"/>
  <c r="K18" i="11" l="1"/>
  <c r="J18" i="11"/>
  <c r="K159" i="11"/>
  <c r="J159" i="11"/>
  <c r="I159" i="11"/>
  <c r="I144" i="11"/>
  <c r="K135" i="11"/>
  <c r="K190" i="11" s="1"/>
  <c r="J135" i="11"/>
  <c r="J190" i="11" s="1"/>
  <c r="K132" i="11"/>
  <c r="J132" i="11"/>
  <c r="K123" i="11" l="1"/>
  <c r="J123" i="11"/>
  <c r="I109" i="11"/>
  <c r="I92" i="11"/>
  <c r="H47" i="11"/>
  <c r="I36" i="11" l="1"/>
  <c r="K28" i="11"/>
  <c r="J28" i="11"/>
  <c r="I25" i="11"/>
  <c r="K17" i="11" l="1"/>
  <c r="J17" i="11"/>
  <c r="I17" i="11" l="1"/>
  <c r="I151" i="11" l="1"/>
  <c r="K111" i="11" l="1"/>
  <c r="J111" i="11"/>
  <c r="J129" i="11" l="1"/>
  <c r="H125" i="11"/>
  <c r="K107" i="11"/>
  <c r="J107" i="11"/>
  <c r="I102" i="11"/>
  <c r="I100" i="11"/>
  <c r="I98" i="11"/>
  <c r="I57" i="11"/>
  <c r="H56" i="11"/>
  <c r="J55" i="11"/>
  <c r="K34" i="11"/>
  <c r="J34" i="11"/>
  <c r="I21" i="11"/>
  <c r="H55" i="11" l="1"/>
  <c r="H52" i="11"/>
  <c r="H54" i="11"/>
  <c r="I89" i="11" l="1"/>
  <c r="H51" i="11" l="1"/>
  <c r="I200" i="11"/>
  <c r="J200" i="11"/>
  <c r="K200" i="11"/>
  <c r="H163" i="11"/>
  <c r="H200" i="11" s="1"/>
  <c r="I155" i="11"/>
  <c r="I147" i="11"/>
  <c r="K127" i="11"/>
  <c r="J127" i="11"/>
  <c r="I117" i="11"/>
  <c r="I171" i="11" s="1"/>
  <c r="K116" i="11"/>
  <c r="J116" i="11"/>
  <c r="I113" i="11"/>
  <c r="J178" i="11"/>
  <c r="K178" i="11"/>
  <c r="J95" i="11"/>
  <c r="J94" i="11" s="1"/>
  <c r="K95" i="11"/>
  <c r="K94" i="11" s="1"/>
  <c r="H103" i="11"/>
  <c r="K50" i="11"/>
  <c r="J50" i="11"/>
  <c r="K46" i="11"/>
  <c r="J46" i="11"/>
  <c r="I70" i="11"/>
  <c r="H157" i="11" l="1"/>
  <c r="K140" i="11" l="1"/>
  <c r="J140" i="11"/>
  <c r="K184" i="11"/>
  <c r="J184" i="11"/>
  <c r="H184" i="11" s="1"/>
  <c r="H129" i="11"/>
  <c r="H109" i="11"/>
  <c r="I97" i="11" l="1"/>
  <c r="I87" i="11"/>
  <c r="K170" i="11" l="1"/>
  <c r="J170" i="11"/>
  <c r="J31" i="11"/>
  <c r="I23" i="11"/>
  <c r="H101" i="11" l="1"/>
  <c r="J199" i="11" l="1"/>
  <c r="K199" i="11"/>
  <c r="I199" i="11"/>
  <c r="H156" i="11"/>
  <c r="H199" i="11" s="1"/>
  <c r="I49" i="11" l="1"/>
  <c r="I170" i="11" s="1"/>
  <c r="K134" i="11" l="1"/>
  <c r="J134" i="11"/>
  <c r="K133" i="11"/>
  <c r="K171" i="11" s="1"/>
  <c r="J133" i="11"/>
  <c r="J171" i="11" s="1"/>
  <c r="I72" i="11"/>
  <c r="H31" i="11"/>
  <c r="I108" i="11" l="1"/>
  <c r="I190" i="11" s="1"/>
  <c r="K91" i="11"/>
  <c r="K86" i="11" s="1"/>
  <c r="J91" i="11"/>
  <c r="J86" i="11" s="1"/>
  <c r="H26" i="11" l="1"/>
  <c r="H22" i="11"/>
  <c r="I106" i="11" l="1"/>
  <c r="J167" i="11" l="1"/>
  <c r="K167" i="11"/>
  <c r="H24" i="11"/>
  <c r="K160" i="11" l="1"/>
  <c r="K150" i="11" s="1"/>
  <c r="J160" i="11"/>
  <c r="J150" i="11" s="1"/>
  <c r="I160" i="11"/>
  <c r="J181" i="11"/>
  <c r="I181" i="11"/>
  <c r="K181" i="11"/>
  <c r="H121" i="11"/>
  <c r="H116" i="11"/>
  <c r="I99" i="11"/>
  <c r="I178" i="11" s="1"/>
  <c r="I93" i="11"/>
  <c r="I79" i="11"/>
  <c r="H53" i="11"/>
  <c r="K27" i="11"/>
  <c r="J27" i="11"/>
  <c r="I167" i="11"/>
  <c r="I69" i="11" l="1"/>
  <c r="H155" i="11" l="1"/>
  <c r="H99" i="11"/>
  <c r="I105" i="11" l="1"/>
  <c r="H25" i="11"/>
  <c r="I169" i="11"/>
  <c r="I198" i="11"/>
  <c r="H118" i="11"/>
  <c r="H144" i="11"/>
  <c r="I195" i="11"/>
  <c r="J195" i="11"/>
  <c r="K195" i="11"/>
  <c r="H27" i="11"/>
  <c r="H28" i="11"/>
  <c r="H195" i="11" l="1"/>
  <c r="H68" i="11" l="1"/>
  <c r="J64" i="11" l="1"/>
  <c r="K64" i="11"/>
  <c r="I197" i="11"/>
  <c r="J197" i="11"/>
  <c r="K197" i="11"/>
  <c r="I196" i="11"/>
  <c r="J196" i="11"/>
  <c r="K196" i="11"/>
  <c r="H161" i="11"/>
  <c r="H196" i="11" s="1"/>
  <c r="H162" i="11"/>
  <c r="H197" i="11" s="1"/>
  <c r="H158" i="11"/>
  <c r="I145" i="11"/>
  <c r="I173" i="11"/>
  <c r="J173" i="11"/>
  <c r="K173" i="11"/>
  <c r="H134" i="11"/>
  <c r="K128" i="11"/>
  <c r="K105" i="11" s="1"/>
  <c r="J128" i="11"/>
  <c r="H115" i="11"/>
  <c r="I96" i="11"/>
  <c r="I95" i="11" s="1"/>
  <c r="I90" i="11"/>
  <c r="H60" i="11"/>
  <c r="H48" i="11"/>
  <c r="H49" i="11"/>
  <c r="H46" i="11"/>
  <c r="K36" i="11"/>
  <c r="J36" i="11"/>
  <c r="I188" i="11"/>
  <c r="H128" i="11" l="1"/>
  <c r="J105" i="11"/>
  <c r="I86" i="11"/>
  <c r="K188" i="11"/>
  <c r="J188" i="11"/>
  <c r="I39" i="11"/>
  <c r="I64" i="11" l="1"/>
  <c r="H111" i="11"/>
  <c r="J186" i="11" l="1"/>
  <c r="K186" i="11"/>
  <c r="I152" i="11"/>
  <c r="I150" i="11" s="1"/>
  <c r="I130" i="11"/>
  <c r="H140" i="11"/>
  <c r="H137" i="11"/>
  <c r="H173" i="11" s="1"/>
  <c r="H136" i="11"/>
  <c r="H133" i="11"/>
  <c r="K131" i="11" l="1"/>
  <c r="K130" i="11" s="1"/>
  <c r="H135" i="11"/>
  <c r="J131" i="11"/>
  <c r="J130" i="11" s="1"/>
  <c r="H132" i="11"/>
  <c r="I185" i="11"/>
  <c r="J185" i="11"/>
  <c r="K185" i="11"/>
  <c r="I189" i="11"/>
  <c r="J189" i="11"/>
  <c r="K189" i="11"/>
  <c r="H124" i="11"/>
  <c r="H123" i="11"/>
  <c r="H117" i="11"/>
  <c r="H112" i="11"/>
  <c r="H185" i="11" s="1"/>
  <c r="H107" i="11"/>
  <c r="H108" i="11"/>
  <c r="H50" i="11"/>
  <c r="H41" i="11"/>
  <c r="H36" i="11"/>
  <c r="K30" i="11"/>
  <c r="K169" i="11" s="1"/>
  <c r="J30" i="11"/>
  <c r="J169" i="11" s="1"/>
  <c r="I194" i="11"/>
  <c r="J194" i="11"/>
  <c r="K194" i="11"/>
  <c r="H159" i="11"/>
  <c r="H160" i="11"/>
  <c r="H194" i="11" s="1"/>
  <c r="H181" i="11" l="1"/>
  <c r="K16" i="11"/>
  <c r="J16" i="11"/>
  <c r="H30" i="11" l="1"/>
  <c r="I183" i="11" l="1"/>
  <c r="I165" i="11"/>
  <c r="I175" i="11"/>
  <c r="H72" i="11"/>
  <c r="J176" i="11"/>
  <c r="I182" i="11"/>
  <c r="I193" i="11"/>
  <c r="I187" i="11"/>
  <c r="I186" i="11"/>
  <c r="H186" i="11" s="1"/>
  <c r="H35" i="11" l="1"/>
  <c r="H62" i="11" l="1"/>
  <c r="K176" i="11"/>
  <c r="J191" i="11" l="1"/>
  <c r="K191" i="11"/>
  <c r="I191" i="11" l="1"/>
  <c r="I16" i="11"/>
  <c r="H21" i="11"/>
  <c r="H191" i="11" s="1"/>
  <c r="H32" i="11"/>
  <c r="I176" i="11" l="1"/>
  <c r="H79" i="11"/>
  <c r="H61" i="11"/>
  <c r="H29" i="11"/>
  <c r="K177" i="11"/>
  <c r="J177" i="11"/>
  <c r="I177" i="11"/>
  <c r="I82" i="11"/>
  <c r="I81" i="11" s="1"/>
  <c r="H84" i="11"/>
  <c r="H83" i="11"/>
  <c r="H187" i="11" s="1"/>
  <c r="H93" i="11"/>
  <c r="H92" i="11"/>
  <c r="H102" i="11" l="1"/>
  <c r="H151" i="11"/>
  <c r="H138" i="11"/>
  <c r="H131" i="11" s="1"/>
  <c r="I142" i="11"/>
  <c r="H145" i="11"/>
  <c r="H143" i="11"/>
  <c r="H182" i="11" l="1"/>
  <c r="H130" i="11"/>
  <c r="H120" i="11" l="1"/>
  <c r="H106" i="11"/>
  <c r="H183" i="11" l="1"/>
  <c r="H77" i="11"/>
  <c r="I168" i="11" l="1"/>
  <c r="J168" i="11"/>
  <c r="K168" i="11"/>
  <c r="H87" i="11" l="1"/>
  <c r="H89" i="11" l="1"/>
  <c r="H90" i="11"/>
  <c r="H91" i="11"/>
  <c r="H176" i="11" l="1"/>
  <c r="J193" i="11"/>
  <c r="K193" i="11"/>
  <c r="J175" i="11"/>
  <c r="K175" i="11"/>
  <c r="I172" i="11"/>
  <c r="J172" i="11"/>
  <c r="K172" i="11"/>
  <c r="I166" i="11"/>
  <c r="J166" i="11"/>
  <c r="K166" i="11"/>
  <c r="J81" i="11"/>
  <c r="K81" i="11"/>
  <c r="J39" i="11" l="1"/>
  <c r="K39" i="11"/>
  <c r="H45" i="11"/>
  <c r="H152" i="11" l="1"/>
  <c r="I80" i="11" l="1"/>
  <c r="J80" i="11"/>
  <c r="K80" i="11"/>
  <c r="H82" i="11"/>
  <c r="H81" i="11" s="1"/>
  <c r="H80" i="11" l="1"/>
  <c r="J182" i="11" l="1"/>
  <c r="K192" i="11"/>
  <c r="J192" i="11"/>
  <c r="I192" i="11"/>
  <c r="K180" i="11"/>
  <c r="J180" i="11"/>
  <c r="K179" i="11"/>
  <c r="J179" i="11"/>
  <c r="J201" i="11" s="1"/>
  <c r="I179" i="11"/>
  <c r="I174" i="11"/>
  <c r="H154" i="11"/>
  <c r="H193" i="11" s="1"/>
  <c r="H153" i="11"/>
  <c r="H150" i="11" s="1"/>
  <c r="H148" i="11"/>
  <c r="H188" i="11" s="1"/>
  <c r="K141" i="11"/>
  <c r="H126" i="11"/>
  <c r="H119" i="11"/>
  <c r="H113" i="11"/>
  <c r="H100" i="11"/>
  <c r="H98" i="11"/>
  <c r="H97" i="11"/>
  <c r="H96" i="11"/>
  <c r="H88" i="11"/>
  <c r="H86" i="11" s="1"/>
  <c r="K85" i="11"/>
  <c r="H78" i="11"/>
  <c r="H76" i="11"/>
  <c r="H75" i="11"/>
  <c r="H74" i="11"/>
  <c r="H71" i="11"/>
  <c r="H69" i="11"/>
  <c r="H70" i="11"/>
  <c r="H67" i="11"/>
  <c r="H65" i="11"/>
  <c r="H66" i="11"/>
  <c r="K63" i="11"/>
  <c r="H58" i="11"/>
  <c r="H165" i="11" s="1"/>
  <c r="H57" i="11"/>
  <c r="H44" i="11"/>
  <c r="H179" i="11" s="1"/>
  <c r="H43" i="11"/>
  <c r="H174" i="11" s="1"/>
  <c r="H40" i="11"/>
  <c r="K38" i="11"/>
  <c r="H37" i="11"/>
  <c r="I180" i="11"/>
  <c r="H23" i="11"/>
  <c r="H20" i="11"/>
  <c r="H19" i="11"/>
  <c r="K201" i="11" l="1"/>
  <c r="H178" i="11"/>
  <c r="I201" i="11"/>
  <c r="H201" i="11" s="1"/>
  <c r="H95" i="11"/>
  <c r="H94" i="11" s="1"/>
  <c r="H167" i="11"/>
  <c r="H177" i="11"/>
  <c r="H175" i="11"/>
  <c r="H192" i="11"/>
  <c r="K15" i="11"/>
  <c r="H110" i="11"/>
  <c r="K104" i="11"/>
  <c r="H33" i="11"/>
  <c r="H172" i="11" s="1"/>
  <c r="I15" i="11"/>
  <c r="J149" i="11"/>
  <c r="H73" i="11"/>
  <c r="H64" i="11" s="1"/>
  <c r="K149" i="11"/>
  <c r="H147" i="11"/>
  <c r="J63" i="11"/>
  <c r="H85" i="11"/>
  <c r="I104" i="11"/>
  <c r="H42" i="11"/>
  <c r="H170" i="11" s="1"/>
  <c r="H59" i="11"/>
  <c r="J85" i="11"/>
  <c r="J38" i="11"/>
  <c r="H34" i="11"/>
  <c r="H180" i="11" s="1"/>
  <c r="H127" i="11"/>
  <c r="H171" i="11" s="1"/>
  <c r="J141" i="11"/>
  <c r="I63" i="11"/>
  <c r="I38" i="11"/>
  <c r="I141" i="11"/>
  <c r="I85" i="11"/>
  <c r="H17" i="11"/>
  <c r="I94" i="11"/>
  <c r="J164" i="11" l="1"/>
  <c r="J202" i="11" s="1"/>
  <c r="H39" i="11"/>
  <c r="H38" i="11" s="1"/>
  <c r="H189" i="11"/>
  <c r="H142" i="11"/>
  <c r="H141" i="11" s="1"/>
  <c r="K164" i="11"/>
  <c r="K202" i="11" s="1"/>
  <c r="H168" i="11"/>
  <c r="H166" i="11"/>
  <c r="J15" i="11"/>
  <c r="H18" i="11"/>
  <c r="H114" i="11"/>
  <c r="H190" i="11" s="1"/>
  <c r="J104" i="11"/>
  <c r="H63" i="11"/>
  <c r="H105" i="11" l="1"/>
  <c r="H104" i="11" s="1"/>
  <c r="H16" i="11"/>
  <c r="H15" i="11" s="1"/>
  <c r="H169" i="11"/>
  <c r="I149" i="11" l="1"/>
  <c r="I164" i="11" s="1"/>
  <c r="H149" i="11"/>
  <c r="H164" i="11" s="1"/>
  <c r="H202" i="11" s="1"/>
</calcChain>
</file>

<file path=xl/sharedStrings.xml><?xml version="1.0" encoding="utf-8"?>
<sst xmlns="http://schemas.openxmlformats.org/spreadsheetml/2006/main" count="855" uniqueCount="395">
  <si>
    <t>Усього</t>
  </si>
  <si>
    <t>Загальний фонд</t>
  </si>
  <si>
    <t>Спеціальний фонд</t>
  </si>
  <si>
    <t>усього</t>
  </si>
  <si>
    <t>у тому числі бюджет розвитку</t>
  </si>
  <si>
    <t>0600000</t>
  </si>
  <si>
    <t>0610000</t>
  </si>
  <si>
    <t>0611010</t>
  </si>
  <si>
    <t>Надання дошкільної освіти</t>
  </si>
  <si>
    <t>Код Функціональної класифікації видатків та кредитування бюджету</t>
  </si>
  <si>
    <t>0200000</t>
  </si>
  <si>
    <t>0210000</t>
  </si>
  <si>
    <t>1200000</t>
  </si>
  <si>
    <t>1210000</t>
  </si>
  <si>
    <t xml:space="preserve">Інші заходи у сфері соціального захисту і соціального забезпечення </t>
  </si>
  <si>
    <t>0910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</si>
  <si>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</si>
  <si>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0800000</t>
  </si>
  <si>
    <t>0810000</t>
  </si>
  <si>
    <t>1216030</t>
  </si>
  <si>
    <t>0620</t>
  </si>
  <si>
    <t>0490</t>
  </si>
  <si>
    <t>1100000</t>
  </si>
  <si>
    <t>1110000</t>
  </si>
  <si>
    <t>0613242</t>
  </si>
  <si>
    <t>0813121</t>
  </si>
  <si>
    <t>3140</t>
  </si>
  <si>
    <t>1040</t>
  </si>
  <si>
    <t>Міська програма соціального захисту ветеранів педагогічної праці</t>
  </si>
  <si>
    <t>1010</t>
  </si>
  <si>
    <t>Організація благоустрою  населених пунктів</t>
  </si>
  <si>
    <t>1216017</t>
  </si>
  <si>
    <t>0456</t>
  </si>
  <si>
    <t>Утримання та розвиток автомобільних доріг та дорожньої інфраструктури за рахунок коштів місцевого бюджету</t>
  </si>
  <si>
    <t>7693</t>
  </si>
  <si>
    <t>1115061</t>
  </si>
  <si>
    <t>5061</t>
  </si>
  <si>
    <t>0810</t>
  </si>
  <si>
    <t>3100000</t>
  </si>
  <si>
    <t>3110000</t>
  </si>
  <si>
    <t>3117693</t>
  </si>
  <si>
    <t>1113133</t>
  </si>
  <si>
    <t>3133</t>
  </si>
  <si>
    <t>Інші заходи та заклади молодіжної політики</t>
  </si>
  <si>
    <t>0921</t>
  </si>
  <si>
    <t>(грн)</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</si>
  <si>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</si>
  <si>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</si>
  <si>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Найменування міської програми</t>
  </si>
  <si>
    <t>Найменування головного розпорядника коштів міського бюджету /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</si>
  <si>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Дата і номер документа, яким затверджено міську програму</t>
  </si>
  <si>
    <t>Інші заходи, пов'язані в економічною діяльністю</t>
  </si>
  <si>
    <t>3121</t>
  </si>
  <si>
    <t>6030</t>
  </si>
  <si>
    <t>6017</t>
  </si>
  <si>
    <t>Інша діяльність, пов'язана з експлуатацією об'єктів житлово - комунального господарства</t>
  </si>
  <si>
    <t>7461</t>
  </si>
  <si>
    <t xml:space="preserve">до рішення </t>
  </si>
  <si>
    <t>Чорноморської міської ради</t>
  </si>
  <si>
    <t>Надання загальної середньої освіти закладами загальної середньої освіти</t>
  </si>
  <si>
    <t>0611021</t>
  </si>
  <si>
    <t>1021</t>
  </si>
  <si>
    <t xml:space="preserve">Утримання та забезпечення діяльності центрів соціальних служб </t>
  </si>
  <si>
    <t>Забезпечення діяльності місцевих центрів фізичного здоров'я населення "Спорт для всіх" та проведення фізкультурно-масових заходів серед населення регіону</t>
  </si>
  <si>
    <t>0212010</t>
  </si>
  <si>
    <t>2010</t>
  </si>
  <si>
    <t>0731</t>
  </si>
  <si>
    <t>Багатопрофільна стаціонарна медична допомога населенню</t>
  </si>
  <si>
    <t>0212100</t>
  </si>
  <si>
    <t>2100</t>
  </si>
  <si>
    <t>0722</t>
  </si>
  <si>
    <t>Стоматологічна допомога населенню</t>
  </si>
  <si>
    <t>0212152</t>
  </si>
  <si>
    <t>2152</t>
  </si>
  <si>
    <t>0763</t>
  </si>
  <si>
    <t>Інші програми та заходи у сфері охорони здоров’я</t>
  </si>
  <si>
    <t>3112</t>
  </si>
  <si>
    <t>Заходи державної політики з питань дітей та їх соціального захисту</t>
  </si>
  <si>
    <t>Міська цільова програма соціального  захисту та надання соціальних послуг населенню Чорноморської міської територіальної громади на 2021-2025 роки</t>
  </si>
  <si>
    <t>0213242</t>
  </si>
  <si>
    <t>3242</t>
  </si>
  <si>
    <t>1090</t>
  </si>
  <si>
    <t>Інші заходи у сфері соціального захисту і соціального забезпечення</t>
  </si>
  <si>
    <t>0218230</t>
  </si>
  <si>
    <t>8230</t>
  </si>
  <si>
    <t>0380</t>
  </si>
  <si>
    <t>Інші заходи громадського порядку та безпеки</t>
  </si>
  <si>
    <t>0218340</t>
  </si>
  <si>
    <t>8340</t>
  </si>
  <si>
    <t>0540</t>
  </si>
  <si>
    <t>Природоохоронні заходи за рахунок цільових фондів</t>
  </si>
  <si>
    <t>0813031</t>
  </si>
  <si>
    <t>3031</t>
  </si>
  <si>
    <t>1030</t>
  </si>
  <si>
    <t>Надання інших пільг окремим категоріям громадян відповідно до законодавства</t>
  </si>
  <si>
    <t>Міська програма підтримки населення Чорноморської міської територіальної громади, які підпадають під дію Закону України "Про статус ветеранів війни, гарантії їх соціального захисту" на 2021 – 2025 роки</t>
  </si>
  <si>
    <t xml:space="preserve"> 24.12.2020р.
№ 15-VIII </t>
  </si>
  <si>
    <t>0813032</t>
  </si>
  <si>
    <t>3032</t>
  </si>
  <si>
    <t>Надання пільг окремим категоріям громадян з оплати послуг зв'язку</t>
  </si>
  <si>
    <t>0813160</t>
  </si>
  <si>
    <t>3160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</si>
  <si>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</si>
  <si>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0813180</t>
  </si>
  <si>
    <t>3180</t>
  </si>
  <si>
    <t>1060</t>
  </si>
  <si>
    <t xml:space="preserve">Надання пільг населенню (крім ветеранів війни і праці, військової служби, органів внутрішніх справ та громадян, які постраждали внаслідок Чорнобильської катастрофи) на оплату житлово-комунальних послуг </t>
  </si>
  <si>
    <t>0813192</t>
  </si>
  <si>
    <t>3192</t>
  </si>
  <si>
    <t>Надання фінансової підтримки громадським об'єднанням ветеранів і осіб з інвалідністю, діяльність яких має соціальну спрямованість</t>
  </si>
  <si>
    <t>0813242</t>
  </si>
  <si>
    <t>0813123</t>
  </si>
  <si>
    <t>3123</t>
  </si>
  <si>
    <t>Заходи державної політики з питань сім'ї</t>
  </si>
  <si>
    <t>1115011</t>
  </si>
  <si>
    <t>5011</t>
  </si>
  <si>
    <t>Проведення навчально-тренувальних зборів і змагань з олімпійських видів спорту</t>
  </si>
  <si>
    <t>5012</t>
  </si>
  <si>
    <t>1115012</t>
  </si>
  <si>
    <t>Проведення навчально-тренувальних зборів і змагань з неолімпійських видів спорту</t>
  </si>
  <si>
    <t>1216015</t>
  </si>
  <si>
    <t>6015</t>
  </si>
  <si>
    <t>Забезпечення надійної та безперебійної експлуатації ліфтів</t>
  </si>
  <si>
    <t>Міська цільова програма розвитку освіти міста Чорноморська на 2021-2025 роки</t>
  </si>
  <si>
    <t>0611022</t>
  </si>
  <si>
    <t>1022</t>
  </si>
  <si>
    <t>0922</t>
  </si>
  <si>
    <t>Надання загальної середньої освіти спеціальними закладами загальної середньої освіти для дітей, які потребують корекції фізичного та/або розумового розвитку</t>
  </si>
  <si>
    <t>1070</t>
  </si>
  <si>
    <t>1000000</t>
  </si>
  <si>
    <t>1010000</t>
  </si>
  <si>
    <t>0180</t>
  </si>
  <si>
    <t>1014030</t>
  </si>
  <si>
    <t>4030</t>
  </si>
  <si>
    <t>0824</t>
  </si>
  <si>
    <t>Забезпечення діяльності бібліотек</t>
  </si>
  <si>
    <t>1014040</t>
  </si>
  <si>
    <t>4040</t>
  </si>
  <si>
    <t>Забезпечення діяльності музеїв і виставок</t>
  </si>
  <si>
    <t>1014060</t>
  </si>
  <si>
    <t>4060</t>
  </si>
  <si>
    <t>0828</t>
  </si>
  <si>
    <t>Забезпечення діяльності палаців і будинків культури, клубів, центрів дозвілля та інших клубних закладів</t>
  </si>
  <si>
    <t>1014082</t>
  </si>
  <si>
    <t>4082</t>
  </si>
  <si>
    <t>0829</t>
  </si>
  <si>
    <t>Інші заходи в галузі культури і мистецтва</t>
  </si>
  <si>
    <t>Виконавчий комітет Чорноморської міської ради  Одеського району Одеської області</t>
  </si>
  <si>
    <t>Управління соціальної політики Чорноморської міської ради Одеського району Одеської області</t>
  </si>
  <si>
    <t>Відділ культури Чорноморської міської ради Одеського району Одеської області</t>
  </si>
  <si>
    <t>Міська цільова програма розвитку культури та мистецтва Чорноморської  міської  територіальної громади на  2022 – 2025 роки</t>
  </si>
  <si>
    <t>Відділ комунального господарства та благоустрою Чорноморської міської ради  Одеського району Одеської області</t>
  </si>
  <si>
    <t>Управління комунальної  власності  та земельних відносин Чорноморської міської ради Одеського району Одеської області</t>
  </si>
  <si>
    <t>0212111</t>
  </si>
  <si>
    <t>0726</t>
  </si>
  <si>
    <t>Первинна медична допомога населенню, що надається центрами первинної медичної (медико-санітарної) допомоги</t>
  </si>
  <si>
    <t xml:space="preserve">Міська цільова соціальна програма розвитку цивільного захисту Чорноморської міської територіальної громади на 2021-2025 роки </t>
  </si>
  <si>
    <t>Відділ молоді та спорту Чорноморської міської ради Одеського району Одеської області</t>
  </si>
  <si>
    <t>8240</t>
  </si>
  <si>
    <t>Заходи та роботи з територіальної оборони</t>
  </si>
  <si>
    <t>Міська цільова програма підтримки молодих педагогічних кадрів Чорноморської міської територіальної громади на 2022 - 2025 роки</t>
  </si>
  <si>
    <t>04.02.2022р.
№ 172-VIII</t>
  </si>
  <si>
    <t>04.02.2022р. 
№ 172-VIII</t>
  </si>
  <si>
    <t>Міська цільова програма розвитку фізичної культури і спорту на території Чорноморської міської територіальної громади на 2022-2025 роки</t>
  </si>
  <si>
    <t>Міська цільова соціальна програма розвитку цивільного захисту Чорноморської міської територіальної громади на 2021-2025 роки</t>
  </si>
  <si>
    <t>0320</t>
  </si>
  <si>
    <t>Заходи із запобігання та ліквідації надзвичайних ситуацій та наслідків стихійного лиха</t>
  </si>
  <si>
    <t>0813230</t>
  </si>
  <si>
    <t>3230</t>
  </si>
  <si>
    <t>Видатки, пов'язані з наданням підтримки внутрішньо переміщеним та/або евакуйованим особам у зв'язку із введенням воєнного стану</t>
  </si>
  <si>
    <t xml:space="preserve">Міська цільова програма "Молодь Чорноморська" на 2022-2025 роки </t>
  </si>
  <si>
    <t>Міська цільова програма відпочинку та оздоровлення дітей на 2022-2025 роки</t>
  </si>
  <si>
    <t>Міська цільова програма "Молодь Чорноморська" на 2022-2025 роки</t>
  </si>
  <si>
    <t>24.12.2020р.
№ 17-VIII 
(зі змінами)</t>
  </si>
  <si>
    <t>24.12.2020р.
№ 16-VIII 
(зі змінами)</t>
  </si>
  <si>
    <t>24.12.2020р.
№ 16-VIII  
(зі змінами)</t>
  </si>
  <si>
    <t>30.03.2021р. 
№ 27-VIII 
(зі змінами)</t>
  </si>
  <si>
    <t xml:space="preserve"> 30.03.2021р.
№ 25-VIII 
(зі змінами)</t>
  </si>
  <si>
    <t xml:space="preserve"> 24.12.2020р. 
№ 16-VIII 
(зі змінами)</t>
  </si>
  <si>
    <t>09.01.2006р. 
№ 511-IV 
(зі змінами)</t>
  </si>
  <si>
    <t xml:space="preserve"> 24.12.2020р.
№ 16-VIII 
(зі змінами)</t>
  </si>
  <si>
    <t>24.12.2020р.
№ 15-VIII 
(зі змінами)</t>
  </si>
  <si>
    <t>09.01.2006р. 
№ 511-IV
(зі змінами)</t>
  </si>
  <si>
    <t xml:space="preserve"> 24.12.2020р.
№ 15-VIII 
(зі змінами)</t>
  </si>
  <si>
    <t>0613140</t>
  </si>
  <si>
    <t>Міська комплексна програма відпочинку та оздоровлення дітей на 2022-2025 роки</t>
  </si>
  <si>
    <t>12.07.2022р.
№222 
(зі змінами)</t>
  </si>
  <si>
    <t>Міська цільова програма розвитку і функціонування української мови як державної на території Чорноморської міської територіальної громади на 2022-2025 роки</t>
  </si>
  <si>
    <t>1217693</t>
  </si>
  <si>
    <t>04.02.2022р. 
№ 182-VIII
(зі змінами)</t>
  </si>
  <si>
    <t>Міська цільова програма з функціонування інтегрованої системи відеоспостереження та відеоаналітики Чорноморської міської територальної громади на 2023 - 2025 роки</t>
  </si>
  <si>
    <t>3118240</t>
  </si>
  <si>
    <t>Фінансове управління Чорноморської міської ради Одеського району Одеської області</t>
  </si>
  <si>
    <t>3710000</t>
  </si>
  <si>
    <t>3700000</t>
  </si>
  <si>
    <t>Інші субвенції з місцевого бюджету</t>
  </si>
  <si>
    <t>0218220</t>
  </si>
  <si>
    <t>Заходи та роботи з мобілізаційної підготовки місцевого значення</t>
  </si>
  <si>
    <t>Міська програма підтримки Першого відділу Одеського районного територіального центру комплектування та соціальної підтримки, проведення мобілізаційної підготовки військовозобов’язаних м. Чорноморська та забезпечення заходів, пов’язаних із виконанням військового обов’язку, призовом громадян України на строкову військову службу до лав Збройних Сил України та інших військових формувань на 2021-2025 роки</t>
  </si>
  <si>
    <t>30.03.2021р. 
№ 31-VIII 
(зі змінами)</t>
  </si>
  <si>
    <t>04.02.2022р. 
№ 180-VIIІ
(зі змінами)</t>
  </si>
  <si>
    <t>04.02.2022р. 
№ 181-VIII
(зі змінами)</t>
  </si>
  <si>
    <t>20.12.2022р. 
№ 279-VIII 
(зі змінами)</t>
  </si>
  <si>
    <t>Управління освіти Чорноморської міської ради  Одеського району Одеської області</t>
  </si>
  <si>
    <t>12.09.2019р. 
№ 485-VII
(зі змінами)</t>
  </si>
  <si>
    <t xml:space="preserve">Міська цільова програма проведення технічної інвентаризації та виготовлення технічних паспортів багатоквартирних житлових будинків, які розташовані на території Чорноморської міської ради    Одеського району Одеської області  та знаходяться в управлінні комунального підприємства «Міське управління житлово - комунального господарства», на 2023 – 2025 роки. </t>
  </si>
  <si>
    <t>Програма модернізації ліфтового господарства Чорноморської міської ради Одеського району Одеської області на 2019 - 2025 роки</t>
  </si>
  <si>
    <t>1013140</t>
  </si>
  <si>
    <t>від 19.05.2023р.
№ 368-VIII</t>
  </si>
  <si>
    <t>04.02.2022р. 
№ 175-VIII 
(зі змінами)</t>
  </si>
  <si>
    <t>0900000</t>
  </si>
  <si>
    <t/>
  </si>
  <si>
    <t>Служба у справах дітей Чорноморської мiської ради Одеського району Одеської областi</t>
  </si>
  <si>
    <t>0910000</t>
  </si>
  <si>
    <t>0913112</t>
  </si>
  <si>
    <t>Начальник фінансового управління</t>
  </si>
  <si>
    <t>Ольга ЯКОВЕНКО</t>
  </si>
  <si>
    <t>Міська програма охорони довкілля, раціонального використання природних ресурсів та забезпечення  екологічної безпеки на  території Чорноморської міської територіальної громади Одеського району Одеської  області на 2024-2026 роки</t>
  </si>
  <si>
    <t>1011080</t>
  </si>
  <si>
    <t>1080</t>
  </si>
  <si>
    <t>0960</t>
  </si>
  <si>
    <t>Надання спеціалізованої освіти мистецькими школами</t>
  </si>
  <si>
    <t>Міська програма "Здоров’я населення Чорноморської  міської територіальної громади на 2021 - 2025 роки"</t>
  </si>
  <si>
    <t>УСЬОГО за розпорядниками</t>
  </si>
  <si>
    <t>УСЬОГО ЗА ПРОГРАМАМИ</t>
  </si>
  <si>
    <t>Міська цільова програма підтримки здобуття професійної (професійно-технічної), фахової передвищої освіти на умовах регіонального замовлення у відповідних закладах освіти, що розташовані та діють на території Чорноморської міської  територіальної громади, на 2025 рік</t>
  </si>
  <si>
    <t>Міська цільова програма фінансової підтримки діяльності  Одеської районної ради Одеської області на 2025 рік</t>
  </si>
  <si>
    <t>3210</t>
  </si>
  <si>
    <t>1050</t>
  </si>
  <si>
    <t>Організація та проведення громадських робіт</t>
  </si>
  <si>
    <t xml:space="preserve">Міська цільова програма зайнятості населення Чорноморської міської територіальної громади на 2024 - 2025 роки </t>
  </si>
  <si>
    <t>22.12.2023р. 
№ 517-VIII</t>
  </si>
  <si>
    <t>7520</t>
  </si>
  <si>
    <t>0460</t>
  </si>
  <si>
    <t>08.08.2024р.
 №649-VIII</t>
  </si>
  <si>
    <t>Розподіл витрат бюджету Чорноморської міської територіальної громади  на реалізацію міських програм у 2025 році</t>
  </si>
  <si>
    <t>1213210</t>
  </si>
  <si>
    <t>1217520</t>
  </si>
  <si>
    <t>Міська цільова програма фінансової підтримки комунальних підприємств Чорноморської міської ради Одеського району Одеської області на 2025 рік.</t>
  </si>
  <si>
    <t>3116090</t>
  </si>
  <si>
    <t>0640</t>
  </si>
  <si>
    <t>Інша діяльність у сфері житлово-комунального господарства</t>
  </si>
  <si>
    <t>1500000</t>
  </si>
  <si>
    <t>Управлiння капiтального будiвництва Чорноморської мiської ради Одеського району Одеської областi</t>
  </si>
  <si>
    <t>1510000</t>
  </si>
  <si>
    <t>Міська цільова програма фінансової підтримки діяльності Одеської районної ради Одеської області на 2025 рік</t>
  </si>
  <si>
    <t>1117520</t>
  </si>
  <si>
    <t>1017520</t>
  </si>
  <si>
    <t>0917520</t>
  </si>
  <si>
    <t>Міська цільова програма надання поворотної фінансової допомоги (резервних коштів) патронатному вихователю нп території Чорноморської міської територіальної громади на 2025-2027 роки</t>
  </si>
  <si>
    <t>0217520</t>
  </si>
  <si>
    <t>0617520</t>
  </si>
  <si>
    <t>0817520</t>
  </si>
  <si>
    <t>0218110</t>
  </si>
  <si>
    <t>8110</t>
  </si>
  <si>
    <t>0216030</t>
  </si>
  <si>
    <t>0618110</t>
  </si>
  <si>
    <t>Міська цільова програма надання поворотної фінансової допомоги (резервних коштів) патронатному вихователю на території Чорноморської міської територіальної громади на 2025-2027 роки</t>
  </si>
  <si>
    <t>0813140</t>
  </si>
  <si>
    <t>Міська цільова програми підтримки сил безпеки та оборони України, а також  посилення  заходів громадської безпеки в умовах воєнного стану на території Чорноморської міської територіальної громади  на 2025 рік</t>
  </si>
  <si>
    <t xml:space="preserve">Про затвердження Міської цільової програми забезпечення жителів Чорноморської міської територіальної громади засобами для ендопротезування суглобів на 2025 рік </t>
  </si>
  <si>
    <t xml:space="preserve">Міська цільова програма забезпечення жителів Чорноморської міської територіальної громади засобами для ендопротезування суглобів на 2025 рік </t>
  </si>
  <si>
    <t>Міська цільова програма розвитку житлово-комунального господарства Чорноморської міської територіальної громади на 2025-2027 роки</t>
  </si>
  <si>
    <t>Міська цільова програми підтримки Сил безпеки та оборони України, а також  посилення  заходів громадської безпеки в умовах воєнного стану на території Чорноморської міської територіальної громади  на 2025 рік</t>
  </si>
  <si>
    <t xml:space="preserve">Міська цільова програма інформатизації Чорноморської міської ради Одеської області на 2024-2026 роки </t>
  </si>
  <si>
    <t>Реалізація Національної програми інформатизації</t>
  </si>
  <si>
    <t>19.05.2023р.
№ 368-VIII</t>
  </si>
  <si>
    <t>0217640</t>
  </si>
  <si>
    <t>7640</t>
  </si>
  <si>
    <t>0470</t>
  </si>
  <si>
    <t>Заходи з енергозбереження</t>
  </si>
  <si>
    <t>"Додаток 7</t>
  </si>
  <si>
    <t>від 23.12.2024 № 754 - VIII"</t>
  </si>
  <si>
    <t xml:space="preserve">23.12.2024р.  
№ 735-VIII </t>
  </si>
  <si>
    <t>23.12.2024р.
№ 746-VIII</t>
  </si>
  <si>
    <t>23.12.2024р.
№ 749-VIII</t>
  </si>
  <si>
    <t>23.12.2024р.
№ 750-VIII</t>
  </si>
  <si>
    <t>Міська цільова програма протидії злочинності на території Чорноморської міської територіальної громади на 2025 рік</t>
  </si>
  <si>
    <t>Міська цільова програма підтримки Сил оборони і безпеки України, а також посилення  заходів громадської безпеки в умовах воєнного стану на території Чорноморської міської  територіальної громади на 2025 рік</t>
  </si>
  <si>
    <t>Субвенція з місцевого бюджету державному бюджету на виконання програм соціально-економічного розвитку регіонів</t>
  </si>
  <si>
    <t>0218240</t>
  </si>
  <si>
    <t>0611183</t>
  </si>
  <si>
    <t>1183</t>
  </si>
  <si>
    <t>0990</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</si>
  <si>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</si>
  <si>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1216011</t>
  </si>
  <si>
    <t>0610</t>
  </si>
  <si>
    <t>Експлуатація та технічне обслуговування житлового фонду</t>
  </si>
  <si>
    <t>Міська цільова програма сприяння діяльності об'єднань співвласників багатоквартирних будинків, житлово-будівельних кооперативів у багатоквартирних будинках на території Чорноморської міської територіальної громади на 2023 - 2025 роки</t>
  </si>
  <si>
    <t>Міська цільова програма часткової компенсації вартості закупівлі альтернативних джерел енергії для забезпечення потреб мешканців багатоквартирних житлових будинків на території Чорноморської міської територіальної громади на 2024 - 2025 роки</t>
  </si>
  <si>
    <t>08.08.2024р. 
№ 647-VIII</t>
  </si>
  <si>
    <t>6093</t>
  </si>
  <si>
    <t>Реалізація проектів (заходів) з відновлення об'єктів житлово-комунального господарства, пошкоджених/знищених внаслідок збройної агресії, за рахунок коштів місцевих бюджетів</t>
  </si>
  <si>
    <t>7670</t>
  </si>
  <si>
    <t>Внески до статутного капіталу суб'єктів господарювання</t>
  </si>
  <si>
    <t>1216093</t>
  </si>
  <si>
    <t>1217461</t>
  </si>
  <si>
    <t>1217670</t>
  </si>
  <si>
    <t>7691</t>
  </si>
  <si>
    <t>1217691</t>
  </si>
  <si>
    <t>Виконання заходів за рахунок цільових фондів, утворених Верховною Радою Автономної Республіки Крим, органами місцевого самоврядування і місцевими органами виконавчої влади і фондів, утворених Верховною Радою Автономної Республіки Крим, органами місцевого самоврядування і місцевими органами виконавчої влади</t>
  </si>
  <si>
    <t>1300</t>
  </si>
  <si>
    <t>Будівництво освітніх установ та закладів</t>
  </si>
  <si>
    <t>2171</t>
  </si>
  <si>
    <t>Реалізація проектів (заходів) з відновлення закладів охорони здоров'я, пошкоджених/знищених внаслідок збройної агресії, за рахунок коштів місцевих бюджетів</t>
  </si>
  <si>
    <t>6091</t>
  </si>
  <si>
    <t>Будівництво об'єктів житлово-комунального господарства</t>
  </si>
  <si>
    <t>7368</t>
  </si>
  <si>
    <t>Виконання інвестиційних проектів за рахунок субвенцій з інших бюджетів</t>
  </si>
  <si>
    <t>7370</t>
  </si>
  <si>
    <t>Реалізація інших заходів щодо соціально-економічного розвитку територій</t>
  </si>
  <si>
    <t>Міська програма співфінансування заходів, направлених на доведення багаквартирних житлових будинків 13-го мікрорайону м.Чорноморська до стану, придатного для проживання, на 2021-2025 роки</t>
  </si>
  <si>
    <t>12.04.2021р. 
№ 55-VIII 
(зі змінами)</t>
  </si>
  <si>
    <t>1518110</t>
  </si>
  <si>
    <t>1218240</t>
  </si>
  <si>
    <t>23.12.2024р.
№ 741-VIII
(зі змінами)</t>
  </si>
  <si>
    <t>08.08.2024р.
 №649-VIII
(зі змінами)</t>
  </si>
  <si>
    <t>23.12.2024р.
№ 737-VIII
(зі змінами)</t>
  </si>
  <si>
    <t>12.04.2024р.
 №562-VIII
(зі змінами)</t>
  </si>
  <si>
    <t>31.01.2023р. 
№ 295-VIII
(зі змінами)</t>
  </si>
  <si>
    <t>23.12.2024р.
№ 740-VIII
(зі змінами)</t>
  </si>
  <si>
    <t>28.01.2025р.
№ 772-VIII</t>
  </si>
  <si>
    <t>0611070</t>
  </si>
  <si>
    <t>Надання позашкільної освіти закладами позашкільної освіти, заходи із позашкільної роботи з дітьми</t>
  </si>
  <si>
    <t>0611151</t>
  </si>
  <si>
    <t>1151</t>
  </si>
  <si>
    <t>Забезпечення діяльності інклюзивно-ресурсних центрів за рахунок коштів місцевого бюджету</t>
  </si>
  <si>
    <t>0611160</t>
  </si>
  <si>
    <t>1160</t>
  </si>
  <si>
    <t>Забезпечення діяльності центрів професійного розвитку педагогічних працівників</t>
  </si>
  <si>
    <t>0615031</t>
  </si>
  <si>
    <t>5031</t>
  </si>
  <si>
    <t>Розвиток здібностей у дітей та молоді з фізичної культури та спорту комунальними дитячо-юнацькими спортивними школами</t>
  </si>
  <si>
    <t>Міська цільова програма підтримки Територіального управління Державного бюро розслідувань, розташованого у місті Миколаєві, на 2025 рік</t>
  </si>
  <si>
    <t>Міська цільова програма "Поліцейський офіцер громади" Чорноморської міської територіальної громади на 2025 рік</t>
  </si>
  <si>
    <t>Міська цільова програма розроблення містобудівної документації населених пунктів Чорноморської міської  територіальної громади на 2025-2027 роки</t>
  </si>
  <si>
    <t>28.02.2025р.
№ 792-VIII</t>
  </si>
  <si>
    <t>28.02.2025р.
№ 793-VIII</t>
  </si>
  <si>
    <t>28.02.2025р.
№ 798-VIII</t>
  </si>
  <si>
    <t>0217350</t>
  </si>
  <si>
    <t>7350</t>
  </si>
  <si>
    <t>0443</t>
  </si>
  <si>
    <t>Розроблення схем планування та забудови територій (містобудівної документації)</t>
  </si>
  <si>
    <t>0217351</t>
  </si>
  <si>
    <t>7351</t>
  </si>
  <si>
    <t>Розроблення комплексних планів просторового розвитку територій територіальних громад</t>
  </si>
  <si>
    <t>Міська цільова програма розвитку земельних відносин Чорноморської міської територіальної громади Одеського району Одеської області на 2025-2027 роки</t>
  </si>
  <si>
    <t>3117130</t>
  </si>
  <si>
    <t>7130</t>
  </si>
  <si>
    <t>0421</t>
  </si>
  <si>
    <t>Здійснення заходів із землеустрою</t>
  </si>
  <si>
    <t>Виконання окремих заходів з реалізації соціального проекту "Активні парки - локації здорової України"</t>
  </si>
  <si>
    <t>11.04.2025р.
№ 818-VIII</t>
  </si>
  <si>
    <t>0611310</t>
  </si>
  <si>
    <t>1310</t>
  </si>
  <si>
    <t>Реалізація проектів (заходів) з відновлення освітніх установ та закладів, пошкоджених/знищених внаслідок збройної агресії, за рахунок коштів місцевих бюджетів</t>
  </si>
  <si>
    <t>1217640</t>
  </si>
  <si>
    <t>0212170</t>
  </si>
  <si>
    <t>2170</t>
  </si>
  <si>
    <t>Будівництво закладів охорони здоров'я</t>
  </si>
  <si>
    <t>0217330</t>
  </si>
  <si>
    <t>7330</t>
  </si>
  <si>
    <t>Будівництво інших об'єктів комунальної власності</t>
  </si>
  <si>
    <t>0217691</t>
  </si>
  <si>
    <t>03.07.2025р.</t>
  </si>
  <si>
    <t xml:space="preserve">Міська цільова програма співпраці виконавчих органів Чорноморської міської ради Одеського району Одеської області та ГУ ДПС в Одеській області з питань забезпечення контролю за дотриманням зобов'язань щодо платежів підприємств, установ, організацій, суб’єктів господарювання, фізичних осіб до бюджету Чорноморської  міської територіальної громади на 2025 рік </t>
  </si>
  <si>
    <t>Підтримка спорту вищих досягнень та організацій, які здійснюють фізкультурно-спортивну діяльність в регіоні</t>
  </si>
  <si>
    <t>1115062</t>
  </si>
  <si>
    <t>5062</t>
  </si>
  <si>
    <t>Забезпечення діяльності водопровідно-каналізаційного господарства</t>
  </si>
  <si>
    <t>1218340</t>
  </si>
  <si>
    <t>1117691</t>
  </si>
  <si>
    <t>Міська цільова програма підтримки Регіонального сервісного  центру  ГСЦ МВС  в  Одеській, Миколаївській  та  Херсонській  областях  у сфері  надання адміністративних  послуг на 2024-2025 рок</t>
  </si>
  <si>
    <t>03.07.2025р.
№ 898-VIII</t>
  </si>
  <si>
    <t>23.12.2024р.
№ 743-VIII</t>
  </si>
  <si>
    <t>0611184</t>
  </si>
  <si>
    <t>1184</t>
  </si>
  <si>
    <t>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</si>
  <si>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0611403</t>
  </si>
  <si>
    <t>1403</t>
  </si>
  <si>
    <t>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</si>
  <si>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0611279</t>
  </si>
  <si>
    <t>1279</t>
  </si>
  <si>
    <t>Реалізація заходів за рахунок освітньої субвенції з державного бюджету місцевим бюджетам (за спеціальним фондом державного бюджету) на забезпечення харчуванням учнів закладів загальної середньої освіти</t>
  </si>
  <si>
    <t>0611700</t>
  </si>
  <si>
    <t>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t>
  </si>
  <si>
    <t>0611702</t>
  </si>
  <si>
    <t xml:space="preserve">Забезпечення харчуванням учнів закладів загальної середньої освіти за рахунок субвенції з державного бюджету місцевим бюджетам </t>
  </si>
  <si>
    <t>Забезпечення діяльності інших закладів у сфері освіти</t>
  </si>
  <si>
    <t>0611141</t>
  </si>
  <si>
    <t>1141</t>
  </si>
  <si>
    <t>1517691</t>
  </si>
  <si>
    <t>Додаток 5</t>
  </si>
  <si>
    <t>від_____.12.2025  №_____- VIII</t>
  </si>
  <si>
    <t>Проведення експертної грошової оцінки земельної ділянки чи права на неї</t>
  </si>
</sst>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Calibri"/>
      <family val="2"/>
      <charset val="204"/>
      <scheme val="minor"/>
    </font>
    <font>
      <sz val="10"/>
      <color theme="1"/>
      <name val="Calibri"/>
      <family val="2"/>
      <charset val="204"/>
      <scheme val="minor"/>
    </font>
    <font>
      <sz val="12"/>
      <color theme="1"/>
      <name val="Times New Roman"/>
      <family val="1"/>
      <charset val="204"/>
    </font>
    <font>
      <b/>
      <sz val="12"/>
      <color theme="1"/>
      <name val="Times New Roman"/>
      <family val="1"/>
      <charset val="204"/>
    </font>
    <font>
      <sz val="12"/>
      <name val="Times New Roman"/>
      <family val="1"/>
      <charset val="204"/>
    </font>
    <font>
      <b/>
      <sz val="12"/>
      <name val="Times New Roman"/>
      <family val="1"/>
      <charset val="204"/>
    </font>
    <font>
      <sz val="10"/>
      <color theme="1"/>
      <name val="Times New Roman"/>
      <family val="1"/>
      <charset val="204"/>
    </font>
    <font>
      <sz val="11"/>
      <color indexed="8"/>
      <name val="Calibri"/>
      <family val="2"/>
      <charset val="204"/>
    </font>
    <font>
      <sz val="10"/>
      <name val="Times New Roman"/>
      <family val="1"/>
      <charset val="204"/>
    </font>
    <font>
      <b/>
      <sz val="10"/>
      <name val="Times New Roman"/>
      <family val="1"/>
      <charset val="204"/>
    </font>
    <font>
      <sz val="10"/>
      <name val="Arial Cyr"/>
      <charset val="204"/>
    </font>
    <font>
      <sz val="12"/>
      <color indexed="8"/>
      <name val="Times New Roman"/>
      <family val="1"/>
      <charset val="204"/>
    </font>
    <font>
      <b/>
      <sz val="14"/>
      <color theme="1"/>
      <name val="Times New Roman"/>
      <family val="1"/>
      <charset val="204"/>
    </font>
    <font>
      <sz val="11"/>
      <name val="Calibri"/>
      <family val="2"/>
      <charset val="204"/>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s>
  <cellStyleXfs count="7">
    <xf numFmtId="0" fontId="0" fillId="0" borderId="0"/>
    <xf numFmtId="0" fontId="7" fillId="0" borderId="0"/>
    <xf numFmtId="0" fontId="8" fillId="0" borderId="0"/>
    <xf numFmtId="0" fontId="1" fillId="0" borderId="0"/>
    <xf numFmtId="0" fontId="8" fillId="0" borderId="0"/>
    <xf numFmtId="0" fontId="8" fillId="0" borderId="0"/>
    <xf numFmtId="0" fontId="10" fillId="0" borderId="0"/>
  </cellStyleXfs>
  <cellXfs count="139">
    <xf numFmtId="0" fontId="0" fillId="0" borderId="0" xfId="0"/>
    <xf numFmtId="0" fontId="0" fillId="2" borderId="0" xfId="0" applyFill="1" applyAlignment="1">
      <alignment horizontal="center" vertical="center"/>
    </xf>
    <xf numFmtId="0" fontId="0" fillId="2" borderId="0" xfId="0" applyFill="1"/>
    <xf numFmtId="0" fontId="8" fillId="2" borderId="0" xfId="4" applyFill="1" applyAlignment="1">
      <alignment horizontal="center" vertical="center"/>
    </xf>
    <xf numFmtId="0" fontId="8" fillId="2" borderId="0" xfId="4" applyFill="1" applyAlignment="1">
      <alignment horizontal="left" vertical="center"/>
    </xf>
    <xf numFmtId="3" fontId="8" fillId="2" borderId="0" xfId="4" applyNumberFormat="1" applyFill="1" applyAlignment="1">
      <alignment horizontal="center" vertical="center"/>
    </xf>
    <xf numFmtId="3" fontId="6" fillId="2" borderId="0" xfId="4" applyNumberFormat="1" applyFont="1" applyFill="1" applyAlignment="1">
      <alignment horizontal="center" vertical="center"/>
    </xf>
    <xf numFmtId="0" fontId="8" fillId="2" borderId="0" xfId="4" applyFill="1" applyAlignment="1">
      <alignment horizontal="center"/>
    </xf>
    <xf numFmtId="0" fontId="9" fillId="2" borderId="0" xfId="4" applyFont="1" applyFill="1" applyAlignment="1">
      <alignment horizontal="center"/>
    </xf>
    <xf numFmtId="0" fontId="0" fillId="2" borderId="0" xfId="0" applyFill="1" applyAlignment="1">
      <alignment horizontal="center"/>
    </xf>
    <xf numFmtId="0" fontId="0" fillId="2" borderId="0" xfId="0" applyFill="1" applyAlignment="1">
      <alignment horizontal="left"/>
    </xf>
    <xf numFmtId="0" fontId="2" fillId="2" borderId="0" xfId="0" applyFont="1" applyFill="1" applyAlignment="1">
      <alignment vertical="center" wrapText="1"/>
    </xf>
    <xf numFmtId="49" fontId="4" fillId="2" borderId="1" xfId="0" applyNumberFormat="1" applyFont="1" applyFill="1" applyBorder="1" applyAlignment="1">
      <alignment horizontal="center" vertical="center"/>
    </xf>
    <xf numFmtId="0" fontId="4" fillId="2" borderId="1" xfId="0" applyFont="1" applyFill="1" applyBorder="1" applyAlignment="1">
      <alignment vertical="center" wrapText="1"/>
    </xf>
    <xf numFmtId="0" fontId="2" fillId="2" borderId="1"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2" borderId="0" xfId="0" applyFont="1" applyFill="1"/>
    <xf numFmtId="0" fontId="2" fillId="2" borderId="1" xfId="0" quotePrefix="1" applyFont="1" applyFill="1" applyBorder="1" applyAlignment="1">
      <alignment vertical="center" wrapText="1"/>
    </xf>
    <xf numFmtId="49" fontId="2" fillId="2" borderId="1" xfId="5"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0" fontId="4" fillId="2" borderId="1" xfId="1" applyFont="1" applyFill="1" applyBorder="1" applyAlignment="1">
      <alignment vertical="center" wrapText="1"/>
    </xf>
    <xf numFmtId="0" fontId="2" fillId="2" borderId="4" xfId="0" applyFont="1" applyFill="1" applyBorder="1" applyAlignment="1">
      <alignment horizontal="left" vertical="center" wrapText="1"/>
    </xf>
    <xf numFmtId="49" fontId="2" fillId="2" borderId="1" xfId="0" applyNumberFormat="1" applyFont="1" applyFill="1" applyBorder="1" applyAlignment="1">
      <alignment horizontal="center" vertical="center" wrapText="1"/>
    </xf>
    <xf numFmtId="0" fontId="2" fillId="2" borderId="3" xfId="0" applyFont="1" applyFill="1" applyBorder="1" applyAlignment="1">
      <alignment horizontal="left" vertical="center" wrapText="1"/>
    </xf>
    <xf numFmtId="0" fontId="2" fillId="2" borderId="3" xfId="0" applyFont="1" applyFill="1" applyBorder="1" applyAlignment="1">
      <alignment horizontal="center" vertical="center" wrapText="1"/>
    </xf>
    <xf numFmtId="49" fontId="5" fillId="2" borderId="1"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3" fillId="2" borderId="0" xfId="0" applyFont="1" applyFill="1"/>
    <xf numFmtId="0" fontId="4" fillId="2" borderId="1" xfId="1" applyFont="1" applyFill="1" applyBorder="1" applyAlignment="1">
      <alignment horizontal="left" vertical="center" wrapText="1"/>
    </xf>
    <xf numFmtId="0" fontId="2" fillId="2" borderId="0" xfId="0" applyFont="1" applyFill="1" applyAlignment="1">
      <alignment horizontal="center"/>
    </xf>
    <xf numFmtId="49" fontId="3" fillId="2" borderId="1" xfId="5" applyNumberFormat="1" applyFont="1" applyFill="1" applyBorder="1" applyAlignment="1">
      <alignment horizontal="center" vertical="center" wrapText="1"/>
    </xf>
    <xf numFmtId="0" fontId="3" fillId="2" borderId="1" xfId="5" applyFont="1" applyFill="1" applyBorder="1" applyAlignment="1">
      <alignment horizontal="center" vertical="center" wrapText="1"/>
    </xf>
    <xf numFmtId="0" fontId="2" fillId="2" borderId="2" xfId="0" applyFont="1" applyFill="1" applyBorder="1" applyAlignment="1">
      <alignment vertical="center" wrapText="1"/>
    </xf>
    <xf numFmtId="0" fontId="2" fillId="2" borderId="1" xfId="0" applyFont="1" applyFill="1" applyBorder="1" applyAlignment="1">
      <alignment vertical="center" wrapText="1"/>
    </xf>
    <xf numFmtId="0" fontId="2" fillId="2" borderId="0" xfId="0" applyFont="1" applyFill="1" applyAlignment="1">
      <alignment vertical="center"/>
    </xf>
    <xf numFmtId="0" fontId="2" fillId="2" borderId="0" xfId="0" applyFont="1" applyFill="1" applyAlignment="1">
      <alignment horizontal="center" vertical="center"/>
    </xf>
    <xf numFmtId="4" fontId="3" fillId="2" borderId="1" xfId="0" applyNumberFormat="1" applyFont="1" applyFill="1" applyBorder="1" applyAlignment="1">
      <alignment horizontal="center" vertical="center"/>
    </xf>
    <xf numFmtId="4" fontId="2" fillId="2" borderId="1" xfId="0" applyNumberFormat="1" applyFont="1" applyFill="1" applyBorder="1" applyAlignment="1">
      <alignment horizontal="center" vertical="center"/>
    </xf>
    <xf numFmtId="4" fontId="2" fillId="2" borderId="5" xfId="0" applyNumberFormat="1" applyFont="1" applyFill="1" applyBorder="1" applyAlignment="1">
      <alignment horizontal="center" vertical="center"/>
    </xf>
    <xf numFmtId="0" fontId="6" fillId="2" borderId="1" xfId="4" applyFont="1" applyFill="1" applyBorder="1" applyAlignment="1">
      <alignment horizontal="center" vertical="center" wrapText="1"/>
    </xf>
    <xf numFmtId="3" fontId="6" fillId="2" borderId="1" xfId="4" applyNumberFormat="1" applyFont="1" applyFill="1" applyBorder="1" applyAlignment="1">
      <alignment horizontal="center" vertical="center" wrapText="1"/>
    </xf>
    <xf numFmtId="0" fontId="6" fillId="2" borderId="1" xfId="4" applyFont="1" applyFill="1" applyBorder="1" applyAlignment="1">
      <alignment horizontal="center" wrapText="1"/>
    </xf>
    <xf numFmtId="0" fontId="4" fillId="2" borderId="1" xfId="4" applyFont="1" applyFill="1" applyBorder="1" applyAlignment="1">
      <alignment vertical="center" wrapText="1"/>
    </xf>
    <xf numFmtId="0" fontId="2" fillId="2" borderId="0" xfId="0" quotePrefix="1" applyFont="1" applyFill="1" applyAlignment="1">
      <alignment vertical="center" wrapText="1"/>
    </xf>
    <xf numFmtId="0" fontId="2" fillId="2" borderId="0" xfId="0" applyFont="1" applyFill="1" applyAlignment="1">
      <alignment horizontal="center" vertical="center" wrapText="1"/>
    </xf>
    <xf numFmtId="4" fontId="2" fillId="2" borderId="0" xfId="0" applyNumberFormat="1" applyFont="1" applyFill="1" applyAlignment="1">
      <alignment horizontal="center" vertical="center"/>
    </xf>
    <xf numFmtId="0" fontId="2" fillId="3" borderId="0" xfId="0" applyFont="1" applyFill="1"/>
    <xf numFmtId="0" fontId="3" fillId="3" borderId="0" xfId="0" applyFont="1" applyFill="1"/>
    <xf numFmtId="49" fontId="3"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vertical="center"/>
    </xf>
    <xf numFmtId="49" fontId="5" fillId="0" borderId="1" xfId="0" applyNumberFormat="1" applyFont="1" applyBorder="1" applyAlignment="1">
      <alignment horizontal="center" vertical="center"/>
    </xf>
    <xf numFmtId="4" fontId="3" fillId="0" borderId="1" xfId="0" applyNumberFormat="1" applyFont="1" applyBorder="1" applyAlignment="1">
      <alignment horizontal="center" vertical="center"/>
    </xf>
    <xf numFmtId="49" fontId="4" fillId="0" borderId="1" xfId="0" applyNumberFormat="1" applyFont="1" applyBorder="1" applyAlignment="1">
      <alignment horizontal="center" vertical="center"/>
    </xf>
    <xf numFmtId="0" fontId="4"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4" fontId="2" fillId="0" borderId="1" xfId="0" applyNumberFormat="1" applyFont="1" applyBorder="1" applyAlignment="1">
      <alignment horizontal="center" vertical="center"/>
    </xf>
    <xf numFmtId="49" fontId="2" fillId="0" borderId="1" xfId="0" applyNumberFormat="1" applyFont="1" applyBorder="1" applyAlignment="1">
      <alignment horizontal="center" vertical="center" wrapText="1"/>
    </xf>
    <xf numFmtId="0" fontId="2" fillId="0" borderId="1" xfId="0" quotePrefix="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vertical="center" wrapText="1"/>
    </xf>
    <xf numFmtId="0" fontId="2" fillId="0" borderId="1" xfId="0" applyFont="1" applyBorder="1" applyAlignment="1">
      <alignment vertical="center" wrapText="1"/>
    </xf>
    <xf numFmtId="0" fontId="3" fillId="0" borderId="1" xfId="0" applyFont="1" applyBorder="1" applyAlignment="1">
      <alignment horizontal="center" vertical="center"/>
    </xf>
    <xf numFmtId="4" fontId="2" fillId="2" borderId="1" xfId="0" applyNumberFormat="1" applyFont="1" applyFill="1" applyBorder="1" applyAlignment="1">
      <alignment vertical="center"/>
    </xf>
    <xf numFmtId="0" fontId="12" fillId="2" borderId="0" xfId="0" applyFont="1" applyFill="1"/>
    <xf numFmtId="0" fontId="4" fillId="0" borderId="4" xfId="1" applyFont="1" applyBorder="1" applyAlignment="1">
      <alignment horizontal="left" vertical="center" wrapText="1"/>
    </xf>
    <xf numFmtId="0" fontId="2" fillId="2" borderId="2" xfId="0" applyFont="1" applyFill="1" applyBorder="1" applyAlignment="1">
      <alignment horizontal="left" vertical="center" wrapText="1"/>
    </xf>
    <xf numFmtId="0" fontId="2" fillId="2" borderId="2" xfId="0" applyFont="1" applyFill="1" applyBorder="1" applyAlignment="1">
      <alignment horizontal="center" vertical="center"/>
    </xf>
    <xf numFmtId="4" fontId="2" fillId="2" borderId="2" xfId="0" applyNumberFormat="1" applyFont="1" applyFill="1" applyBorder="1" applyAlignment="1">
      <alignment horizontal="center" vertical="center"/>
    </xf>
    <xf numFmtId="0" fontId="2" fillId="2" borderId="5" xfId="0" applyFont="1" applyFill="1" applyBorder="1" applyAlignment="1">
      <alignment horizontal="left" vertical="center" wrapText="1"/>
    </xf>
    <xf numFmtId="0" fontId="2" fillId="2" borderId="1" xfId="0" quotePrefix="1" applyFont="1" applyFill="1" applyBorder="1" applyAlignment="1">
      <alignment horizontal="left" vertical="center" wrapText="1"/>
    </xf>
    <xf numFmtId="0" fontId="11" fillId="2" borderId="1" xfId="0" applyFont="1" applyFill="1" applyBorder="1" applyAlignment="1">
      <alignment vertical="center" wrapText="1"/>
    </xf>
    <xf numFmtId="0" fontId="4" fillId="2" borderId="1" xfId="0" quotePrefix="1" applyFont="1" applyFill="1" applyBorder="1" applyAlignment="1">
      <alignment vertical="center" wrapText="1"/>
    </xf>
    <xf numFmtId="0" fontId="4" fillId="2" borderId="1" xfId="0" applyFont="1" applyFill="1" applyBorder="1" applyAlignment="1">
      <alignment horizontal="left" vertical="center" wrapText="1"/>
    </xf>
    <xf numFmtId="0" fontId="4" fillId="2" borderId="1" xfId="0" applyFont="1" applyFill="1" applyBorder="1" applyAlignment="1">
      <alignment vertical="top" wrapText="1"/>
    </xf>
    <xf numFmtId="0" fontId="2" fillId="2" borderId="4" xfId="0" quotePrefix="1" applyFont="1" applyFill="1" applyBorder="1" applyAlignment="1">
      <alignment vertical="center" wrapText="1"/>
    </xf>
    <xf numFmtId="0" fontId="2" fillId="2" borderId="5" xfId="0" applyFont="1" applyFill="1" applyBorder="1" applyAlignment="1">
      <alignment vertical="center" wrapText="1"/>
    </xf>
    <xf numFmtId="0" fontId="4" fillId="2" borderId="1" xfId="0" applyFont="1" applyFill="1" applyBorder="1" applyAlignment="1">
      <alignment horizontal="left" vertical="center"/>
    </xf>
    <xf numFmtId="0" fontId="2" fillId="2" borderId="2" xfId="0" applyFont="1" applyFill="1" applyBorder="1" applyAlignment="1">
      <alignment vertical="center"/>
    </xf>
    <xf numFmtId="0" fontId="2" fillId="2" borderId="3" xfId="0" applyFont="1" applyFill="1" applyBorder="1" applyAlignment="1">
      <alignment horizontal="center" vertical="center"/>
    </xf>
    <xf numFmtId="0" fontId="2" fillId="2" borderId="3" xfId="0" applyFont="1" applyFill="1" applyBorder="1" applyAlignment="1">
      <alignment vertical="center"/>
    </xf>
    <xf numFmtId="0" fontId="2" fillId="2" borderId="3" xfId="0" applyFont="1" applyFill="1" applyBorder="1" applyAlignment="1">
      <alignment vertical="center" wrapText="1"/>
    </xf>
    <xf numFmtId="0" fontId="2" fillId="0" borderId="3" xfId="0" applyFont="1" applyBorder="1" applyAlignment="1">
      <alignment horizontal="center" vertical="center" wrapText="1"/>
    </xf>
    <xf numFmtId="4" fontId="2" fillId="2" borderId="3" xfId="0" applyNumberFormat="1" applyFont="1" applyFill="1" applyBorder="1" applyAlignment="1">
      <alignment horizontal="center" vertical="center"/>
    </xf>
    <xf numFmtId="0" fontId="6" fillId="2" borderId="2" xfId="4" applyFont="1" applyFill="1" applyBorder="1" applyAlignment="1">
      <alignment horizontal="center" vertical="center" wrapText="1"/>
    </xf>
    <xf numFmtId="0" fontId="6" fillId="2" borderId="3" xfId="4" applyFont="1" applyFill="1" applyBorder="1" applyAlignment="1">
      <alignment horizontal="center" vertical="center" wrapText="1"/>
    </xf>
    <xf numFmtId="0" fontId="2" fillId="2" borderId="1" xfId="0" quotePrefix="1" applyFont="1" applyFill="1" applyBorder="1" applyAlignment="1">
      <alignment horizontal="center" vertical="center" wrapText="1"/>
    </xf>
    <xf numFmtId="0" fontId="4" fillId="2" borderId="1" xfId="4" applyFont="1" applyFill="1" applyBorder="1" applyAlignment="1">
      <alignment horizontal="center" vertical="center" wrapText="1"/>
    </xf>
    <xf numFmtId="0" fontId="4" fillId="2" borderId="4" xfId="4" applyFont="1" applyFill="1" applyBorder="1" applyAlignment="1">
      <alignment horizontal="center" vertical="center" wrapText="1"/>
    </xf>
    <xf numFmtId="0" fontId="4" fillId="2" borderId="4" xfId="1" applyFont="1" applyFill="1" applyBorder="1" applyAlignment="1">
      <alignment horizontal="center" vertical="center" wrapText="1"/>
    </xf>
    <xf numFmtId="0" fontId="4" fillId="0" borderId="1" xfId="1" applyFont="1" applyBorder="1" applyAlignment="1">
      <alignment horizontal="center" vertical="center" wrapText="1"/>
    </xf>
    <xf numFmtId="0" fontId="2" fillId="2" borderId="3" xfId="0" quotePrefix="1" applyFont="1" applyFill="1" applyBorder="1" applyAlignment="1">
      <alignment horizontal="center" vertical="center" wrapText="1"/>
    </xf>
    <xf numFmtId="0" fontId="4" fillId="2" borderId="3" xfId="1" applyFont="1" applyFill="1" applyBorder="1" applyAlignment="1">
      <alignment horizontal="center" vertical="center" wrapText="1"/>
    </xf>
    <xf numFmtId="0" fontId="4" fillId="2" borderId="1" xfId="1" applyFont="1" applyFill="1" applyBorder="1" applyAlignment="1">
      <alignment horizontal="center" vertical="center" wrapText="1"/>
    </xf>
    <xf numFmtId="0" fontId="11" fillId="2" borderId="1" xfId="0" applyFont="1" applyFill="1" applyBorder="1" applyAlignment="1">
      <alignment horizontal="center" vertical="center" wrapText="1"/>
    </xf>
    <xf numFmtId="0" fontId="4" fillId="2" borderId="1" xfId="0" quotePrefix="1" applyFont="1" applyFill="1" applyBorder="1" applyAlignment="1">
      <alignment horizontal="center" vertical="center" wrapText="1"/>
    </xf>
    <xf numFmtId="0" fontId="4" fillId="0" borderId="1" xfId="0" applyFont="1" applyBorder="1" applyAlignment="1">
      <alignment horizontal="center" vertical="center" wrapText="1"/>
    </xf>
    <xf numFmtId="0" fontId="2" fillId="2" borderId="5" xfId="0" quotePrefix="1"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0" borderId="7" xfId="1" applyFont="1" applyBorder="1" applyAlignment="1">
      <alignment horizontal="center" vertical="center" wrapText="1"/>
    </xf>
    <xf numFmtId="0" fontId="2" fillId="0" borderId="1" xfId="0" quotePrefix="1" applyFont="1" applyBorder="1" applyAlignment="1">
      <alignment horizontal="center" vertical="center" wrapText="1"/>
    </xf>
    <xf numFmtId="0" fontId="4" fillId="2" borderId="1" xfId="0" applyFont="1" applyFill="1" applyBorder="1" applyAlignment="1">
      <alignment horizontal="center" vertical="center"/>
    </xf>
    <xf numFmtId="0" fontId="2" fillId="2" borderId="4" xfId="0" quotePrefix="1" applyFont="1" applyFill="1" applyBorder="1" applyAlignment="1">
      <alignment horizontal="center" vertical="center" wrapText="1"/>
    </xf>
    <xf numFmtId="0" fontId="2" fillId="2" borderId="5" xfId="0" applyFont="1" applyFill="1" applyBorder="1" applyAlignment="1">
      <alignment horizontal="center" vertical="center"/>
    </xf>
    <xf numFmtId="0" fontId="2" fillId="2" borderId="4" xfId="0" applyFont="1" applyFill="1" applyBorder="1" applyAlignment="1">
      <alignment horizontal="center" vertical="center"/>
    </xf>
    <xf numFmtId="3" fontId="2" fillId="2" borderId="1" xfId="0" applyNumberFormat="1" applyFont="1" applyFill="1" applyBorder="1" applyAlignment="1">
      <alignment horizontal="center" vertical="center"/>
    </xf>
    <xf numFmtId="4" fontId="12" fillId="2" borderId="1" xfId="0" applyNumberFormat="1" applyFont="1" applyFill="1" applyBorder="1" applyAlignment="1">
      <alignment horizontal="center" vertical="center"/>
    </xf>
    <xf numFmtId="0" fontId="4" fillId="2" borderId="1" xfId="1" quotePrefix="1" applyFont="1" applyFill="1" applyBorder="1" applyAlignment="1">
      <alignment vertical="center" wrapText="1"/>
    </xf>
    <xf numFmtId="4" fontId="0" fillId="2" borderId="0" xfId="0" applyNumberFormat="1" applyFill="1" applyAlignment="1">
      <alignment horizontal="center" vertical="center"/>
    </xf>
    <xf numFmtId="4" fontId="13" fillId="2" borderId="0" xfId="0" applyNumberFormat="1" applyFont="1" applyFill="1" applyAlignment="1">
      <alignment horizontal="center" vertical="center"/>
    </xf>
    <xf numFmtId="0" fontId="2" fillId="2" borderId="0" xfId="0" quotePrefix="1" applyFont="1" applyFill="1" applyAlignment="1">
      <alignment vertical="center"/>
    </xf>
    <xf numFmtId="0" fontId="12" fillId="2" borderId="0" xfId="0" applyFont="1" applyFill="1" applyBorder="1" applyAlignment="1">
      <alignment horizontal="center" vertical="center"/>
    </xf>
    <xf numFmtId="4" fontId="12" fillId="2" borderId="0" xfId="0" applyNumberFormat="1" applyFont="1" applyFill="1" applyBorder="1" applyAlignment="1">
      <alignment horizontal="center" vertical="center"/>
    </xf>
    <xf numFmtId="0" fontId="2" fillId="2" borderId="0" xfId="0" applyFont="1" applyFill="1" applyAlignment="1">
      <alignment horizontal="left" vertical="center"/>
    </xf>
    <xf numFmtId="0" fontId="2" fillId="2" borderId="0" xfId="4" applyFont="1" applyFill="1" applyAlignment="1">
      <alignment horizontal="left" vertical="center"/>
    </xf>
    <xf numFmtId="0" fontId="12" fillId="2" borderId="1" xfId="0" applyFont="1" applyFill="1" applyBorder="1" applyAlignment="1">
      <alignment horizontal="center" vertical="center"/>
    </xf>
    <xf numFmtId="0" fontId="6" fillId="2" borderId="1" xfId="4" applyFont="1" applyFill="1" applyBorder="1" applyAlignment="1">
      <alignment horizontal="center" vertical="center" wrapText="1"/>
    </xf>
    <xf numFmtId="3" fontId="6" fillId="2" borderId="1" xfId="4" applyNumberFormat="1" applyFont="1" applyFill="1" applyBorder="1" applyAlignment="1">
      <alignment horizontal="center" vertical="center" wrapText="1"/>
    </xf>
    <xf numFmtId="0" fontId="3" fillId="2" borderId="0" xfId="4" applyFont="1" applyFill="1" applyAlignment="1">
      <alignment horizontal="center" vertical="center" wrapText="1"/>
    </xf>
    <xf numFmtId="0" fontId="6" fillId="2" borderId="2" xfId="4" applyFont="1" applyFill="1" applyBorder="1" applyAlignment="1">
      <alignment horizontal="center" vertical="center" wrapText="1"/>
    </xf>
    <xf numFmtId="0" fontId="6" fillId="2" borderId="3" xfId="4" applyFont="1" applyFill="1" applyBorder="1" applyAlignment="1">
      <alignment horizontal="center" vertical="center" wrapText="1"/>
    </xf>
    <xf numFmtId="0" fontId="6" fillId="2" borderId="1" xfId="4" applyFont="1" applyFill="1" applyBorder="1" applyAlignment="1">
      <alignment horizontal="center" wrapText="1"/>
    </xf>
    <xf numFmtId="0" fontId="3" fillId="2" borderId="1" xfId="5" applyFont="1" applyFill="1" applyBorder="1" applyAlignment="1">
      <alignment horizontal="center" vertical="center" wrapText="1"/>
    </xf>
    <xf numFmtId="0" fontId="5" fillId="2" borderId="4" xfId="1" applyFont="1" applyFill="1" applyBorder="1" applyAlignment="1">
      <alignment horizontal="center" vertical="center" wrapText="1"/>
    </xf>
    <xf numFmtId="0" fontId="5" fillId="2" borderId="6" xfId="1" applyFont="1" applyFill="1" applyBorder="1" applyAlignment="1">
      <alignment horizontal="center" vertical="center" wrapText="1"/>
    </xf>
    <xf numFmtId="0" fontId="5" fillId="2" borderId="5" xfId="1"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4" xfId="0" quotePrefix="1" applyFont="1" applyFill="1" applyBorder="1" applyAlignment="1">
      <alignment horizontal="left" vertical="center" wrapText="1"/>
    </xf>
    <xf numFmtId="0" fontId="3" fillId="2" borderId="6" xfId="0" quotePrefix="1" applyFont="1" applyFill="1" applyBorder="1" applyAlignment="1">
      <alignment horizontal="left" vertical="center" wrapText="1"/>
    </xf>
    <xf numFmtId="0" fontId="3" fillId="2" borderId="5" xfId="0" quotePrefix="1" applyFont="1" applyFill="1" applyBorder="1" applyAlignment="1">
      <alignment horizontal="left" vertical="center" wrapText="1"/>
    </xf>
    <xf numFmtId="0" fontId="5" fillId="0" borderId="4" xfId="1" applyFont="1" applyBorder="1" applyAlignment="1">
      <alignment horizontal="center" vertical="center" wrapText="1"/>
    </xf>
    <xf numFmtId="0" fontId="5" fillId="0" borderId="6" xfId="1" applyFont="1" applyBorder="1" applyAlignment="1">
      <alignment horizontal="center" vertical="center" wrapText="1"/>
    </xf>
    <xf numFmtId="0" fontId="5" fillId="0" borderId="5" xfId="1" applyFont="1" applyBorder="1" applyAlignment="1">
      <alignment horizontal="center" vertical="center" wrapText="1"/>
    </xf>
    <xf numFmtId="0" fontId="3" fillId="2" borderId="4" xfId="0" quotePrefix="1" applyFont="1" applyFill="1" applyBorder="1" applyAlignment="1">
      <alignment horizontal="center" vertical="center" wrapText="1"/>
    </xf>
    <xf numFmtId="0" fontId="3" fillId="2" borderId="6" xfId="0" quotePrefix="1" applyFont="1" applyFill="1" applyBorder="1" applyAlignment="1">
      <alignment horizontal="center" vertical="center" wrapText="1"/>
    </xf>
    <xf numFmtId="0" fontId="3" fillId="2" borderId="5" xfId="0" quotePrefix="1" applyFont="1" applyFill="1" applyBorder="1" applyAlignment="1">
      <alignment horizontal="center" vertical="center" wrapText="1"/>
    </xf>
  </cellXfs>
  <cellStyles count="7">
    <cellStyle name="Звичайний" xfId="0" builtinId="0"/>
    <cellStyle name="Обычный 11 2" xfId="5"/>
    <cellStyle name="Обычный 17 5 6" xfId="3"/>
    <cellStyle name="Обычный 2" xfId="6"/>
    <cellStyle name="Обычный 3" xfId="2"/>
    <cellStyle name="Обычный 3 2" xfId="4"/>
    <cellStyle name="Обычный_дод 3"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07"/>
  <sheetViews>
    <sheetView showZeros="0" tabSelected="1" zoomScale="65" zoomScaleNormal="65" workbookViewId="0">
      <pane ySplit="13" topLeftCell="A200" activePane="bottomLeft" state="frozen"/>
      <selection pane="bottomLeft" activeCell="A206" sqref="A205:XFD216"/>
    </sheetView>
  </sheetViews>
  <sheetFormatPr defaultColWidth="9.109375" defaultRowHeight="14.4" x14ac:dyDescent="0.3"/>
  <cols>
    <col min="1" max="1" width="13.33203125" style="9" customWidth="1"/>
    <col min="2" max="2" width="12.33203125" style="1" customWidth="1"/>
    <col min="3" max="3" width="14.33203125" style="9" customWidth="1"/>
    <col min="4" max="4" width="56" style="2" customWidth="1"/>
    <col min="5" max="5" width="5.6640625" style="1" customWidth="1"/>
    <col min="6" max="6" width="58.88671875" style="10" customWidth="1"/>
    <col min="7" max="7" width="25" style="1" customWidth="1"/>
    <col min="8" max="8" width="21.6640625" style="1" customWidth="1"/>
    <col min="9" max="9" width="19.33203125" style="1" customWidth="1"/>
    <col min="10" max="10" width="21.44140625" style="1" customWidth="1"/>
    <col min="11" max="11" width="22.6640625" style="1" customWidth="1"/>
    <col min="12" max="16384" width="9.109375" style="2"/>
  </cols>
  <sheetData>
    <row r="1" spans="1:11" ht="15.6" x14ac:dyDescent="0.3">
      <c r="I1" s="116" t="s">
        <v>392</v>
      </c>
      <c r="J1" s="116"/>
      <c r="K1" s="116"/>
    </row>
    <row r="2" spans="1:11" ht="15.6" x14ac:dyDescent="0.3">
      <c r="I2" s="116" t="s">
        <v>57</v>
      </c>
      <c r="J2" s="116"/>
      <c r="K2" s="116"/>
    </row>
    <row r="3" spans="1:11" ht="15.6" x14ac:dyDescent="0.3">
      <c r="I3" s="116" t="s">
        <v>58</v>
      </c>
      <c r="J3" s="116"/>
      <c r="K3" s="116"/>
    </row>
    <row r="4" spans="1:11" ht="15.6" x14ac:dyDescent="0.3">
      <c r="I4" s="117" t="s">
        <v>393</v>
      </c>
      <c r="J4" s="117"/>
      <c r="K4" s="117"/>
    </row>
    <row r="6" spans="1:11" ht="15.6" x14ac:dyDescent="0.3">
      <c r="I6" s="116" t="s">
        <v>271</v>
      </c>
      <c r="J6" s="116"/>
      <c r="K6" s="116"/>
    </row>
    <row r="7" spans="1:11" ht="15.6" x14ac:dyDescent="0.3">
      <c r="I7" s="116" t="s">
        <v>57</v>
      </c>
      <c r="J7" s="116"/>
      <c r="K7" s="116"/>
    </row>
    <row r="8" spans="1:11" ht="15.6" x14ac:dyDescent="0.3">
      <c r="I8" s="116" t="s">
        <v>58</v>
      </c>
      <c r="J8" s="116"/>
      <c r="K8" s="116"/>
    </row>
    <row r="9" spans="1:11" ht="15.6" x14ac:dyDescent="0.3">
      <c r="I9" s="117" t="s">
        <v>272</v>
      </c>
      <c r="J9" s="117"/>
      <c r="K9" s="117"/>
    </row>
    <row r="10" spans="1:11" ht="15.6" x14ac:dyDescent="0.3">
      <c r="A10" s="121" t="s">
        <v>235</v>
      </c>
      <c r="B10" s="121"/>
      <c r="C10" s="121"/>
      <c r="D10" s="121"/>
      <c r="E10" s="121"/>
      <c r="F10" s="121"/>
      <c r="G10" s="121"/>
      <c r="H10" s="121"/>
      <c r="I10" s="121"/>
      <c r="J10" s="121"/>
      <c r="K10" s="121"/>
    </row>
    <row r="11" spans="1:11" x14ac:dyDescent="0.3">
      <c r="A11" s="8"/>
      <c r="B11" s="3"/>
      <c r="C11" s="7"/>
      <c r="D11" s="3"/>
      <c r="E11" s="3"/>
      <c r="F11" s="4"/>
      <c r="G11" s="3"/>
      <c r="H11" s="5"/>
      <c r="I11" s="5"/>
      <c r="J11" s="5"/>
      <c r="K11" s="6" t="s">
        <v>45</v>
      </c>
    </row>
    <row r="12" spans="1:11" x14ac:dyDescent="0.3">
      <c r="A12" s="124" t="s">
        <v>46</v>
      </c>
      <c r="B12" s="119" t="s">
        <v>47</v>
      </c>
      <c r="C12" s="124" t="s">
        <v>9</v>
      </c>
      <c r="D12" s="119" t="s">
        <v>49</v>
      </c>
      <c r="E12" s="87"/>
      <c r="F12" s="122" t="s">
        <v>48</v>
      </c>
      <c r="G12" s="119" t="s">
        <v>50</v>
      </c>
      <c r="H12" s="120" t="s">
        <v>0</v>
      </c>
      <c r="I12" s="120" t="s">
        <v>1</v>
      </c>
      <c r="J12" s="120" t="s">
        <v>2</v>
      </c>
      <c r="K12" s="120"/>
    </row>
    <row r="13" spans="1:11" ht="85.65" customHeight="1" x14ac:dyDescent="0.3">
      <c r="A13" s="124"/>
      <c r="B13" s="119"/>
      <c r="C13" s="124"/>
      <c r="D13" s="119"/>
      <c r="E13" s="88"/>
      <c r="F13" s="123"/>
      <c r="G13" s="119"/>
      <c r="H13" s="120"/>
      <c r="I13" s="120"/>
      <c r="J13" s="40" t="s">
        <v>3</v>
      </c>
      <c r="K13" s="40" t="s">
        <v>4</v>
      </c>
    </row>
    <row r="14" spans="1:11" s="1" customFormat="1" x14ac:dyDescent="0.25">
      <c r="A14" s="41">
        <v>1</v>
      </c>
      <c r="B14" s="39">
        <v>2</v>
      </c>
      <c r="C14" s="41">
        <v>3</v>
      </c>
      <c r="D14" s="39">
        <v>4</v>
      </c>
      <c r="E14" s="39"/>
      <c r="F14" s="39">
        <v>5</v>
      </c>
      <c r="G14" s="39">
        <v>6</v>
      </c>
      <c r="H14" s="40">
        <v>7</v>
      </c>
      <c r="I14" s="40">
        <v>8</v>
      </c>
      <c r="J14" s="40">
        <v>9</v>
      </c>
      <c r="K14" s="40">
        <v>10</v>
      </c>
    </row>
    <row r="15" spans="1:11" s="27" customFormat="1" ht="15.6" x14ac:dyDescent="0.3">
      <c r="A15" s="30" t="s">
        <v>10</v>
      </c>
      <c r="B15" s="31"/>
      <c r="C15" s="31"/>
      <c r="D15" s="125" t="s">
        <v>147</v>
      </c>
      <c r="E15" s="125"/>
      <c r="F15" s="125"/>
      <c r="G15" s="26"/>
      <c r="H15" s="36">
        <f>H16</f>
        <v>120753277.22</v>
      </c>
      <c r="I15" s="36">
        <f>I16</f>
        <v>93238383.099999994</v>
      </c>
      <c r="J15" s="36">
        <f>J16</f>
        <v>27514894.119999997</v>
      </c>
      <c r="K15" s="36">
        <f>K16</f>
        <v>25003138.899999999</v>
      </c>
    </row>
    <row r="16" spans="1:11" s="27" customFormat="1" ht="15.6" x14ac:dyDescent="0.3">
      <c r="A16" s="30" t="s">
        <v>11</v>
      </c>
      <c r="B16" s="30"/>
      <c r="C16" s="30"/>
      <c r="D16" s="125" t="s">
        <v>147</v>
      </c>
      <c r="E16" s="125"/>
      <c r="F16" s="125"/>
      <c r="G16" s="26"/>
      <c r="H16" s="36">
        <f>SUM(H17:H37)</f>
        <v>120753277.22</v>
      </c>
      <c r="I16" s="36">
        <f>SUM(I17:I37)</f>
        <v>93238383.099999994</v>
      </c>
      <c r="J16" s="36">
        <f>SUM(J17:J37)</f>
        <v>27514894.119999997</v>
      </c>
      <c r="K16" s="36">
        <f>SUM(K17:K37)</f>
        <v>25003138.899999999</v>
      </c>
    </row>
    <row r="17" spans="1:11" s="16" customFormat="1" ht="46.8" x14ac:dyDescent="0.3">
      <c r="A17" s="12" t="s">
        <v>64</v>
      </c>
      <c r="B17" s="12" t="s">
        <v>65</v>
      </c>
      <c r="C17" s="12" t="s">
        <v>66</v>
      </c>
      <c r="D17" s="13" t="s">
        <v>67</v>
      </c>
      <c r="E17" s="50">
        <v>15</v>
      </c>
      <c r="F17" s="14" t="s">
        <v>222</v>
      </c>
      <c r="G17" s="15" t="s">
        <v>173</v>
      </c>
      <c r="H17" s="37">
        <f>I17+J17</f>
        <v>57524527</v>
      </c>
      <c r="I17" s="37">
        <f>34002900+511600+5000000+65630+200210+297600+22000-975433.9</f>
        <v>39124506.100000001</v>
      </c>
      <c r="J17" s="37">
        <f>2036600-65630+1822170+5800000+1695270+1611610.9+5500000</f>
        <v>18400020.899999999</v>
      </c>
      <c r="K17" s="37">
        <f>2036600-65630+1822170+5800000+1695270+1611610.9+5500000</f>
        <v>18400020.899999999</v>
      </c>
    </row>
    <row r="18" spans="1:11" s="16" customFormat="1" ht="46.8" x14ac:dyDescent="0.3">
      <c r="A18" s="12" t="s">
        <v>68</v>
      </c>
      <c r="B18" s="12" t="s">
        <v>69</v>
      </c>
      <c r="C18" s="12" t="s">
        <v>70</v>
      </c>
      <c r="D18" s="13" t="s">
        <v>71</v>
      </c>
      <c r="E18" s="50">
        <v>15</v>
      </c>
      <c r="F18" s="14" t="s">
        <v>222</v>
      </c>
      <c r="G18" s="15" t="s">
        <v>173</v>
      </c>
      <c r="H18" s="37">
        <f t="shared" ref="H18:H35" si="0">I18+J18</f>
        <v>10723300</v>
      </c>
      <c r="I18" s="37">
        <f>8701800+470400-98000</f>
        <v>9074200</v>
      </c>
      <c r="J18" s="37">
        <f>962100+687000</f>
        <v>1649100</v>
      </c>
      <c r="K18" s="37">
        <f>962100+687000</f>
        <v>1649100</v>
      </c>
    </row>
    <row r="19" spans="1:11" s="16" customFormat="1" ht="46.8" x14ac:dyDescent="0.3">
      <c r="A19" s="15" t="s">
        <v>153</v>
      </c>
      <c r="B19" s="15">
        <v>2111</v>
      </c>
      <c r="C19" s="15" t="s">
        <v>154</v>
      </c>
      <c r="D19" s="17" t="s">
        <v>155</v>
      </c>
      <c r="E19" s="89">
        <v>15</v>
      </c>
      <c r="F19" s="14" t="s">
        <v>222</v>
      </c>
      <c r="G19" s="15" t="s">
        <v>173</v>
      </c>
      <c r="H19" s="37">
        <f t="shared" si="0"/>
        <v>4942313</v>
      </c>
      <c r="I19" s="37">
        <f>4545400+68000+100000-60000+3500-190920-234262-96800</f>
        <v>4134918</v>
      </c>
      <c r="J19" s="37">
        <f>1426100+192000+100000+45000+60000-714700-301005</f>
        <v>807395</v>
      </c>
      <c r="K19" s="37">
        <f>1426100+192000+100000+45000+60000-714700-301005</f>
        <v>807395</v>
      </c>
    </row>
    <row r="20" spans="1:11" s="16" customFormat="1" ht="46.8" x14ac:dyDescent="0.3">
      <c r="A20" s="12" t="s">
        <v>72</v>
      </c>
      <c r="B20" s="12" t="s">
        <v>73</v>
      </c>
      <c r="C20" s="12" t="s">
        <v>74</v>
      </c>
      <c r="D20" s="42" t="s">
        <v>75</v>
      </c>
      <c r="E20" s="90">
        <v>15</v>
      </c>
      <c r="F20" s="14" t="s">
        <v>222</v>
      </c>
      <c r="G20" s="15" t="s">
        <v>173</v>
      </c>
      <c r="H20" s="37">
        <f t="shared" si="0"/>
        <v>13626337</v>
      </c>
      <c r="I20" s="37">
        <f>10835900-500000+550000+1405620+504307+830510</f>
        <v>13626337</v>
      </c>
      <c r="J20" s="37"/>
      <c r="K20" s="37"/>
    </row>
    <row r="21" spans="1:11" s="16" customFormat="1" ht="62.4" x14ac:dyDescent="0.3">
      <c r="A21" s="12" t="s">
        <v>72</v>
      </c>
      <c r="B21" s="12" t="s">
        <v>73</v>
      </c>
      <c r="C21" s="12" t="s">
        <v>74</v>
      </c>
      <c r="D21" s="42" t="s">
        <v>75</v>
      </c>
      <c r="E21" s="91">
        <v>69</v>
      </c>
      <c r="F21" s="21" t="s">
        <v>260</v>
      </c>
      <c r="G21" s="58" t="s">
        <v>274</v>
      </c>
      <c r="H21" s="37">
        <f t="shared" si="0"/>
        <v>478000</v>
      </c>
      <c r="I21" s="37">
        <f>500000-22000</f>
        <v>478000</v>
      </c>
      <c r="J21" s="37"/>
      <c r="K21" s="37"/>
    </row>
    <row r="22" spans="1:11" s="16" customFormat="1" ht="46.8" x14ac:dyDescent="0.3">
      <c r="A22" s="12" t="s">
        <v>357</v>
      </c>
      <c r="B22" s="12" t="s">
        <v>358</v>
      </c>
      <c r="C22" s="22" t="s">
        <v>74</v>
      </c>
      <c r="D22" s="17" t="s">
        <v>359</v>
      </c>
      <c r="E22" s="91">
        <v>15</v>
      </c>
      <c r="F22" s="14" t="s">
        <v>222</v>
      </c>
      <c r="G22" s="15" t="s">
        <v>173</v>
      </c>
      <c r="H22" s="37">
        <f t="shared" si="0"/>
        <v>197300</v>
      </c>
      <c r="I22" s="37"/>
      <c r="J22" s="37">
        <v>197300</v>
      </c>
      <c r="K22" s="37">
        <v>197300</v>
      </c>
    </row>
    <row r="23" spans="1:11" s="16" customFormat="1" ht="46.8" x14ac:dyDescent="0.3">
      <c r="A23" s="18" t="s">
        <v>79</v>
      </c>
      <c r="B23" s="12" t="s">
        <v>80</v>
      </c>
      <c r="C23" s="12" t="s">
        <v>81</v>
      </c>
      <c r="D23" s="20" t="s">
        <v>82</v>
      </c>
      <c r="E23" s="92">
        <v>14</v>
      </c>
      <c r="F23" s="21" t="s">
        <v>78</v>
      </c>
      <c r="G23" s="15" t="s">
        <v>175</v>
      </c>
      <c r="H23" s="38">
        <f t="shared" si="0"/>
        <v>3463600</v>
      </c>
      <c r="I23" s="37">
        <f>5000000-36400-500000-1000000</f>
        <v>3463600</v>
      </c>
      <c r="J23" s="37"/>
      <c r="K23" s="37"/>
    </row>
    <row r="24" spans="1:11" s="16" customFormat="1" ht="62.4" x14ac:dyDescent="0.3">
      <c r="A24" s="18" t="s">
        <v>79</v>
      </c>
      <c r="B24" s="12" t="s">
        <v>80</v>
      </c>
      <c r="C24" s="12" t="s">
        <v>81</v>
      </c>
      <c r="D24" s="20" t="s">
        <v>82</v>
      </c>
      <c r="E24" s="97">
        <v>13</v>
      </c>
      <c r="F24" s="14" t="s">
        <v>95</v>
      </c>
      <c r="G24" s="15" t="s">
        <v>96</v>
      </c>
      <c r="H24" s="38">
        <f t="shared" ref="H24" si="1">I24+J24</f>
        <v>36400</v>
      </c>
      <c r="I24" s="37">
        <v>36400</v>
      </c>
      <c r="J24" s="37"/>
      <c r="K24" s="37"/>
    </row>
    <row r="25" spans="1:11" s="16" customFormat="1" ht="46.8" x14ac:dyDescent="0.3">
      <c r="A25" s="55" t="s">
        <v>255</v>
      </c>
      <c r="B25" s="55" t="s">
        <v>53</v>
      </c>
      <c r="C25" s="55" t="s">
        <v>20</v>
      </c>
      <c r="D25" s="63" t="s">
        <v>30</v>
      </c>
      <c r="E25" s="93">
        <v>68</v>
      </c>
      <c r="F25" s="64" t="s">
        <v>262</v>
      </c>
      <c r="G25" s="58" t="s">
        <v>315</v>
      </c>
      <c r="H25" s="38">
        <f>I25+J25</f>
        <v>15359700</v>
      </c>
      <c r="I25" s="37">
        <f>8141500-73000+2000000-15600+1500000+1500000-29000+1900000-254000+469800+220000</f>
        <v>15359700</v>
      </c>
      <c r="J25" s="37"/>
      <c r="K25" s="37"/>
    </row>
    <row r="26" spans="1:11" s="16" customFormat="1" ht="46.8" x14ac:dyDescent="0.3">
      <c r="A26" s="22" t="s">
        <v>360</v>
      </c>
      <c r="B26" s="22" t="s">
        <v>361</v>
      </c>
      <c r="C26" s="22" t="s">
        <v>341</v>
      </c>
      <c r="D26" s="17" t="s">
        <v>362</v>
      </c>
      <c r="E26" s="96">
        <v>15</v>
      </c>
      <c r="F26" s="14" t="s">
        <v>222</v>
      </c>
      <c r="G26" s="15" t="s">
        <v>173</v>
      </c>
      <c r="H26" s="38">
        <f>I26+J26</f>
        <v>90000</v>
      </c>
      <c r="I26" s="37"/>
      <c r="J26" s="37">
        <v>90000</v>
      </c>
      <c r="K26" s="37">
        <v>90000</v>
      </c>
    </row>
    <row r="27" spans="1:11" s="16" customFormat="1" ht="46.8" x14ac:dyDescent="0.3">
      <c r="A27" s="22" t="s">
        <v>339</v>
      </c>
      <c r="B27" s="22" t="s">
        <v>340</v>
      </c>
      <c r="C27" s="22" t="s">
        <v>341</v>
      </c>
      <c r="D27" s="17" t="s">
        <v>342</v>
      </c>
      <c r="E27" s="89">
        <v>73</v>
      </c>
      <c r="F27" s="14" t="s">
        <v>335</v>
      </c>
      <c r="G27" s="58" t="s">
        <v>338</v>
      </c>
      <c r="H27" s="38">
        <f t="shared" ref="H27:H28" si="2">I27+J27</f>
        <v>283400</v>
      </c>
      <c r="I27" s="37"/>
      <c r="J27" s="37">
        <f>340000-56600</f>
        <v>283400</v>
      </c>
      <c r="K27" s="37">
        <f>340000-56600</f>
        <v>283400</v>
      </c>
    </row>
    <row r="28" spans="1:11" s="16" customFormat="1" ht="46.8" x14ac:dyDescent="0.3">
      <c r="A28" s="22" t="s">
        <v>343</v>
      </c>
      <c r="B28" s="22" t="s">
        <v>344</v>
      </c>
      <c r="C28" s="22" t="s">
        <v>341</v>
      </c>
      <c r="D28" s="17" t="s">
        <v>345</v>
      </c>
      <c r="E28" s="89">
        <v>73</v>
      </c>
      <c r="F28" s="14" t="s">
        <v>335</v>
      </c>
      <c r="G28" s="58" t="s">
        <v>338</v>
      </c>
      <c r="H28" s="38">
        <f t="shared" si="2"/>
        <v>80000</v>
      </c>
      <c r="I28" s="37">
        <v>80000</v>
      </c>
      <c r="J28" s="37">
        <f>7000000-80000-3000000-3920000</f>
        <v>0</v>
      </c>
      <c r="K28" s="37">
        <f>7000000-80000-3000000-3920000</f>
        <v>0</v>
      </c>
    </row>
    <row r="29" spans="1:11" s="16" customFormat="1" ht="46.8" x14ac:dyDescent="0.3">
      <c r="A29" s="18" t="s">
        <v>250</v>
      </c>
      <c r="B29" s="12" t="s">
        <v>232</v>
      </c>
      <c r="C29" s="12" t="s">
        <v>233</v>
      </c>
      <c r="D29" s="13" t="s">
        <v>265</v>
      </c>
      <c r="E29" s="50">
        <v>61</v>
      </c>
      <c r="F29" s="33" t="s">
        <v>264</v>
      </c>
      <c r="G29" s="15" t="s">
        <v>316</v>
      </c>
      <c r="H29" s="38">
        <f t="shared" si="0"/>
        <v>2579940</v>
      </c>
      <c r="I29" s="37">
        <f>1529300+39240+89300+14500-71000</f>
        <v>1601340</v>
      </c>
      <c r="J29" s="37">
        <f>534000+191600+40180+159820+29000+24000</f>
        <v>978600</v>
      </c>
      <c r="K29" s="37">
        <f>534000+191600+40180+159820+29000+24000</f>
        <v>978600</v>
      </c>
    </row>
    <row r="30" spans="1:11" s="16" customFormat="1" ht="46.8" x14ac:dyDescent="0.3">
      <c r="A30" s="22" t="s">
        <v>267</v>
      </c>
      <c r="B30" s="22" t="s">
        <v>268</v>
      </c>
      <c r="C30" s="22" t="s">
        <v>269</v>
      </c>
      <c r="D30" s="17" t="s">
        <v>270</v>
      </c>
      <c r="E30" s="89">
        <v>15</v>
      </c>
      <c r="F30" s="14" t="s">
        <v>222</v>
      </c>
      <c r="G30" s="15" t="s">
        <v>173</v>
      </c>
      <c r="H30" s="38">
        <f t="shared" si="0"/>
        <v>1500000</v>
      </c>
      <c r="I30" s="37"/>
      <c r="J30" s="37">
        <f>1000000+500000</f>
        <v>1500000</v>
      </c>
      <c r="K30" s="37">
        <f>1000000+500000</f>
        <v>1500000</v>
      </c>
    </row>
    <row r="31" spans="1:11" s="16" customFormat="1" ht="109.2" x14ac:dyDescent="0.3">
      <c r="A31" s="22" t="s">
        <v>363</v>
      </c>
      <c r="B31" s="22" t="s">
        <v>298</v>
      </c>
      <c r="C31" s="22" t="s">
        <v>21</v>
      </c>
      <c r="D31" s="17" t="s">
        <v>300</v>
      </c>
      <c r="E31" s="108">
        <v>15</v>
      </c>
      <c r="F31" s="14" t="s">
        <v>222</v>
      </c>
      <c r="G31" s="15" t="s">
        <v>173</v>
      </c>
      <c r="H31" s="38">
        <f t="shared" si="0"/>
        <v>2074155.22</v>
      </c>
      <c r="I31" s="37"/>
      <c r="J31" s="37">
        <f>2082045-7889.78</f>
        <v>2074155.22</v>
      </c>
      <c r="K31" s="37"/>
    </row>
    <row r="32" spans="1:11" s="16" customFormat="1" ht="46.8" x14ac:dyDescent="0.3">
      <c r="A32" s="18" t="s">
        <v>253</v>
      </c>
      <c r="B32" s="12" t="s">
        <v>254</v>
      </c>
      <c r="C32" s="12" t="s">
        <v>165</v>
      </c>
      <c r="D32" s="73" t="s">
        <v>166</v>
      </c>
      <c r="E32" s="89">
        <v>17</v>
      </c>
      <c r="F32" s="14" t="s">
        <v>156</v>
      </c>
      <c r="G32" s="15" t="s">
        <v>176</v>
      </c>
      <c r="H32" s="38">
        <f t="shared" si="0"/>
        <v>357660</v>
      </c>
      <c r="I32" s="37">
        <f>42000+13000+30000+50000+127860-3200+98000</f>
        <v>357660</v>
      </c>
      <c r="J32" s="37"/>
      <c r="K32" s="37"/>
    </row>
    <row r="33" spans="1:11" s="16" customFormat="1" ht="124.8" x14ac:dyDescent="0.3">
      <c r="A33" s="22" t="s">
        <v>196</v>
      </c>
      <c r="B33" s="15">
        <v>8220</v>
      </c>
      <c r="C33" s="22" t="s">
        <v>85</v>
      </c>
      <c r="D33" s="17" t="s">
        <v>197</v>
      </c>
      <c r="E33" s="94">
        <v>18</v>
      </c>
      <c r="F33" s="23" t="s">
        <v>198</v>
      </c>
      <c r="G33" s="15" t="s">
        <v>199</v>
      </c>
      <c r="H33" s="37">
        <f t="shared" si="0"/>
        <v>233347</v>
      </c>
      <c r="I33" s="37">
        <f>2083400-1000000-450000-400053</f>
        <v>233347</v>
      </c>
      <c r="J33" s="37"/>
      <c r="K33" s="37"/>
    </row>
    <row r="34" spans="1:11" s="16" customFormat="1" ht="62.4" x14ac:dyDescent="0.3">
      <c r="A34" s="12" t="s">
        <v>83</v>
      </c>
      <c r="B34" s="12" t="s">
        <v>84</v>
      </c>
      <c r="C34" s="12" t="s">
        <v>85</v>
      </c>
      <c r="D34" s="20" t="s">
        <v>86</v>
      </c>
      <c r="E34" s="95">
        <v>36</v>
      </c>
      <c r="F34" s="23" t="s">
        <v>190</v>
      </c>
      <c r="G34" s="15" t="s">
        <v>202</v>
      </c>
      <c r="H34" s="37">
        <f>I34+J34</f>
        <v>3310623</v>
      </c>
      <c r="I34" s="37">
        <f>2270000</f>
        <v>2270000</v>
      </c>
      <c r="J34" s="37">
        <f>514000+307000+201140+18483</f>
        <v>1040623</v>
      </c>
      <c r="K34" s="37">
        <f>514000+307000+201140+18483</f>
        <v>1040623</v>
      </c>
    </row>
    <row r="35" spans="1:11" s="16" customFormat="1" ht="78" x14ac:dyDescent="0.3">
      <c r="A35" s="12" t="s">
        <v>83</v>
      </c>
      <c r="B35" s="12" t="s">
        <v>84</v>
      </c>
      <c r="C35" s="12" t="s">
        <v>85</v>
      </c>
      <c r="D35" s="20" t="s">
        <v>86</v>
      </c>
      <c r="E35" s="95">
        <v>66</v>
      </c>
      <c r="F35" s="23" t="s">
        <v>263</v>
      </c>
      <c r="G35" s="58" t="s">
        <v>317</v>
      </c>
      <c r="H35" s="37">
        <f t="shared" si="0"/>
        <v>1932677</v>
      </c>
      <c r="I35" s="37">
        <f>403200+173800+604700+376500+374477</f>
        <v>1932677</v>
      </c>
      <c r="J35" s="37"/>
      <c r="K35" s="37"/>
    </row>
    <row r="36" spans="1:11" s="16" customFormat="1" ht="78" x14ac:dyDescent="0.3">
      <c r="A36" s="12" t="s">
        <v>280</v>
      </c>
      <c r="B36" s="12" t="s">
        <v>158</v>
      </c>
      <c r="C36" s="22" t="s">
        <v>85</v>
      </c>
      <c r="D36" s="17" t="s">
        <v>159</v>
      </c>
      <c r="E36" s="94">
        <v>66</v>
      </c>
      <c r="F36" s="23" t="s">
        <v>263</v>
      </c>
      <c r="G36" s="58" t="s">
        <v>317</v>
      </c>
      <c r="H36" s="37">
        <f>I36+J36</f>
        <v>1522398</v>
      </c>
      <c r="I36" s="37">
        <f>22800+500000+107500+450000+385398</f>
        <v>1465698</v>
      </c>
      <c r="J36" s="37">
        <f>200500-22800-121000</f>
        <v>56700</v>
      </c>
      <c r="K36" s="37">
        <f>200500-22800-121000</f>
        <v>56700</v>
      </c>
    </row>
    <row r="37" spans="1:11" s="16" customFormat="1" ht="78" x14ac:dyDescent="0.3">
      <c r="A37" s="12" t="s">
        <v>87</v>
      </c>
      <c r="B37" s="12" t="s">
        <v>88</v>
      </c>
      <c r="C37" s="12" t="s">
        <v>89</v>
      </c>
      <c r="D37" s="20" t="s">
        <v>90</v>
      </c>
      <c r="E37" s="95">
        <v>56</v>
      </c>
      <c r="F37" s="23" t="s">
        <v>217</v>
      </c>
      <c r="G37" s="15" t="s">
        <v>318</v>
      </c>
      <c r="H37" s="37">
        <f>I37+J37</f>
        <v>437600</v>
      </c>
      <c r="I37" s="37"/>
      <c r="J37" s="37">
        <f>900000-100000-362400</f>
        <v>437600</v>
      </c>
      <c r="K37" s="37"/>
    </row>
    <row r="38" spans="1:11" s="27" customFormat="1" ht="15.6" x14ac:dyDescent="0.3">
      <c r="A38" s="25" t="s">
        <v>5</v>
      </c>
      <c r="B38" s="25"/>
      <c r="C38" s="25"/>
      <c r="D38" s="126" t="s">
        <v>203</v>
      </c>
      <c r="E38" s="127"/>
      <c r="F38" s="128"/>
      <c r="G38" s="26"/>
      <c r="H38" s="36">
        <f>H39</f>
        <v>88809052.249999985</v>
      </c>
      <c r="I38" s="36">
        <f>I39</f>
        <v>53748960.32</v>
      </c>
      <c r="J38" s="36">
        <f>J39</f>
        <v>35060091.93</v>
      </c>
      <c r="K38" s="36">
        <f>K39</f>
        <v>20437791.93</v>
      </c>
    </row>
    <row r="39" spans="1:11" s="27" customFormat="1" ht="15.6" x14ac:dyDescent="0.3">
      <c r="A39" s="25" t="s">
        <v>6</v>
      </c>
      <c r="B39" s="25"/>
      <c r="C39" s="25"/>
      <c r="D39" s="126" t="s">
        <v>203</v>
      </c>
      <c r="E39" s="127"/>
      <c r="F39" s="128"/>
      <c r="G39" s="26"/>
      <c r="H39" s="36">
        <f>SUM(H40:H62)</f>
        <v>88809052.249999985</v>
      </c>
      <c r="I39" s="36">
        <f>SUM(I40:I62)</f>
        <v>53748960.32</v>
      </c>
      <c r="J39" s="36">
        <f>SUM(J40:J62)</f>
        <v>35060091.93</v>
      </c>
      <c r="K39" s="36">
        <f>SUM(K40:K62)</f>
        <v>20437791.93</v>
      </c>
    </row>
    <row r="40" spans="1:11" s="16" customFormat="1" ht="62.4" x14ac:dyDescent="0.3">
      <c r="A40" s="12" t="s">
        <v>7</v>
      </c>
      <c r="B40" s="12" t="s">
        <v>29</v>
      </c>
      <c r="C40" s="12" t="s">
        <v>15</v>
      </c>
      <c r="D40" s="13" t="s">
        <v>8</v>
      </c>
      <c r="E40" s="50">
        <v>13</v>
      </c>
      <c r="F40" s="14" t="s">
        <v>95</v>
      </c>
      <c r="G40" s="19" t="s">
        <v>183</v>
      </c>
      <c r="H40" s="37">
        <f t="shared" ref="H40:H57" si="3">I40+J40</f>
        <v>1100000</v>
      </c>
      <c r="I40" s="37">
        <v>1100000</v>
      </c>
      <c r="J40" s="37"/>
      <c r="K40" s="37"/>
    </row>
    <row r="41" spans="1:11" s="16" customFormat="1" ht="46.8" x14ac:dyDescent="0.3">
      <c r="A41" s="12" t="s">
        <v>7</v>
      </c>
      <c r="B41" s="12" t="s">
        <v>29</v>
      </c>
      <c r="C41" s="12" t="s">
        <v>15</v>
      </c>
      <c r="D41" s="13" t="s">
        <v>8</v>
      </c>
      <c r="E41" s="50">
        <v>16</v>
      </c>
      <c r="F41" s="14" t="s">
        <v>123</v>
      </c>
      <c r="G41" s="15" t="s">
        <v>177</v>
      </c>
      <c r="H41" s="37">
        <f t="shared" si="3"/>
        <v>4450040</v>
      </c>
      <c r="I41" s="37">
        <f>3240500+259500-50000</f>
        <v>3450000</v>
      </c>
      <c r="J41" s="37">
        <f>1073037+700000+500000+77000-260000-889997-200000</f>
        <v>1000040</v>
      </c>
      <c r="K41" s="37">
        <f>1073037+700000+500000+77000-260000-889997-200000</f>
        <v>1000040</v>
      </c>
    </row>
    <row r="42" spans="1:11" s="16" customFormat="1" ht="46.8" x14ac:dyDescent="0.3">
      <c r="A42" s="12" t="s">
        <v>60</v>
      </c>
      <c r="B42" s="12" t="s">
        <v>61</v>
      </c>
      <c r="C42" s="12" t="s">
        <v>44</v>
      </c>
      <c r="D42" s="20" t="s">
        <v>59</v>
      </c>
      <c r="E42" s="96">
        <v>16</v>
      </c>
      <c r="F42" s="14" t="s">
        <v>123</v>
      </c>
      <c r="G42" s="15" t="s">
        <v>177</v>
      </c>
      <c r="H42" s="37">
        <f>I42+J42</f>
        <v>30231586.609999999</v>
      </c>
      <c r="I42" s="37">
        <v>24700000</v>
      </c>
      <c r="J42" s="37">
        <f>1800000+800000-200000-546750+600000+400000+9000+2173375+475000+475000-340000+73549-92000+304412.61-400000</f>
        <v>5531586.6100000003</v>
      </c>
      <c r="K42" s="37">
        <f>1800000+800000-200000-546750+600000+400000+9000+2173375+475000+475000-340000+73549-92000+304412.61-400000</f>
        <v>5531586.6100000003</v>
      </c>
    </row>
    <row r="43" spans="1:11" s="16" customFormat="1" ht="46.8" x14ac:dyDescent="0.3">
      <c r="A43" s="12" t="s">
        <v>60</v>
      </c>
      <c r="B43" s="12" t="s">
        <v>61</v>
      </c>
      <c r="C43" s="12" t="s">
        <v>44</v>
      </c>
      <c r="D43" s="20" t="s">
        <v>59</v>
      </c>
      <c r="E43" s="96">
        <v>23</v>
      </c>
      <c r="F43" s="14" t="s">
        <v>160</v>
      </c>
      <c r="G43" s="15" t="s">
        <v>161</v>
      </c>
      <c r="H43" s="37">
        <f t="shared" si="3"/>
        <v>200000</v>
      </c>
      <c r="I43" s="37">
        <v>200000</v>
      </c>
      <c r="J43" s="37"/>
      <c r="K43" s="37"/>
    </row>
    <row r="44" spans="1:11" s="16" customFormat="1" ht="62.4" x14ac:dyDescent="0.3">
      <c r="A44" s="12" t="s">
        <v>60</v>
      </c>
      <c r="B44" s="12" t="s">
        <v>61</v>
      </c>
      <c r="C44" s="12" t="s">
        <v>44</v>
      </c>
      <c r="D44" s="20" t="s">
        <v>59</v>
      </c>
      <c r="E44" s="96">
        <v>32</v>
      </c>
      <c r="F44" s="14" t="s">
        <v>187</v>
      </c>
      <c r="G44" s="15" t="s">
        <v>186</v>
      </c>
      <c r="H44" s="37">
        <f t="shared" si="3"/>
        <v>15000</v>
      </c>
      <c r="I44" s="37">
        <v>15000</v>
      </c>
      <c r="J44" s="37"/>
      <c r="K44" s="37"/>
    </row>
    <row r="45" spans="1:11" s="16" customFormat="1" ht="62.4" x14ac:dyDescent="0.3">
      <c r="A45" s="12" t="s">
        <v>124</v>
      </c>
      <c r="B45" s="12" t="s">
        <v>125</v>
      </c>
      <c r="C45" s="12" t="s">
        <v>126</v>
      </c>
      <c r="D45" s="20" t="s">
        <v>127</v>
      </c>
      <c r="E45" s="96">
        <v>16</v>
      </c>
      <c r="F45" s="14" t="s">
        <v>123</v>
      </c>
      <c r="G45" s="15" t="s">
        <v>177</v>
      </c>
      <c r="H45" s="37">
        <f>I45+J45</f>
        <v>2859069</v>
      </c>
      <c r="I45" s="37">
        <f>2000000-676400+837400+4000+10000</f>
        <v>2175000</v>
      </c>
      <c r="J45" s="37">
        <f>9100-31+675000</f>
        <v>684069</v>
      </c>
      <c r="K45" s="37">
        <f>9100-31+675000</f>
        <v>684069</v>
      </c>
    </row>
    <row r="46" spans="1:11" s="16" customFormat="1" ht="46.8" x14ac:dyDescent="0.3">
      <c r="A46" s="12" t="s">
        <v>322</v>
      </c>
      <c r="B46" s="12" t="s">
        <v>128</v>
      </c>
      <c r="C46" s="15" t="s">
        <v>220</v>
      </c>
      <c r="D46" s="17" t="s">
        <v>323</v>
      </c>
      <c r="E46" s="96">
        <v>16</v>
      </c>
      <c r="F46" s="14" t="s">
        <v>123</v>
      </c>
      <c r="G46" s="15" t="s">
        <v>177</v>
      </c>
      <c r="H46" s="37">
        <f>I46+J46</f>
        <v>666983</v>
      </c>
      <c r="I46" s="37">
        <f>793500-130000</f>
        <v>663500</v>
      </c>
      <c r="J46" s="37">
        <f>4000-517</f>
        <v>3483</v>
      </c>
      <c r="K46" s="37">
        <f>4000-517</f>
        <v>3483</v>
      </c>
    </row>
    <row r="47" spans="1:11" s="16" customFormat="1" ht="46.8" x14ac:dyDescent="0.3">
      <c r="A47" s="12" t="s">
        <v>389</v>
      </c>
      <c r="B47" s="12" t="s">
        <v>390</v>
      </c>
      <c r="C47" s="22" t="s">
        <v>283</v>
      </c>
      <c r="D47" s="17" t="s">
        <v>388</v>
      </c>
      <c r="E47" s="96">
        <v>16</v>
      </c>
      <c r="F47" s="14" t="s">
        <v>123</v>
      </c>
      <c r="G47" s="15" t="s">
        <v>177</v>
      </c>
      <c r="H47" s="37">
        <f>I47+J47</f>
        <v>3733000</v>
      </c>
      <c r="I47" s="37"/>
      <c r="J47" s="37">
        <f>3750000-17000</f>
        <v>3733000</v>
      </c>
      <c r="K47" s="37">
        <f>3750000-17000</f>
        <v>3733000</v>
      </c>
    </row>
    <row r="48" spans="1:11" s="16" customFormat="1" ht="46.8" x14ac:dyDescent="0.3">
      <c r="A48" s="15" t="s">
        <v>324</v>
      </c>
      <c r="B48" s="15" t="s">
        <v>325</v>
      </c>
      <c r="C48" s="15" t="s">
        <v>283</v>
      </c>
      <c r="D48" s="17" t="s">
        <v>326</v>
      </c>
      <c r="E48" s="96">
        <v>16</v>
      </c>
      <c r="F48" s="14" t="s">
        <v>123</v>
      </c>
      <c r="G48" s="15" t="s">
        <v>177</v>
      </c>
      <c r="H48" s="37">
        <f t="shared" ref="H48:H49" si="4">I48+J48</f>
        <v>80000</v>
      </c>
      <c r="I48" s="37">
        <f>100000-20000</f>
        <v>80000</v>
      </c>
      <c r="J48" s="37"/>
      <c r="K48" s="37"/>
    </row>
    <row r="49" spans="1:14" s="16" customFormat="1" ht="46.8" x14ac:dyDescent="0.3">
      <c r="A49" s="15" t="s">
        <v>327</v>
      </c>
      <c r="B49" s="15" t="s">
        <v>328</v>
      </c>
      <c r="C49" s="15" t="s">
        <v>283</v>
      </c>
      <c r="D49" s="17" t="s">
        <v>329</v>
      </c>
      <c r="E49" s="96">
        <v>16</v>
      </c>
      <c r="F49" s="14" t="s">
        <v>123</v>
      </c>
      <c r="G49" s="15" t="s">
        <v>177</v>
      </c>
      <c r="H49" s="37">
        <f t="shared" si="4"/>
        <v>148400</v>
      </c>
      <c r="I49" s="37">
        <f>145600+2800</f>
        <v>148400</v>
      </c>
      <c r="J49" s="37"/>
      <c r="K49" s="37"/>
    </row>
    <row r="50" spans="1:14" s="16" customFormat="1" ht="78" x14ac:dyDescent="0.3">
      <c r="A50" s="12" t="s">
        <v>281</v>
      </c>
      <c r="B50" s="22" t="s">
        <v>282</v>
      </c>
      <c r="C50" s="22" t="s">
        <v>283</v>
      </c>
      <c r="D50" s="17" t="s">
        <v>284</v>
      </c>
      <c r="E50" s="89">
        <v>16</v>
      </c>
      <c r="F50" s="14" t="s">
        <v>123</v>
      </c>
      <c r="G50" s="15" t="s">
        <v>177</v>
      </c>
      <c r="H50" s="37">
        <f t="shared" ref="H50:H56" si="5">I50+J50</f>
        <v>1291800</v>
      </c>
      <c r="I50" s="37"/>
      <c r="J50" s="37">
        <f>1304329-12529</f>
        <v>1291800</v>
      </c>
      <c r="K50" s="37">
        <f>1304329-12529</f>
        <v>1291800</v>
      </c>
    </row>
    <row r="51" spans="1:14" s="16" customFormat="1" ht="78" x14ac:dyDescent="0.3">
      <c r="A51" s="22" t="s">
        <v>375</v>
      </c>
      <c r="B51" s="22" t="s">
        <v>376</v>
      </c>
      <c r="C51" s="22" t="s">
        <v>283</v>
      </c>
      <c r="D51" s="17" t="s">
        <v>377</v>
      </c>
      <c r="E51" s="89">
        <v>16</v>
      </c>
      <c r="F51" s="14" t="s">
        <v>123</v>
      </c>
      <c r="G51" s="15" t="s">
        <v>177</v>
      </c>
      <c r="H51" s="37">
        <f t="shared" si="5"/>
        <v>3043200</v>
      </c>
      <c r="I51" s="37"/>
      <c r="J51" s="37">
        <v>3043200</v>
      </c>
      <c r="K51" s="37">
        <v>3043200</v>
      </c>
    </row>
    <row r="52" spans="1:14" s="16" customFormat="1" ht="78" x14ac:dyDescent="0.3">
      <c r="A52" s="22" t="s">
        <v>381</v>
      </c>
      <c r="B52" s="22" t="s">
        <v>382</v>
      </c>
      <c r="C52" s="22" t="s">
        <v>283</v>
      </c>
      <c r="D52" s="17" t="s">
        <v>383</v>
      </c>
      <c r="E52" s="89">
        <v>16</v>
      </c>
      <c r="F52" s="14" t="s">
        <v>123</v>
      </c>
      <c r="G52" s="15" t="s">
        <v>177</v>
      </c>
      <c r="H52" s="37">
        <f t="shared" si="5"/>
        <v>4508100</v>
      </c>
      <c r="I52" s="37"/>
      <c r="J52" s="37">
        <v>4508100</v>
      </c>
      <c r="K52" s="37"/>
    </row>
    <row r="53" spans="1:14" s="16" customFormat="1" ht="46.8" x14ac:dyDescent="0.3">
      <c r="A53" s="22" t="s">
        <v>353</v>
      </c>
      <c r="B53" s="22" t="s">
        <v>354</v>
      </c>
      <c r="C53" s="22" t="s">
        <v>283</v>
      </c>
      <c r="D53" s="17" t="s">
        <v>355</v>
      </c>
      <c r="E53" s="89">
        <v>17</v>
      </c>
      <c r="F53" s="14" t="s">
        <v>156</v>
      </c>
      <c r="G53" s="15" t="s">
        <v>176</v>
      </c>
      <c r="H53" s="37">
        <f t="shared" si="5"/>
        <v>964613.8</v>
      </c>
      <c r="I53" s="37"/>
      <c r="J53" s="37">
        <f>1400000-400000-35386.2</f>
        <v>964613.8</v>
      </c>
      <c r="K53" s="37">
        <f>1400000-400000-35386.2</f>
        <v>964613.8</v>
      </c>
    </row>
    <row r="54" spans="1:14" s="16" customFormat="1" ht="46.8" x14ac:dyDescent="0.3">
      <c r="A54" s="22" t="s">
        <v>378</v>
      </c>
      <c r="B54" s="22" t="s">
        <v>379</v>
      </c>
      <c r="C54" s="22" t="s">
        <v>283</v>
      </c>
      <c r="D54" s="17" t="s">
        <v>380</v>
      </c>
      <c r="E54" s="89">
        <v>16</v>
      </c>
      <c r="F54" s="14" t="s">
        <v>123</v>
      </c>
      <c r="G54" s="15" t="s">
        <v>177</v>
      </c>
      <c r="H54" s="37">
        <f t="shared" si="5"/>
        <v>7220800</v>
      </c>
      <c r="I54" s="37"/>
      <c r="J54" s="37">
        <v>7220800</v>
      </c>
      <c r="K54" s="37"/>
    </row>
    <row r="55" spans="1:14" s="16" customFormat="1" ht="62.4" x14ac:dyDescent="0.3">
      <c r="A55" s="22" t="s">
        <v>384</v>
      </c>
      <c r="B55" s="15">
        <v>1700</v>
      </c>
      <c r="C55" s="15" t="s">
        <v>283</v>
      </c>
      <c r="D55" s="75" t="s">
        <v>385</v>
      </c>
      <c r="E55" s="89">
        <v>16</v>
      </c>
      <c r="F55" s="14" t="s">
        <v>123</v>
      </c>
      <c r="G55" s="15" t="s">
        <v>177</v>
      </c>
      <c r="H55" s="37">
        <f t="shared" si="5"/>
        <v>2893400</v>
      </c>
      <c r="I55" s="37"/>
      <c r="J55" s="37">
        <f>1446700+1446700</f>
        <v>2893400</v>
      </c>
      <c r="K55" s="37"/>
    </row>
    <row r="56" spans="1:14" s="16" customFormat="1" ht="46.8" x14ac:dyDescent="0.3">
      <c r="A56" s="22" t="s">
        <v>386</v>
      </c>
      <c r="B56" s="15">
        <v>1702</v>
      </c>
      <c r="C56" s="15" t="s">
        <v>283</v>
      </c>
      <c r="D56" s="75" t="s">
        <v>387</v>
      </c>
      <c r="E56" s="89">
        <v>16</v>
      </c>
      <c r="F56" s="14" t="s">
        <v>123</v>
      </c>
      <c r="G56" s="15" t="s">
        <v>177</v>
      </c>
      <c r="H56" s="37">
        <f t="shared" si="5"/>
        <v>12957600</v>
      </c>
      <c r="I56" s="37">
        <v>12957600</v>
      </c>
      <c r="J56" s="37"/>
      <c r="K56" s="37"/>
    </row>
    <row r="57" spans="1:14" s="16" customFormat="1" ht="72.75" customHeight="1" x14ac:dyDescent="0.3">
      <c r="A57" s="12" t="s">
        <v>184</v>
      </c>
      <c r="B57" s="12" t="s">
        <v>26</v>
      </c>
      <c r="C57" s="12" t="s">
        <v>27</v>
      </c>
      <c r="D57" s="77" t="s">
        <v>16</v>
      </c>
      <c r="E57" s="50">
        <v>25</v>
      </c>
      <c r="F57" s="14" t="s">
        <v>185</v>
      </c>
      <c r="G57" s="15" t="s">
        <v>209</v>
      </c>
      <c r="H57" s="37">
        <f t="shared" si="3"/>
        <v>2184645.3199999998</v>
      </c>
      <c r="I57" s="37">
        <f>4638400-500000-1152400-630000-66834.68-104520</f>
        <v>2184645.3199999998</v>
      </c>
      <c r="J57" s="37"/>
      <c r="K57" s="37"/>
    </row>
    <row r="58" spans="1:14" s="34" customFormat="1" ht="46.8" x14ac:dyDescent="0.3">
      <c r="A58" s="22" t="s">
        <v>24</v>
      </c>
      <c r="B58" s="15">
        <v>3242</v>
      </c>
      <c r="C58" s="15">
        <v>1090</v>
      </c>
      <c r="D58" s="14" t="s">
        <v>14</v>
      </c>
      <c r="E58" s="15">
        <v>1</v>
      </c>
      <c r="F58" s="14" t="s">
        <v>28</v>
      </c>
      <c r="G58" s="15" t="s">
        <v>179</v>
      </c>
      <c r="H58" s="37">
        <f t="shared" ref="H58:H62" si="6">I58+J58</f>
        <v>300000</v>
      </c>
      <c r="I58" s="37">
        <v>300000</v>
      </c>
      <c r="J58" s="37"/>
      <c r="K58" s="37"/>
    </row>
    <row r="59" spans="1:14" s="34" customFormat="1" ht="46.8" x14ac:dyDescent="0.3">
      <c r="A59" s="22" t="s">
        <v>24</v>
      </c>
      <c r="B59" s="15">
        <v>3242</v>
      </c>
      <c r="C59" s="15">
        <v>1090</v>
      </c>
      <c r="D59" s="14" t="s">
        <v>14</v>
      </c>
      <c r="E59" s="15">
        <v>14</v>
      </c>
      <c r="F59" s="14" t="s">
        <v>78</v>
      </c>
      <c r="G59" s="15" t="s">
        <v>175</v>
      </c>
      <c r="H59" s="37">
        <f t="shared" si="6"/>
        <v>3212500</v>
      </c>
      <c r="I59" s="37">
        <f>3801000-588500</f>
        <v>3212500</v>
      </c>
      <c r="J59" s="37"/>
      <c r="K59" s="37"/>
      <c r="N59" s="113"/>
    </row>
    <row r="60" spans="1:14" s="34" customFormat="1" ht="46.8" x14ac:dyDescent="0.3">
      <c r="A60" s="15" t="s">
        <v>330</v>
      </c>
      <c r="B60" s="15" t="s">
        <v>331</v>
      </c>
      <c r="C60" s="15" t="s">
        <v>37</v>
      </c>
      <c r="D60" s="17" t="s">
        <v>332</v>
      </c>
      <c r="E60" s="96">
        <v>16</v>
      </c>
      <c r="F60" s="14" t="s">
        <v>123</v>
      </c>
      <c r="G60" s="15" t="s">
        <v>177</v>
      </c>
      <c r="H60" s="37">
        <f t="shared" si="6"/>
        <v>758970</v>
      </c>
      <c r="I60" s="37">
        <f>473000-176300-15000</f>
        <v>281700</v>
      </c>
      <c r="J60" s="37">
        <f>310000+444270+92000+500000-869000</f>
        <v>477270</v>
      </c>
      <c r="K60" s="37">
        <f>310000+444270+92000+500000-869000</f>
        <v>477270</v>
      </c>
    </row>
    <row r="61" spans="1:14" s="34" customFormat="1" ht="46.8" x14ac:dyDescent="0.3">
      <c r="A61" s="18" t="s">
        <v>251</v>
      </c>
      <c r="B61" s="12" t="s">
        <v>232</v>
      </c>
      <c r="C61" s="12" t="s">
        <v>233</v>
      </c>
      <c r="D61" s="13" t="s">
        <v>265</v>
      </c>
      <c r="E61" s="50">
        <v>61</v>
      </c>
      <c r="F61" s="33" t="s">
        <v>264</v>
      </c>
      <c r="G61" s="15" t="s">
        <v>316</v>
      </c>
      <c r="H61" s="37">
        <f t="shared" si="6"/>
        <v>1153000</v>
      </c>
      <c r="I61" s="37">
        <f>500000+600000+173000-120000</f>
        <v>1153000</v>
      </c>
      <c r="J61" s="37"/>
      <c r="K61" s="37"/>
    </row>
    <row r="62" spans="1:14" s="34" customFormat="1" ht="46.8" x14ac:dyDescent="0.3">
      <c r="A62" s="18" t="s">
        <v>256</v>
      </c>
      <c r="B62" s="12" t="s">
        <v>254</v>
      </c>
      <c r="C62" s="12" t="s">
        <v>165</v>
      </c>
      <c r="D62" s="73" t="s">
        <v>166</v>
      </c>
      <c r="E62" s="89">
        <v>17</v>
      </c>
      <c r="F62" s="14" t="s">
        <v>156</v>
      </c>
      <c r="G62" s="15" t="s">
        <v>176</v>
      </c>
      <c r="H62" s="37">
        <f t="shared" si="6"/>
        <v>4836344.5199999996</v>
      </c>
      <c r="I62" s="37">
        <f>780000+20000-208385+371000+165000</f>
        <v>1127615</v>
      </c>
      <c r="J62" s="37">
        <f>200000+6894650+200000-37590-211300+780000-130000+295784+1820000-6099362.19-3452.29</f>
        <v>3708729.5199999996</v>
      </c>
      <c r="K62" s="37">
        <f>200000+6894650+200000-37590-211300+780000-130000+295784+1820000-6099362.19-3452.29</f>
        <v>3708729.5199999996</v>
      </c>
    </row>
    <row r="63" spans="1:14" s="47" customFormat="1" ht="15.6" x14ac:dyDescent="0.3">
      <c r="A63" s="25" t="s">
        <v>17</v>
      </c>
      <c r="B63" s="25"/>
      <c r="C63" s="25"/>
      <c r="D63" s="126" t="s">
        <v>148</v>
      </c>
      <c r="E63" s="127"/>
      <c r="F63" s="128"/>
      <c r="G63" s="26"/>
      <c r="H63" s="36">
        <f>H64</f>
        <v>61778525</v>
      </c>
      <c r="I63" s="36">
        <f>I64</f>
        <v>60786900</v>
      </c>
      <c r="J63" s="36">
        <f t="shared" ref="J63:K63" si="7">J64</f>
        <v>991625</v>
      </c>
      <c r="K63" s="36">
        <f t="shared" si="7"/>
        <v>991625</v>
      </c>
    </row>
    <row r="64" spans="1:14" s="47" customFormat="1" ht="15.6" x14ac:dyDescent="0.3">
      <c r="A64" s="25" t="s">
        <v>18</v>
      </c>
      <c r="B64" s="25"/>
      <c r="C64" s="25"/>
      <c r="D64" s="126" t="s">
        <v>148</v>
      </c>
      <c r="E64" s="127"/>
      <c r="F64" s="128"/>
      <c r="G64" s="26"/>
      <c r="H64" s="36">
        <f>SUM(H65:H79)</f>
        <v>61778525</v>
      </c>
      <c r="I64" s="36">
        <f>SUM(I65:I79)</f>
        <v>60786900</v>
      </c>
      <c r="J64" s="36">
        <f>SUM(J65:J79)</f>
        <v>991625</v>
      </c>
      <c r="K64" s="36">
        <f>SUM(K65:K79)</f>
        <v>991625</v>
      </c>
    </row>
    <row r="65" spans="1:11" s="46" customFormat="1" ht="62.4" x14ac:dyDescent="0.3">
      <c r="A65" s="12" t="s">
        <v>91</v>
      </c>
      <c r="B65" s="12" t="s">
        <v>92</v>
      </c>
      <c r="C65" s="12" t="s">
        <v>93</v>
      </c>
      <c r="D65" s="74" t="s">
        <v>94</v>
      </c>
      <c r="E65" s="97">
        <v>13</v>
      </c>
      <c r="F65" s="14" t="s">
        <v>95</v>
      </c>
      <c r="G65" s="15" t="s">
        <v>96</v>
      </c>
      <c r="H65" s="37">
        <f>I65+J65</f>
        <v>1704000</v>
      </c>
      <c r="I65" s="37">
        <f>3153000-246000-20000-1000000-183000</f>
        <v>1704000</v>
      </c>
      <c r="J65" s="37"/>
      <c r="K65" s="37"/>
    </row>
    <row r="66" spans="1:11" s="46" customFormat="1" ht="46.8" x14ac:dyDescent="0.3">
      <c r="A66" s="12" t="s">
        <v>91</v>
      </c>
      <c r="B66" s="12" t="s">
        <v>92</v>
      </c>
      <c r="C66" s="12" t="s">
        <v>93</v>
      </c>
      <c r="D66" s="74" t="s">
        <v>94</v>
      </c>
      <c r="E66" s="97">
        <v>14</v>
      </c>
      <c r="F66" s="14" t="s">
        <v>78</v>
      </c>
      <c r="G66" s="15" t="s">
        <v>175</v>
      </c>
      <c r="H66" s="37">
        <f>I66+J66</f>
        <v>22000</v>
      </c>
      <c r="I66" s="37">
        <f>8000+20000-6000</f>
        <v>22000</v>
      </c>
      <c r="J66" s="37"/>
      <c r="K66" s="37"/>
    </row>
    <row r="67" spans="1:11" s="46" customFormat="1" ht="46.8" x14ac:dyDescent="0.3">
      <c r="A67" s="12" t="s">
        <v>97</v>
      </c>
      <c r="B67" s="12" t="s">
        <v>98</v>
      </c>
      <c r="C67" s="12" t="s">
        <v>93</v>
      </c>
      <c r="D67" s="74" t="s">
        <v>99</v>
      </c>
      <c r="E67" s="97">
        <v>14</v>
      </c>
      <c r="F67" s="14" t="s">
        <v>78</v>
      </c>
      <c r="G67" s="15" t="s">
        <v>175</v>
      </c>
      <c r="H67" s="37">
        <f t="shared" ref="H67:H79" si="8">I67+J67</f>
        <v>5000</v>
      </c>
      <c r="I67" s="37">
        <v>5000</v>
      </c>
      <c r="J67" s="37"/>
      <c r="K67" s="37"/>
    </row>
    <row r="68" spans="1:11" s="16" customFormat="1" ht="62.4" x14ac:dyDescent="0.3">
      <c r="A68" s="12" t="s">
        <v>25</v>
      </c>
      <c r="B68" s="12" t="s">
        <v>52</v>
      </c>
      <c r="C68" s="12" t="s">
        <v>27</v>
      </c>
      <c r="D68" s="13" t="s">
        <v>62</v>
      </c>
      <c r="E68" s="50">
        <v>13</v>
      </c>
      <c r="F68" s="14" t="s">
        <v>95</v>
      </c>
      <c r="G68" s="15" t="s">
        <v>96</v>
      </c>
      <c r="H68" s="37">
        <f>I68+J68</f>
        <v>991625</v>
      </c>
      <c r="I68" s="37"/>
      <c r="J68" s="37">
        <v>991625</v>
      </c>
      <c r="K68" s="37">
        <v>991625</v>
      </c>
    </row>
    <row r="69" spans="1:11" s="46" customFormat="1" ht="46.8" x14ac:dyDescent="0.3">
      <c r="A69" s="12" t="s">
        <v>25</v>
      </c>
      <c r="B69" s="12" t="s">
        <v>52</v>
      </c>
      <c r="C69" s="12" t="s">
        <v>27</v>
      </c>
      <c r="D69" s="13" t="s">
        <v>62</v>
      </c>
      <c r="E69" s="50">
        <v>14</v>
      </c>
      <c r="F69" s="14" t="s">
        <v>78</v>
      </c>
      <c r="G69" s="15" t="s">
        <v>178</v>
      </c>
      <c r="H69" s="37">
        <f>I69+J69</f>
        <v>343400</v>
      </c>
      <c r="I69" s="37">
        <f>343400</f>
        <v>343400</v>
      </c>
      <c r="J69" s="37"/>
      <c r="K69" s="37"/>
    </row>
    <row r="70" spans="1:11" s="46" customFormat="1" ht="46.8" x14ac:dyDescent="0.3">
      <c r="A70" s="12" t="s">
        <v>25</v>
      </c>
      <c r="B70" s="12" t="s">
        <v>52</v>
      </c>
      <c r="C70" s="12" t="s">
        <v>27</v>
      </c>
      <c r="D70" s="13" t="s">
        <v>62</v>
      </c>
      <c r="E70" s="50">
        <v>29</v>
      </c>
      <c r="F70" s="14" t="s">
        <v>170</v>
      </c>
      <c r="G70" s="15" t="s">
        <v>201</v>
      </c>
      <c r="H70" s="37">
        <f t="shared" si="8"/>
        <v>420200</v>
      </c>
      <c r="I70" s="37">
        <f>287200+98000+35000</f>
        <v>420200</v>
      </c>
      <c r="J70" s="37"/>
      <c r="K70" s="37"/>
    </row>
    <row r="71" spans="1:11" s="46" customFormat="1" ht="46.8" x14ac:dyDescent="0.3">
      <c r="A71" s="12" t="s">
        <v>111</v>
      </c>
      <c r="B71" s="12" t="s">
        <v>112</v>
      </c>
      <c r="C71" s="12" t="s">
        <v>27</v>
      </c>
      <c r="D71" s="28" t="s">
        <v>113</v>
      </c>
      <c r="E71" s="96">
        <v>14</v>
      </c>
      <c r="F71" s="14" t="s">
        <v>78</v>
      </c>
      <c r="G71" s="15" t="s">
        <v>180</v>
      </c>
      <c r="H71" s="37">
        <f>I71+J71</f>
        <v>353500</v>
      </c>
      <c r="I71" s="37">
        <f>707500-55000-200000-99000</f>
        <v>353500</v>
      </c>
      <c r="J71" s="37"/>
      <c r="K71" s="37"/>
    </row>
    <row r="72" spans="1:11" s="46" customFormat="1" ht="73.95" hidden="1" customHeight="1" x14ac:dyDescent="0.3">
      <c r="A72" s="12" t="s">
        <v>258</v>
      </c>
      <c r="B72" s="12" t="s">
        <v>26</v>
      </c>
      <c r="C72" s="12" t="s">
        <v>27</v>
      </c>
      <c r="D72" s="77" t="s">
        <v>16</v>
      </c>
      <c r="E72" s="50">
        <v>25</v>
      </c>
      <c r="F72" s="14" t="s">
        <v>185</v>
      </c>
      <c r="G72" s="15" t="s">
        <v>209</v>
      </c>
      <c r="H72" s="37">
        <f>I72+J72</f>
        <v>0</v>
      </c>
      <c r="I72" s="37">
        <f>200000+1000000-287300-912700</f>
        <v>0</v>
      </c>
      <c r="J72" s="37"/>
      <c r="K72" s="37"/>
    </row>
    <row r="73" spans="1:11" s="46" customFormat="1" ht="78" x14ac:dyDescent="0.3">
      <c r="A73" s="12" t="s">
        <v>100</v>
      </c>
      <c r="B73" s="12" t="s">
        <v>101</v>
      </c>
      <c r="C73" s="12" t="s">
        <v>29</v>
      </c>
      <c r="D73" s="13" t="s">
        <v>102</v>
      </c>
      <c r="E73" s="50">
        <v>14</v>
      </c>
      <c r="F73" s="14" t="s">
        <v>78</v>
      </c>
      <c r="G73" s="15" t="s">
        <v>175</v>
      </c>
      <c r="H73" s="37">
        <f t="shared" si="8"/>
        <v>2236000</v>
      </c>
      <c r="I73" s="37">
        <f>3300000-350000-700000-14000</f>
        <v>2236000</v>
      </c>
      <c r="J73" s="37"/>
      <c r="K73" s="37"/>
    </row>
    <row r="74" spans="1:11" s="46" customFormat="1" ht="62.4" x14ac:dyDescent="0.3">
      <c r="A74" s="12" t="s">
        <v>103</v>
      </c>
      <c r="B74" s="12" t="s">
        <v>104</v>
      </c>
      <c r="C74" s="12" t="s">
        <v>105</v>
      </c>
      <c r="D74" s="13" t="s">
        <v>106</v>
      </c>
      <c r="E74" s="50">
        <v>14</v>
      </c>
      <c r="F74" s="14" t="s">
        <v>78</v>
      </c>
      <c r="G74" s="15" t="s">
        <v>175</v>
      </c>
      <c r="H74" s="37">
        <f t="shared" si="8"/>
        <v>760000</v>
      </c>
      <c r="I74" s="37">
        <f>1000000-240000</f>
        <v>760000</v>
      </c>
      <c r="J74" s="37"/>
      <c r="K74" s="37"/>
    </row>
    <row r="75" spans="1:11" s="46" customFormat="1" ht="57" customHeight="1" x14ac:dyDescent="0.3">
      <c r="A75" s="12" t="s">
        <v>107</v>
      </c>
      <c r="B75" s="12" t="s">
        <v>108</v>
      </c>
      <c r="C75" s="12" t="s">
        <v>93</v>
      </c>
      <c r="D75" s="13" t="s">
        <v>109</v>
      </c>
      <c r="E75" s="50">
        <v>14</v>
      </c>
      <c r="F75" s="14" t="s">
        <v>78</v>
      </c>
      <c r="G75" s="15" t="s">
        <v>175</v>
      </c>
      <c r="H75" s="37">
        <f t="shared" si="8"/>
        <v>71000</v>
      </c>
      <c r="I75" s="37">
        <v>71000</v>
      </c>
      <c r="J75" s="37"/>
      <c r="K75" s="37"/>
    </row>
    <row r="76" spans="1:11" s="46" customFormat="1" ht="46.8" x14ac:dyDescent="0.3">
      <c r="A76" s="12" t="s">
        <v>167</v>
      </c>
      <c r="B76" s="12" t="s">
        <v>168</v>
      </c>
      <c r="C76" s="12" t="s">
        <v>128</v>
      </c>
      <c r="D76" s="75" t="s">
        <v>169</v>
      </c>
      <c r="E76" s="98">
        <v>14</v>
      </c>
      <c r="F76" s="14" t="s">
        <v>78</v>
      </c>
      <c r="G76" s="15" t="s">
        <v>175</v>
      </c>
      <c r="H76" s="37">
        <f t="shared" si="8"/>
        <v>371600</v>
      </c>
      <c r="I76" s="37">
        <f>497600+200000-326000</f>
        <v>371600</v>
      </c>
      <c r="J76" s="37"/>
      <c r="K76" s="37"/>
    </row>
    <row r="77" spans="1:11" s="46" customFormat="1" ht="62.4" x14ac:dyDescent="0.3">
      <c r="A77" s="12" t="s">
        <v>110</v>
      </c>
      <c r="B77" s="12" t="s">
        <v>80</v>
      </c>
      <c r="C77" s="12" t="s">
        <v>81</v>
      </c>
      <c r="D77" s="13" t="s">
        <v>82</v>
      </c>
      <c r="E77" s="50">
        <v>13</v>
      </c>
      <c r="F77" s="14" t="s">
        <v>95</v>
      </c>
      <c r="G77" s="15" t="s">
        <v>181</v>
      </c>
      <c r="H77" s="37">
        <f>I77+J77</f>
        <v>16587795</v>
      </c>
      <c r="I77" s="37">
        <f>6622800+12080000+20000+100000-900000-1335005</f>
        <v>16587795</v>
      </c>
      <c r="J77" s="37"/>
      <c r="K77" s="37"/>
    </row>
    <row r="78" spans="1:11" s="46" customFormat="1" ht="46.8" x14ac:dyDescent="0.3">
      <c r="A78" s="12" t="s">
        <v>110</v>
      </c>
      <c r="B78" s="12" t="s">
        <v>80</v>
      </c>
      <c r="C78" s="12" t="s">
        <v>81</v>
      </c>
      <c r="D78" s="76" t="s">
        <v>82</v>
      </c>
      <c r="E78" s="50">
        <v>14</v>
      </c>
      <c r="F78" s="14" t="s">
        <v>78</v>
      </c>
      <c r="G78" s="15" t="s">
        <v>175</v>
      </c>
      <c r="H78" s="37">
        <f t="shared" si="8"/>
        <v>37528605</v>
      </c>
      <c r="I78" s="37">
        <f>16425600+35000000-12080000-1000000-20000+600000+1000000-2100000-296995</f>
        <v>37528605</v>
      </c>
      <c r="J78" s="37"/>
      <c r="K78" s="37"/>
    </row>
    <row r="79" spans="1:11" s="46" customFormat="1" ht="46.8" x14ac:dyDescent="0.3">
      <c r="A79" s="55" t="s">
        <v>252</v>
      </c>
      <c r="B79" s="55" t="s">
        <v>232</v>
      </c>
      <c r="C79" s="55" t="s">
        <v>233</v>
      </c>
      <c r="D79" s="56" t="s">
        <v>265</v>
      </c>
      <c r="E79" s="99">
        <v>61</v>
      </c>
      <c r="F79" s="33" t="s">
        <v>264</v>
      </c>
      <c r="G79" s="58" t="s">
        <v>316</v>
      </c>
      <c r="H79" s="37">
        <f t="shared" si="8"/>
        <v>383800</v>
      </c>
      <c r="I79" s="37">
        <f>278500+105300</f>
        <v>383800</v>
      </c>
      <c r="J79" s="37"/>
      <c r="K79" s="37"/>
    </row>
    <row r="80" spans="1:11" s="46" customFormat="1" ht="15.6" x14ac:dyDescent="0.3">
      <c r="A80" s="48" t="s">
        <v>210</v>
      </c>
      <c r="B80" s="49" t="s">
        <v>211</v>
      </c>
      <c r="C80" s="49" t="s">
        <v>211</v>
      </c>
      <c r="D80" s="136" t="s">
        <v>212</v>
      </c>
      <c r="E80" s="137"/>
      <c r="F80" s="138"/>
      <c r="G80" s="15"/>
      <c r="H80" s="36">
        <f>H81</f>
        <v>388200</v>
      </c>
      <c r="I80" s="36">
        <f t="shared" ref="I80:K81" si="9">I81</f>
        <v>388200</v>
      </c>
      <c r="J80" s="36">
        <f t="shared" si="9"/>
        <v>0</v>
      </c>
      <c r="K80" s="36">
        <f t="shared" si="9"/>
        <v>0</v>
      </c>
    </row>
    <row r="81" spans="1:11" s="46" customFormat="1" ht="15.6" x14ac:dyDescent="0.3">
      <c r="A81" s="48" t="s">
        <v>213</v>
      </c>
      <c r="B81" s="49" t="s">
        <v>211</v>
      </c>
      <c r="C81" s="49" t="s">
        <v>211</v>
      </c>
      <c r="D81" s="136" t="s">
        <v>212</v>
      </c>
      <c r="E81" s="137"/>
      <c r="F81" s="138"/>
      <c r="G81" s="15"/>
      <c r="H81" s="36">
        <f>SUM(H82:H84)</f>
        <v>388200</v>
      </c>
      <c r="I81" s="36">
        <f>SUM(I82:I84)</f>
        <v>388200</v>
      </c>
      <c r="J81" s="36">
        <f t="shared" si="9"/>
        <v>0</v>
      </c>
      <c r="K81" s="36">
        <f t="shared" si="9"/>
        <v>0</v>
      </c>
    </row>
    <row r="82" spans="1:11" s="46" customFormat="1" ht="46.8" x14ac:dyDescent="0.3">
      <c r="A82" s="22" t="s">
        <v>214</v>
      </c>
      <c r="B82" s="15" t="s">
        <v>76</v>
      </c>
      <c r="C82" s="15" t="s">
        <v>27</v>
      </c>
      <c r="D82" s="17" t="s">
        <v>77</v>
      </c>
      <c r="E82" s="89">
        <v>14</v>
      </c>
      <c r="F82" s="14" t="s">
        <v>78</v>
      </c>
      <c r="G82" s="19" t="s">
        <v>174</v>
      </c>
      <c r="H82" s="37">
        <f>I82+J82</f>
        <v>263600</v>
      </c>
      <c r="I82" s="37">
        <f>278000-14400</f>
        <v>263600</v>
      </c>
      <c r="J82" s="37"/>
      <c r="K82" s="37"/>
    </row>
    <row r="83" spans="1:11" s="46" customFormat="1" ht="62.4" x14ac:dyDescent="0.3">
      <c r="A83" s="22" t="s">
        <v>214</v>
      </c>
      <c r="B83" s="15" t="s">
        <v>76</v>
      </c>
      <c r="C83" s="15" t="s">
        <v>27</v>
      </c>
      <c r="D83" s="17" t="s">
        <v>77</v>
      </c>
      <c r="E83" s="100">
        <v>65</v>
      </c>
      <c r="F83" s="72" t="s">
        <v>249</v>
      </c>
      <c r="G83" s="58" t="s">
        <v>273</v>
      </c>
      <c r="H83" s="37">
        <f t="shared" ref="H83:H84" si="10">I83+J83</f>
        <v>14400</v>
      </c>
      <c r="I83" s="37">
        <v>14400</v>
      </c>
      <c r="J83" s="37"/>
      <c r="K83" s="37"/>
    </row>
    <row r="84" spans="1:11" s="46" customFormat="1" ht="46.8" x14ac:dyDescent="0.3">
      <c r="A84" s="55" t="s">
        <v>248</v>
      </c>
      <c r="B84" s="55" t="s">
        <v>232</v>
      </c>
      <c r="C84" s="55" t="s">
        <v>233</v>
      </c>
      <c r="D84" s="56" t="s">
        <v>265</v>
      </c>
      <c r="E84" s="99">
        <v>61</v>
      </c>
      <c r="F84" s="33" t="s">
        <v>264</v>
      </c>
      <c r="G84" s="58" t="s">
        <v>316</v>
      </c>
      <c r="H84" s="37">
        <f t="shared" si="10"/>
        <v>110200</v>
      </c>
      <c r="I84" s="37">
        <f>100300+9900</f>
        <v>110200</v>
      </c>
      <c r="J84" s="37"/>
      <c r="K84" s="37"/>
    </row>
    <row r="85" spans="1:11" s="16" customFormat="1" ht="15.6" x14ac:dyDescent="0.3">
      <c r="A85" s="25" t="s">
        <v>129</v>
      </c>
      <c r="B85" s="25"/>
      <c r="C85" s="25"/>
      <c r="D85" s="126" t="s">
        <v>149</v>
      </c>
      <c r="E85" s="127"/>
      <c r="F85" s="128"/>
      <c r="G85" s="26"/>
      <c r="H85" s="36">
        <f>H86</f>
        <v>4910026</v>
      </c>
      <c r="I85" s="36">
        <f>I86</f>
        <v>4134926</v>
      </c>
      <c r="J85" s="36">
        <f>J86</f>
        <v>775100</v>
      </c>
      <c r="K85" s="36">
        <f>K86</f>
        <v>500100</v>
      </c>
    </row>
    <row r="86" spans="1:11" s="16" customFormat="1" ht="15.6" x14ac:dyDescent="0.3">
      <c r="A86" s="25" t="s">
        <v>130</v>
      </c>
      <c r="B86" s="25"/>
      <c r="C86" s="25"/>
      <c r="D86" s="126" t="s">
        <v>149</v>
      </c>
      <c r="E86" s="127"/>
      <c r="F86" s="128"/>
      <c r="G86" s="26"/>
      <c r="H86" s="36">
        <f>SUM(H87:H93)</f>
        <v>4910026</v>
      </c>
      <c r="I86" s="36">
        <f>SUM(I87:I93)</f>
        <v>4134926</v>
      </c>
      <c r="J86" s="36">
        <f>SUM(J87:J93)</f>
        <v>775100</v>
      </c>
      <c r="K86" s="36">
        <f>SUM(K87:K93)</f>
        <v>500100</v>
      </c>
    </row>
    <row r="87" spans="1:11" s="27" customFormat="1" ht="46.8" x14ac:dyDescent="0.3">
      <c r="A87" s="12" t="s">
        <v>218</v>
      </c>
      <c r="B87" s="12" t="s">
        <v>219</v>
      </c>
      <c r="C87" s="12" t="s">
        <v>220</v>
      </c>
      <c r="D87" s="13" t="s">
        <v>221</v>
      </c>
      <c r="E87" s="50">
        <v>28</v>
      </c>
      <c r="F87" s="33" t="s">
        <v>150</v>
      </c>
      <c r="G87" s="19" t="s">
        <v>200</v>
      </c>
      <c r="H87" s="37">
        <f>I87+J87</f>
        <v>947600</v>
      </c>
      <c r="I87" s="37">
        <f>587600+85000</f>
        <v>672600</v>
      </c>
      <c r="J87" s="37">
        <v>275000</v>
      </c>
      <c r="K87" s="37"/>
    </row>
    <row r="88" spans="1:11" s="16" customFormat="1" ht="62.4" x14ac:dyDescent="0.3">
      <c r="A88" s="22" t="s">
        <v>207</v>
      </c>
      <c r="B88" s="15">
        <v>3140</v>
      </c>
      <c r="C88" s="12" t="s">
        <v>27</v>
      </c>
      <c r="D88" s="13" t="s">
        <v>16</v>
      </c>
      <c r="E88" s="50">
        <v>25</v>
      </c>
      <c r="F88" s="14" t="s">
        <v>171</v>
      </c>
      <c r="G88" s="15" t="s">
        <v>209</v>
      </c>
      <c r="H88" s="37">
        <f>I88+J88</f>
        <v>150000</v>
      </c>
      <c r="I88" s="37">
        <v>150000</v>
      </c>
      <c r="J88" s="37"/>
      <c r="K88" s="37"/>
    </row>
    <row r="89" spans="1:11" s="16" customFormat="1" ht="46.8" x14ac:dyDescent="0.3">
      <c r="A89" s="12" t="s">
        <v>132</v>
      </c>
      <c r="B89" s="12" t="s">
        <v>133</v>
      </c>
      <c r="C89" s="12" t="s">
        <v>134</v>
      </c>
      <c r="D89" s="13" t="s">
        <v>135</v>
      </c>
      <c r="E89" s="50">
        <v>28</v>
      </c>
      <c r="F89" s="33" t="s">
        <v>150</v>
      </c>
      <c r="G89" s="19" t="s">
        <v>200</v>
      </c>
      <c r="H89" s="37">
        <f t="shared" ref="H89:H91" si="11">I89+J89</f>
        <v>671800</v>
      </c>
      <c r="I89" s="37">
        <f>95000+200000+260000+120000-3200</f>
        <v>671800</v>
      </c>
      <c r="J89" s="37"/>
      <c r="K89" s="37"/>
    </row>
    <row r="90" spans="1:11" s="16" customFormat="1" ht="46.8" x14ac:dyDescent="0.3">
      <c r="A90" s="12" t="s">
        <v>136</v>
      </c>
      <c r="B90" s="12" t="s">
        <v>137</v>
      </c>
      <c r="C90" s="12" t="s">
        <v>134</v>
      </c>
      <c r="D90" s="13" t="s">
        <v>138</v>
      </c>
      <c r="E90" s="50">
        <v>28</v>
      </c>
      <c r="F90" s="33" t="s">
        <v>150</v>
      </c>
      <c r="G90" s="15" t="s">
        <v>200</v>
      </c>
      <c r="H90" s="37">
        <f t="shared" si="11"/>
        <v>185500</v>
      </c>
      <c r="I90" s="37">
        <f>49000+136500</f>
        <v>185500</v>
      </c>
      <c r="J90" s="37"/>
      <c r="K90" s="37"/>
    </row>
    <row r="91" spans="1:11" s="16" customFormat="1" ht="46.8" x14ac:dyDescent="0.3">
      <c r="A91" s="12" t="s">
        <v>139</v>
      </c>
      <c r="B91" s="12" t="s">
        <v>140</v>
      </c>
      <c r="C91" s="12" t="s">
        <v>141</v>
      </c>
      <c r="D91" s="13" t="s">
        <v>142</v>
      </c>
      <c r="E91" s="101">
        <v>28</v>
      </c>
      <c r="F91" s="32" t="s">
        <v>150</v>
      </c>
      <c r="G91" s="19" t="s">
        <v>200</v>
      </c>
      <c r="H91" s="37">
        <f t="shared" si="11"/>
        <v>1938626</v>
      </c>
      <c r="I91" s="37">
        <v>1518526</v>
      </c>
      <c r="J91" s="37">
        <f>200000+30000+300000-300000+190100</f>
        <v>420100</v>
      </c>
      <c r="K91" s="37">
        <f>200000+30000+300000-300000+190100</f>
        <v>420100</v>
      </c>
    </row>
    <row r="92" spans="1:11" s="16" customFormat="1" ht="46.8" x14ac:dyDescent="0.3">
      <c r="A92" s="12" t="s">
        <v>143</v>
      </c>
      <c r="B92" s="12" t="s">
        <v>144</v>
      </c>
      <c r="C92" s="12" t="s">
        <v>145</v>
      </c>
      <c r="D92" s="13" t="s">
        <v>146</v>
      </c>
      <c r="E92" s="101">
        <v>28</v>
      </c>
      <c r="F92" s="32" t="s">
        <v>150</v>
      </c>
      <c r="G92" s="19" t="s">
        <v>200</v>
      </c>
      <c r="H92" s="37">
        <f t="shared" ref="H92:H93" si="12">I92+J92</f>
        <v>760000</v>
      </c>
      <c r="I92" s="37">
        <f>600000+80000+60000+20000</f>
        <v>760000</v>
      </c>
      <c r="J92" s="37"/>
      <c r="K92" s="37"/>
    </row>
    <row r="93" spans="1:11" s="16" customFormat="1" ht="46.8" x14ac:dyDescent="0.3">
      <c r="A93" s="55" t="s">
        <v>247</v>
      </c>
      <c r="B93" s="55" t="s">
        <v>232</v>
      </c>
      <c r="C93" s="55" t="s">
        <v>233</v>
      </c>
      <c r="D93" s="56" t="s">
        <v>265</v>
      </c>
      <c r="E93" s="99">
        <v>61</v>
      </c>
      <c r="F93" s="33" t="s">
        <v>264</v>
      </c>
      <c r="G93" s="58" t="s">
        <v>316</v>
      </c>
      <c r="H93" s="37">
        <f t="shared" si="12"/>
        <v>256500</v>
      </c>
      <c r="I93" s="37">
        <f>167000+9500</f>
        <v>176500</v>
      </c>
      <c r="J93" s="37">
        <v>80000</v>
      </c>
      <c r="K93" s="37">
        <v>80000</v>
      </c>
    </row>
    <row r="94" spans="1:11" s="46" customFormat="1" ht="15.6" x14ac:dyDescent="0.3">
      <c r="A94" s="25" t="s">
        <v>22</v>
      </c>
      <c r="B94" s="25"/>
      <c r="C94" s="25"/>
      <c r="D94" s="126" t="s">
        <v>157</v>
      </c>
      <c r="E94" s="127"/>
      <c r="F94" s="128"/>
      <c r="G94" s="26"/>
      <c r="H94" s="36">
        <f>H95</f>
        <v>11161491</v>
      </c>
      <c r="I94" s="36">
        <f>I95</f>
        <v>6803356</v>
      </c>
      <c r="J94" s="36">
        <f t="shared" ref="J94:K94" si="13">J95</f>
        <v>4358135</v>
      </c>
      <c r="K94" s="36">
        <f t="shared" si="13"/>
        <v>0</v>
      </c>
    </row>
    <row r="95" spans="1:11" s="47" customFormat="1" ht="15.6" x14ac:dyDescent="0.3">
      <c r="A95" s="25" t="s">
        <v>23</v>
      </c>
      <c r="B95" s="25"/>
      <c r="C95" s="25"/>
      <c r="D95" s="126" t="s">
        <v>157</v>
      </c>
      <c r="E95" s="127"/>
      <c r="F95" s="128"/>
      <c r="G95" s="26"/>
      <c r="H95" s="36">
        <f>SUM(H96:H103)</f>
        <v>11161491</v>
      </c>
      <c r="I95" s="36">
        <f t="shared" ref="I95:K95" si="14">SUM(I96:I103)</f>
        <v>6803356</v>
      </c>
      <c r="J95" s="36">
        <f t="shared" si="14"/>
        <v>4358135</v>
      </c>
      <c r="K95" s="36">
        <f t="shared" si="14"/>
        <v>0</v>
      </c>
    </row>
    <row r="96" spans="1:11" s="47" customFormat="1" ht="46.8" x14ac:dyDescent="0.3">
      <c r="A96" s="12" t="s">
        <v>41</v>
      </c>
      <c r="B96" s="12" t="s">
        <v>42</v>
      </c>
      <c r="C96" s="12" t="s">
        <v>27</v>
      </c>
      <c r="D96" s="13" t="s">
        <v>43</v>
      </c>
      <c r="E96" s="50">
        <v>29</v>
      </c>
      <c r="F96" s="14" t="s">
        <v>172</v>
      </c>
      <c r="G96" s="15" t="s">
        <v>201</v>
      </c>
      <c r="H96" s="37">
        <f t="shared" ref="H96:H103" si="15">I96+J96</f>
        <v>994300</v>
      </c>
      <c r="I96" s="37">
        <f>1029300-35000</f>
        <v>994300</v>
      </c>
      <c r="J96" s="37"/>
      <c r="K96" s="37"/>
    </row>
    <row r="97" spans="1:11" s="46" customFormat="1" ht="46.8" x14ac:dyDescent="0.3">
      <c r="A97" s="12" t="s">
        <v>114</v>
      </c>
      <c r="B97" s="12" t="s">
        <v>115</v>
      </c>
      <c r="C97" s="12" t="s">
        <v>37</v>
      </c>
      <c r="D97" s="13" t="s">
        <v>116</v>
      </c>
      <c r="E97" s="50">
        <v>30</v>
      </c>
      <c r="F97" s="14" t="s">
        <v>163</v>
      </c>
      <c r="G97" s="15" t="s">
        <v>189</v>
      </c>
      <c r="H97" s="37">
        <f t="shared" si="15"/>
        <v>1498900</v>
      </c>
      <c r="I97" s="37">
        <f>1400000+49000+49900</f>
        <v>1498900</v>
      </c>
      <c r="J97" s="37"/>
      <c r="K97" s="37"/>
    </row>
    <row r="98" spans="1:11" s="46" customFormat="1" ht="46.8" x14ac:dyDescent="0.3">
      <c r="A98" s="12" t="s">
        <v>118</v>
      </c>
      <c r="B98" s="12" t="s">
        <v>117</v>
      </c>
      <c r="C98" s="12" t="s">
        <v>37</v>
      </c>
      <c r="D98" s="13" t="s">
        <v>119</v>
      </c>
      <c r="E98" s="50">
        <v>30</v>
      </c>
      <c r="F98" s="14" t="s">
        <v>163</v>
      </c>
      <c r="G98" s="15" t="s">
        <v>189</v>
      </c>
      <c r="H98" s="37">
        <f t="shared" si="15"/>
        <v>1193600</v>
      </c>
      <c r="I98" s="37">
        <f>990000+49000+49900-115300+220000</f>
        <v>1193600</v>
      </c>
      <c r="J98" s="37"/>
      <c r="K98" s="37"/>
    </row>
    <row r="99" spans="1:11" s="46" customFormat="1" ht="46.8" x14ac:dyDescent="0.3">
      <c r="A99" s="15">
        <v>1115049</v>
      </c>
      <c r="B99" s="15">
        <v>5049</v>
      </c>
      <c r="C99" s="15" t="s">
        <v>37</v>
      </c>
      <c r="D99" s="17" t="s">
        <v>351</v>
      </c>
      <c r="E99" s="50">
        <v>30</v>
      </c>
      <c r="F99" s="14" t="s">
        <v>163</v>
      </c>
      <c r="G99" s="15" t="s">
        <v>189</v>
      </c>
      <c r="H99" s="37">
        <f t="shared" si="15"/>
        <v>114192</v>
      </c>
      <c r="I99" s="37">
        <f>35136+79056</f>
        <v>114192</v>
      </c>
      <c r="J99" s="37"/>
      <c r="K99" s="37"/>
    </row>
    <row r="100" spans="1:11" s="46" customFormat="1" ht="46.8" x14ac:dyDescent="0.3">
      <c r="A100" s="12" t="s">
        <v>35</v>
      </c>
      <c r="B100" s="12" t="s">
        <v>36</v>
      </c>
      <c r="C100" s="12" t="s">
        <v>37</v>
      </c>
      <c r="D100" s="20" t="s">
        <v>63</v>
      </c>
      <c r="E100" s="96">
        <v>30</v>
      </c>
      <c r="F100" s="14" t="s">
        <v>163</v>
      </c>
      <c r="G100" s="15" t="s">
        <v>189</v>
      </c>
      <c r="H100" s="37">
        <f t="shared" si="15"/>
        <v>2749864</v>
      </c>
      <c r="I100" s="37">
        <f>3185000-35136-180000-220000</f>
        <v>2749864</v>
      </c>
      <c r="J100" s="37"/>
      <c r="K100" s="37"/>
    </row>
    <row r="101" spans="1:11" s="46" customFormat="1" ht="46.8" x14ac:dyDescent="0.3">
      <c r="A101" s="12" t="s">
        <v>367</v>
      </c>
      <c r="B101" s="12" t="s">
        <v>368</v>
      </c>
      <c r="C101" s="12" t="s">
        <v>37</v>
      </c>
      <c r="D101" s="110" t="s">
        <v>366</v>
      </c>
      <c r="E101" s="96">
        <v>30</v>
      </c>
      <c r="F101" s="14" t="s">
        <v>163</v>
      </c>
      <c r="G101" s="15" t="s">
        <v>189</v>
      </c>
      <c r="H101" s="37">
        <f t="shared" si="15"/>
        <v>180000</v>
      </c>
      <c r="I101" s="37">
        <v>180000</v>
      </c>
      <c r="J101" s="37"/>
      <c r="K101" s="37"/>
    </row>
    <row r="102" spans="1:11" s="46" customFormat="1" ht="46.8" x14ac:dyDescent="0.3">
      <c r="A102" s="55" t="s">
        <v>246</v>
      </c>
      <c r="B102" s="55" t="s">
        <v>232</v>
      </c>
      <c r="C102" s="55" t="s">
        <v>233</v>
      </c>
      <c r="D102" s="56" t="s">
        <v>265</v>
      </c>
      <c r="E102" s="99">
        <v>61</v>
      </c>
      <c r="F102" s="33" t="s">
        <v>264</v>
      </c>
      <c r="G102" s="58" t="s">
        <v>316</v>
      </c>
      <c r="H102" s="59">
        <f t="shared" si="15"/>
        <v>72500</v>
      </c>
      <c r="I102" s="37">
        <f>65000+7500</f>
        <v>72500</v>
      </c>
      <c r="J102" s="37"/>
      <c r="K102" s="37"/>
    </row>
    <row r="103" spans="1:11" s="46" customFormat="1" ht="109.2" x14ac:dyDescent="0.3">
      <c r="A103" s="55" t="s">
        <v>371</v>
      </c>
      <c r="B103" s="55" t="s">
        <v>298</v>
      </c>
      <c r="C103" s="22" t="s">
        <v>21</v>
      </c>
      <c r="D103" s="17" t="s">
        <v>300</v>
      </c>
      <c r="E103" s="96">
        <v>30</v>
      </c>
      <c r="F103" s="14" t="s">
        <v>163</v>
      </c>
      <c r="G103" s="15" t="s">
        <v>189</v>
      </c>
      <c r="H103" s="59">
        <f t="shared" si="15"/>
        <v>4358135</v>
      </c>
      <c r="I103" s="37"/>
      <c r="J103" s="37">
        <v>4358135</v>
      </c>
      <c r="K103" s="37"/>
    </row>
    <row r="104" spans="1:11" s="46" customFormat="1" ht="15.6" x14ac:dyDescent="0.3">
      <c r="A104" s="53" t="s">
        <v>12</v>
      </c>
      <c r="B104" s="53"/>
      <c r="C104" s="53"/>
      <c r="D104" s="133" t="s">
        <v>151</v>
      </c>
      <c r="E104" s="134"/>
      <c r="F104" s="135"/>
      <c r="G104" s="65"/>
      <c r="H104" s="54">
        <f>H105</f>
        <v>236479405.91</v>
      </c>
      <c r="I104" s="54">
        <f>I105</f>
        <v>200578894</v>
      </c>
      <c r="J104" s="54">
        <f>J105</f>
        <v>35900511.910000004</v>
      </c>
      <c r="K104" s="54">
        <f>K105</f>
        <v>31066015.82</v>
      </c>
    </row>
    <row r="105" spans="1:11" s="47" customFormat="1" ht="15.6" x14ac:dyDescent="0.3">
      <c r="A105" s="53" t="s">
        <v>13</v>
      </c>
      <c r="B105" s="53"/>
      <c r="C105" s="53"/>
      <c r="D105" s="133" t="s">
        <v>151</v>
      </c>
      <c r="E105" s="134"/>
      <c r="F105" s="135"/>
      <c r="G105" s="65"/>
      <c r="H105" s="54">
        <f>SUM(H106:H129)</f>
        <v>236479405.91</v>
      </c>
      <c r="I105" s="54">
        <f>SUM(I106:I129)</f>
        <v>200578894</v>
      </c>
      <c r="J105" s="54">
        <f>SUM(J106:J129)</f>
        <v>35900511.910000004</v>
      </c>
      <c r="K105" s="54">
        <f>SUM(K106:K129)</f>
        <v>31066015.82</v>
      </c>
    </row>
    <row r="106" spans="1:11" s="47" customFormat="1" ht="46.8" x14ac:dyDescent="0.3">
      <c r="A106" s="55" t="s">
        <v>236</v>
      </c>
      <c r="B106" s="55" t="s">
        <v>227</v>
      </c>
      <c r="C106" s="55" t="s">
        <v>228</v>
      </c>
      <c r="D106" s="68" t="s">
        <v>229</v>
      </c>
      <c r="E106" s="102">
        <v>53</v>
      </c>
      <c r="F106" s="69" t="s">
        <v>230</v>
      </c>
      <c r="G106" s="58" t="s">
        <v>231</v>
      </c>
      <c r="H106" s="59">
        <f t="shared" ref="H106:H111" si="16">I106+J106</f>
        <v>30000</v>
      </c>
      <c r="I106" s="59">
        <f>50000-20000</f>
        <v>30000</v>
      </c>
      <c r="J106" s="59"/>
      <c r="K106" s="54"/>
    </row>
    <row r="107" spans="1:11" s="27" customFormat="1" ht="78" x14ac:dyDescent="0.3">
      <c r="A107" s="12" t="s">
        <v>285</v>
      </c>
      <c r="B107" s="15">
        <v>6011</v>
      </c>
      <c r="C107" s="22" t="s">
        <v>286</v>
      </c>
      <c r="D107" s="17" t="s">
        <v>287</v>
      </c>
      <c r="E107" s="89">
        <v>40</v>
      </c>
      <c r="F107" s="33" t="s">
        <v>288</v>
      </c>
      <c r="G107" s="15" t="s">
        <v>319</v>
      </c>
      <c r="H107" s="37">
        <f>I107+J107</f>
        <v>3130470</v>
      </c>
      <c r="I107" s="37"/>
      <c r="J107" s="37">
        <f>1660017+1413000+15300+38452+3701</f>
        <v>3130470</v>
      </c>
      <c r="K107" s="37">
        <f>1660017+1413000+15300+38452+3701</f>
        <v>3130470</v>
      </c>
    </row>
    <row r="108" spans="1:11" s="47" customFormat="1" ht="46.8" x14ac:dyDescent="0.3">
      <c r="A108" s="55" t="s">
        <v>285</v>
      </c>
      <c r="B108" s="15">
        <v>6011</v>
      </c>
      <c r="C108" s="22" t="s">
        <v>286</v>
      </c>
      <c r="D108" s="17" t="s">
        <v>287</v>
      </c>
      <c r="E108" s="89">
        <v>68</v>
      </c>
      <c r="F108" s="64" t="s">
        <v>262</v>
      </c>
      <c r="G108" s="58" t="s">
        <v>315</v>
      </c>
      <c r="H108" s="59">
        <f t="shared" si="16"/>
        <v>1806472.75</v>
      </c>
      <c r="I108" s="59">
        <f>319069-91250</f>
        <v>227819</v>
      </c>
      <c r="J108" s="59">
        <f>43200+600000+94300+1400000+27908+84762.75-13046-658471</f>
        <v>1578653.75</v>
      </c>
      <c r="K108" s="59">
        <f>43200+600000+94300+1400000+27908+84762.75-13046-658471</f>
        <v>1578653.75</v>
      </c>
    </row>
    <row r="109" spans="1:11" s="27" customFormat="1" ht="46.8" x14ac:dyDescent="0.3">
      <c r="A109" s="15">
        <v>1216013</v>
      </c>
      <c r="B109" s="15">
        <v>6013</v>
      </c>
      <c r="C109" s="22" t="s">
        <v>20</v>
      </c>
      <c r="D109" s="17" t="s">
        <v>369</v>
      </c>
      <c r="E109" s="89">
        <v>68</v>
      </c>
      <c r="F109" s="33" t="s">
        <v>262</v>
      </c>
      <c r="G109" s="15" t="s">
        <v>315</v>
      </c>
      <c r="H109" s="37">
        <f t="shared" si="16"/>
        <v>2411223</v>
      </c>
      <c r="I109" s="37">
        <f>4148102-1873996</f>
        <v>2274106</v>
      </c>
      <c r="J109" s="37">
        <v>137117</v>
      </c>
      <c r="K109" s="37">
        <v>137117</v>
      </c>
    </row>
    <row r="110" spans="1:11" s="16" customFormat="1" ht="46.8" x14ac:dyDescent="0.3">
      <c r="A110" s="12" t="s">
        <v>120</v>
      </c>
      <c r="B110" s="12" t="s">
        <v>121</v>
      </c>
      <c r="C110" s="12" t="s">
        <v>20</v>
      </c>
      <c r="D110" s="28" t="s">
        <v>122</v>
      </c>
      <c r="E110" s="96">
        <v>9</v>
      </c>
      <c r="F110" s="14" t="s">
        <v>206</v>
      </c>
      <c r="G110" s="15" t="s">
        <v>204</v>
      </c>
      <c r="H110" s="37">
        <f t="shared" si="16"/>
        <v>5048613.25</v>
      </c>
      <c r="I110" s="37">
        <f>300000-150101-149899</f>
        <v>0</v>
      </c>
      <c r="J110" s="37">
        <f>7215287-1799333-321984+6487.25-3701-48143</f>
        <v>5048613.25</v>
      </c>
      <c r="K110" s="37">
        <f>7215287-1799333-321984+6487.25-3701-48143</f>
        <v>5048613.25</v>
      </c>
    </row>
    <row r="111" spans="1:11" s="16" customFormat="1" ht="78" x14ac:dyDescent="0.3">
      <c r="A111" s="12" t="s">
        <v>120</v>
      </c>
      <c r="B111" s="12" t="s">
        <v>121</v>
      </c>
      <c r="C111" s="12" t="s">
        <v>20</v>
      </c>
      <c r="D111" s="28" t="s">
        <v>122</v>
      </c>
      <c r="E111" s="96">
        <v>40</v>
      </c>
      <c r="F111" s="33" t="s">
        <v>288</v>
      </c>
      <c r="G111" s="15" t="s">
        <v>319</v>
      </c>
      <c r="H111" s="37">
        <f t="shared" si="16"/>
        <v>1705579</v>
      </c>
      <c r="I111" s="37"/>
      <c r="J111" s="37">
        <f>1799333-15300-78454</f>
        <v>1705579</v>
      </c>
      <c r="K111" s="37">
        <f>1799333-15300-78454</f>
        <v>1705579</v>
      </c>
    </row>
    <row r="112" spans="1:11" s="16" customFormat="1" ht="78" x14ac:dyDescent="0.3">
      <c r="A112" s="12" t="s">
        <v>31</v>
      </c>
      <c r="B112" s="12" t="s">
        <v>54</v>
      </c>
      <c r="C112" s="12" t="s">
        <v>20</v>
      </c>
      <c r="D112" s="13" t="s">
        <v>55</v>
      </c>
      <c r="E112" s="50">
        <v>60</v>
      </c>
      <c r="F112" s="33" t="s">
        <v>289</v>
      </c>
      <c r="G112" s="15" t="s">
        <v>290</v>
      </c>
      <c r="H112" s="37">
        <f>I112+J112</f>
        <v>1095000</v>
      </c>
      <c r="I112" s="37"/>
      <c r="J112" s="37">
        <v>1095000</v>
      </c>
      <c r="K112" s="37">
        <v>1095000</v>
      </c>
    </row>
    <row r="113" spans="1:11" s="46" customFormat="1" ht="46.8" x14ac:dyDescent="0.3">
      <c r="A113" s="55" t="s">
        <v>31</v>
      </c>
      <c r="B113" s="55" t="s">
        <v>54</v>
      </c>
      <c r="C113" s="55" t="s">
        <v>20</v>
      </c>
      <c r="D113" s="56" t="s">
        <v>55</v>
      </c>
      <c r="E113" s="99">
        <v>68</v>
      </c>
      <c r="F113" s="64" t="s">
        <v>262</v>
      </c>
      <c r="G113" s="58" t="s">
        <v>315</v>
      </c>
      <c r="H113" s="59">
        <f t="shared" ref="H113:H126" si="17">I113+J113</f>
        <v>2051830</v>
      </c>
      <c r="I113" s="59">
        <f>1720000+331830</f>
        <v>2051830</v>
      </c>
      <c r="J113" s="59"/>
      <c r="K113" s="59"/>
    </row>
    <row r="114" spans="1:11" s="46" customFormat="1" ht="46.8" x14ac:dyDescent="0.3">
      <c r="A114" s="55" t="s">
        <v>19</v>
      </c>
      <c r="B114" s="55" t="s">
        <v>53</v>
      </c>
      <c r="C114" s="55" t="s">
        <v>20</v>
      </c>
      <c r="D114" s="63" t="s">
        <v>30</v>
      </c>
      <c r="E114" s="93">
        <v>68</v>
      </c>
      <c r="F114" s="64" t="s">
        <v>262</v>
      </c>
      <c r="G114" s="58" t="s">
        <v>315</v>
      </c>
      <c r="H114" s="59">
        <f t="shared" si="17"/>
        <v>92133353</v>
      </c>
      <c r="I114" s="59">
        <f>84160000+401000+200000-500000+9490+20000+500000+758464-34000-300000+1523499-2000000+153221</f>
        <v>84891674</v>
      </c>
      <c r="J114" s="59">
        <f>839500+252000+34000+6088600+27579</f>
        <v>7241679</v>
      </c>
      <c r="K114" s="59">
        <f>839500+252000+34000+6088600+27579</f>
        <v>7241679</v>
      </c>
    </row>
    <row r="115" spans="1:11" s="16" customFormat="1" ht="46.8" x14ac:dyDescent="0.3">
      <c r="A115" s="15">
        <v>1216091</v>
      </c>
      <c r="B115" s="15">
        <v>6091</v>
      </c>
      <c r="C115" s="22" t="s">
        <v>240</v>
      </c>
      <c r="D115" s="17" t="s">
        <v>306</v>
      </c>
      <c r="E115" s="96">
        <v>68</v>
      </c>
      <c r="F115" s="33" t="s">
        <v>262</v>
      </c>
      <c r="G115" s="15" t="s">
        <v>315</v>
      </c>
      <c r="H115" s="37">
        <f t="shared" si="17"/>
        <v>6400000</v>
      </c>
      <c r="I115" s="37"/>
      <c r="J115" s="37">
        <f>6400000+300000-300000</f>
        <v>6400000</v>
      </c>
      <c r="K115" s="37">
        <f>6400000+300000-300000</f>
        <v>6400000</v>
      </c>
    </row>
    <row r="116" spans="1:11" s="16" customFormat="1" ht="78" x14ac:dyDescent="0.3">
      <c r="A116" s="15">
        <v>1216091</v>
      </c>
      <c r="B116" s="15">
        <v>6091</v>
      </c>
      <c r="C116" s="22" t="s">
        <v>240</v>
      </c>
      <c r="D116" s="17" t="s">
        <v>306</v>
      </c>
      <c r="E116" s="96">
        <v>40</v>
      </c>
      <c r="F116" s="33" t="s">
        <v>288</v>
      </c>
      <c r="G116" s="15" t="s">
        <v>319</v>
      </c>
      <c r="H116" s="37">
        <f t="shared" si="17"/>
        <v>159841</v>
      </c>
      <c r="I116" s="37"/>
      <c r="J116" s="37">
        <f>171000-11159</f>
        <v>159841</v>
      </c>
      <c r="K116" s="37">
        <f>171000-11159</f>
        <v>159841</v>
      </c>
    </row>
    <row r="117" spans="1:11" s="16" customFormat="1" ht="58.2" customHeight="1" x14ac:dyDescent="0.3">
      <c r="A117" s="12" t="s">
        <v>295</v>
      </c>
      <c r="B117" s="12" t="s">
        <v>291</v>
      </c>
      <c r="C117" s="22" t="s">
        <v>240</v>
      </c>
      <c r="D117" s="17" t="s">
        <v>292</v>
      </c>
      <c r="E117" s="89">
        <v>17</v>
      </c>
      <c r="F117" s="14" t="s">
        <v>156</v>
      </c>
      <c r="G117" s="15" t="s">
        <v>176</v>
      </c>
      <c r="H117" s="37">
        <f t="shared" si="17"/>
        <v>37755</v>
      </c>
      <c r="I117" s="37">
        <f>47400-9645</f>
        <v>37755</v>
      </c>
      <c r="J117" s="37"/>
      <c r="K117" s="37"/>
    </row>
    <row r="118" spans="1:11" s="16" customFormat="1" ht="46.8" hidden="1" x14ac:dyDescent="0.3">
      <c r="A118" s="15">
        <v>1217130</v>
      </c>
      <c r="B118" s="15">
        <v>7130</v>
      </c>
      <c r="C118" s="22" t="s">
        <v>349</v>
      </c>
      <c r="D118" s="17" t="s">
        <v>350</v>
      </c>
      <c r="E118" s="89">
        <v>76</v>
      </c>
      <c r="F118" s="14" t="s">
        <v>346</v>
      </c>
      <c r="G118" s="58" t="s">
        <v>352</v>
      </c>
      <c r="H118" s="37">
        <f t="shared" si="17"/>
        <v>0</v>
      </c>
      <c r="I118" s="37">
        <f>180000-180000</f>
        <v>0</v>
      </c>
      <c r="J118" s="37"/>
      <c r="K118" s="37"/>
    </row>
    <row r="119" spans="1:11" s="46" customFormat="1" ht="46.8" x14ac:dyDescent="0.3">
      <c r="A119" s="55" t="s">
        <v>296</v>
      </c>
      <c r="B119" s="55" t="s">
        <v>56</v>
      </c>
      <c r="C119" s="55" t="s">
        <v>32</v>
      </c>
      <c r="D119" s="56" t="s">
        <v>33</v>
      </c>
      <c r="E119" s="99">
        <v>68</v>
      </c>
      <c r="F119" s="64" t="s">
        <v>262</v>
      </c>
      <c r="G119" s="58" t="s">
        <v>315</v>
      </c>
      <c r="H119" s="59">
        <f t="shared" si="17"/>
        <v>30000000</v>
      </c>
      <c r="I119" s="59">
        <v>30000000</v>
      </c>
      <c r="J119" s="59"/>
      <c r="K119" s="59"/>
    </row>
    <row r="120" spans="1:11" s="46" customFormat="1" ht="46.8" x14ac:dyDescent="0.3">
      <c r="A120" s="55" t="s">
        <v>237</v>
      </c>
      <c r="B120" s="55" t="s">
        <v>232</v>
      </c>
      <c r="C120" s="55" t="s">
        <v>233</v>
      </c>
      <c r="D120" s="56" t="s">
        <v>265</v>
      </c>
      <c r="E120" s="99">
        <v>61</v>
      </c>
      <c r="F120" s="33" t="s">
        <v>264</v>
      </c>
      <c r="G120" s="58" t="s">
        <v>316</v>
      </c>
      <c r="H120" s="59">
        <f t="shared" si="17"/>
        <v>58300</v>
      </c>
      <c r="I120" s="59">
        <f>488300-430000</f>
        <v>58300</v>
      </c>
      <c r="J120" s="59">
        <f>36000-36000</f>
        <v>0</v>
      </c>
      <c r="K120" s="59">
        <f>36000-36000</f>
        <v>0</v>
      </c>
    </row>
    <row r="121" spans="1:11" s="46" customFormat="1" ht="78" x14ac:dyDescent="0.3">
      <c r="A121" s="55" t="s">
        <v>356</v>
      </c>
      <c r="B121" s="55" t="s">
        <v>268</v>
      </c>
      <c r="C121" s="22" t="s">
        <v>21</v>
      </c>
      <c r="D121" s="17" t="s">
        <v>270</v>
      </c>
      <c r="E121" s="89">
        <v>40</v>
      </c>
      <c r="F121" s="33" t="s">
        <v>288</v>
      </c>
      <c r="G121" s="15" t="s">
        <v>319</v>
      </c>
      <c r="H121" s="59">
        <f t="shared" si="17"/>
        <v>522900</v>
      </c>
      <c r="I121" s="59"/>
      <c r="J121" s="59">
        <f>360000+162900</f>
        <v>522900</v>
      </c>
      <c r="K121" s="59">
        <f>360000+162900</f>
        <v>522900</v>
      </c>
    </row>
    <row r="122" spans="1:11" s="16" customFormat="1" ht="46.8" x14ac:dyDescent="0.3">
      <c r="A122" s="12" t="s">
        <v>356</v>
      </c>
      <c r="B122" s="12" t="s">
        <v>268</v>
      </c>
      <c r="C122" s="22" t="s">
        <v>21</v>
      </c>
      <c r="D122" s="17" t="s">
        <v>270</v>
      </c>
      <c r="E122" s="50">
        <v>68</v>
      </c>
      <c r="F122" s="33" t="s">
        <v>262</v>
      </c>
      <c r="G122" s="15" t="s">
        <v>315</v>
      </c>
      <c r="H122" s="37">
        <f t="shared" si="17"/>
        <v>220000</v>
      </c>
      <c r="I122" s="37"/>
      <c r="J122" s="37">
        <v>220000</v>
      </c>
      <c r="K122" s="37">
        <v>220000</v>
      </c>
    </row>
    <row r="123" spans="1:11" s="46" customFormat="1" ht="46.8" x14ac:dyDescent="0.3">
      <c r="A123" s="55" t="s">
        <v>297</v>
      </c>
      <c r="B123" s="22" t="s">
        <v>293</v>
      </c>
      <c r="C123" s="22" t="s">
        <v>21</v>
      </c>
      <c r="D123" s="17" t="s">
        <v>294</v>
      </c>
      <c r="E123" s="89">
        <v>67</v>
      </c>
      <c r="F123" s="57" t="s">
        <v>238</v>
      </c>
      <c r="G123" s="58" t="s">
        <v>320</v>
      </c>
      <c r="H123" s="59">
        <f t="shared" si="17"/>
        <v>3403797.82</v>
      </c>
      <c r="I123" s="59"/>
      <c r="J123" s="59">
        <f>2060000-9490+600000+753287.82</f>
        <v>3403797.82</v>
      </c>
      <c r="K123" s="59">
        <f>2060000-9490+600000+753287.82</f>
        <v>3403797.82</v>
      </c>
    </row>
    <row r="124" spans="1:11" s="16" customFormat="1" ht="109.2" x14ac:dyDescent="0.3">
      <c r="A124" s="22" t="s">
        <v>299</v>
      </c>
      <c r="B124" s="22" t="s">
        <v>298</v>
      </c>
      <c r="C124" s="22" t="s">
        <v>21</v>
      </c>
      <c r="D124" s="17" t="s">
        <v>300</v>
      </c>
      <c r="E124" s="89">
        <v>40</v>
      </c>
      <c r="F124" s="33" t="s">
        <v>288</v>
      </c>
      <c r="G124" s="15" t="s">
        <v>319</v>
      </c>
      <c r="H124" s="37">
        <f t="shared" si="17"/>
        <v>613123.73</v>
      </c>
      <c r="I124" s="37"/>
      <c r="J124" s="37">
        <f>384374.18+216000+1700+10712.87+411.2-180.33+105.81</f>
        <v>613123.73</v>
      </c>
      <c r="K124" s="37"/>
    </row>
    <row r="125" spans="1:11" s="16" customFormat="1" ht="109.2" x14ac:dyDescent="0.3">
      <c r="A125" s="22" t="s">
        <v>299</v>
      </c>
      <c r="B125" s="22" t="s">
        <v>298</v>
      </c>
      <c r="C125" s="22" t="s">
        <v>21</v>
      </c>
      <c r="D125" s="17" t="s">
        <v>300</v>
      </c>
      <c r="E125" s="50">
        <v>68</v>
      </c>
      <c r="F125" s="33" t="s">
        <v>262</v>
      </c>
      <c r="G125" s="15" t="s">
        <v>315</v>
      </c>
      <c r="H125" s="37">
        <f t="shared" si="17"/>
        <v>2987672.36</v>
      </c>
      <c r="I125" s="37"/>
      <c r="J125" s="37">
        <f>2987672.36</f>
        <v>2987672.36</v>
      </c>
      <c r="K125" s="37"/>
    </row>
    <row r="126" spans="1:11" s="46" customFormat="1" ht="46.8" x14ac:dyDescent="0.3">
      <c r="A126" s="55" t="s">
        <v>188</v>
      </c>
      <c r="B126" s="55" t="s">
        <v>34</v>
      </c>
      <c r="C126" s="55" t="s">
        <v>21</v>
      </c>
      <c r="D126" s="62" t="s">
        <v>51</v>
      </c>
      <c r="E126" s="93">
        <v>67</v>
      </c>
      <c r="F126" s="57" t="s">
        <v>238</v>
      </c>
      <c r="G126" s="58" t="s">
        <v>320</v>
      </c>
      <c r="H126" s="59">
        <f t="shared" si="17"/>
        <v>74305110</v>
      </c>
      <c r="I126" s="59">
        <f>43320000+4300000+100800+8400000+2588110+12000000+3596200</f>
        <v>74305110</v>
      </c>
      <c r="J126" s="59"/>
      <c r="K126" s="59"/>
    </row>
    <row r="127" spans="1:11" s="46" customFormat="1" ht="46.8" x14ac:dyDescent="0.3">
      <c r="A127" s="58">
        <v>1218110</v>
      </c>
      <c r="B127" s="58">
        <v>8110</v>
      </c>
      <c r="C127" s="60" t="s">
        <v>165</v>
      </c>
      <c r="D127" s="61" t="s">
        <v>166</v>
      </c>
      <c r="E127" s="103">
        <v>17</v>
      </c>
      <c r="F127" s="57" t="s">
        <v>156</v>
      </c>
      <c r="G127" s="58" t="s">
        <v>176</v>
      </c>
      <c r="H127" s="59">
        <f>I127+J127</f>
        <v>7030665</v>
      </c>
      <c r="I127" s="59">
        <f>2527200+91100+500000+3584000</f>
        <v>6702300</v>
      </c>
      <c r="J127" s="59">
        <f>378921-50556</f>
        <v>328365</v>
      </c>
      <c r="K127" s="59">
        <f>378921-50556</f>
        <v>328365</v>
      </c>
    </row>
    <row r="128" spans="1:11" s="16" customFormat="1" ht="78" x14ac:dyDescent="0.3">
      <c r="A128" s="12" t="s">
        <v>314</v>
      </c>
      <c r="B128" s="12" t="s">
        <v>158</v>
      </c>
      <c r="C128" s="22" t="s">
        <v>85</v>
      </c>
      <c r="D128" s="17" t="s">
        <v>159</v>
      </c>
      <c r="E128" s="94">
        <v>66</v>
      </c>
      <c r="F128" s="23" t="s">
        <v>263</v>
      </c>
      <c r="G128" s="58" t="s">
        <v>317</v>
      </c>
      <c r="H128" s="37">
        <f>I128+J128</f>
        <v>94000</v>
      </c>
      <c r="I128" s="37"/>
      <c r="J128" s="37">
        <f>200000-106000</f>
        <v>94000</v>
      </c>
      <c r="K128" s="37">
        <f>200000-106000</f>
        <v>94000</v>
      </c>
    </row>
    <row r="129" spans="1:11" s="16" customFormat="1" ht="78" x14ac:dyDescent="0.3">
      <c r="A129" s="12" t="s">
        <v>370</v>
      </c>
      <c r="B129" s="12" t="s">
        <v>88</v>
      </c>
      <c r="C129" s="12" t="s">
        <v>89</v>
      </c>
      <c r="D129" s="20" t="s">
        <v>90</v>
      </c>
      <c r="E129" s="95">
        <v>56</v>
      </c>
      <c r="F129" s="23" t="s">
        <v>217</v>
      </c>
      <c r="G129" s="15" t="s">
        <v>318</v>
      </c>
      <c r="H129" s="37">
        <f>I129+J129</f>
        <v>1233700</v>
      </c>
      <c r="I129" s="37"/>
      <c r="J129" s="37">
        <f>1133700+100000</f>
        <v>1233700</v>
      </c>
      <c r="K129" s="37"/>
    </row>
    <row r="130" spans="1:11" s="46" customFormat="1" ht="15.6" x14ac:dyDescent="0.3">
      <c r="A130" s="49" t="s">
        <v>242</v>
      </c>
      <c r="B130" s="49" t="s">
        <v>211</v>
      </c>
      <c r="C130" s="49" t="s">
        <v>211</v>
      </c>
      <c r="D130" s="130" t="s">
        <v>243</v>
      </c>
      <c r="E130" s="131"/>
      <c r="F130" s="132"/>
      <c r="G130" s="58"/>
      <c r="H130" s="36">
        <f>H131</f>
        <v>158190446.34</v>
      </c>
      <c r="I130" s="36">
        <f t="shared" ref="I130:K130" si="18">I131</f>
        <v>80300</v>
      </c>
      <c r="J130" s="36">
        <f t="shared" si="18"/>
        <v>158110146.34</v>
      </c>
      <c r="K130" s="36">
        <f t="shared" si="18"/>
        <v>156475855.63</v>
      </c>
    </row>
    <row r="131" spans="1:11" s="46" customFormat="1" ht="15.6" x14ac:dyDescent="0.3">
      <c r="A131" s="49" t="s">
        <v>244</v>
      </c>
      <c r="B131" s="49" t="s">
        <v>211</v>
      </c>
      <c r="C131" s="49" t="s">
        <v>211</v>
      </c>
      <c r="D131" s="130" t="s">
        <v>243</v>
      </c>
      <c r="E131" s="131"/>
      <c r="F131" s="132"/>
      <c r="G131" s="58"/>
      <c r="H131" s="36">
        <f>SUM(H132:H140)</f>
        <v>158190446.34</v>
      </c>
      <c r="I131" s="36">
        <f>SUM(I132:I140)</f>
        <v>80300</v>
      </c>
      <c r="J131" s="36">
        <f t="shared" ref="J131:K131" si="19">SUM(J132:J140)</f>
        <v>158110146.34</v>
      </c>
      <c r="K131" s="36">
        <f t="shared" si="19"/>
        <v>156475855.63</v>
      </c>
    </row>
    <row r="132" spans="1:11" s="46" customFormat="1" ht="46.8" x14ac:dyDescent="0.3">
      <c r="A132" s="15">
        <v>1511300</v>
      </c>
      <c r="B132" s="22" t="s">
        <v>301</v>
      </c>
      <c r="C132" s="22" t="s">
        <v>283</v>
      </c>
      <c r="D132" s="17" t="s">
        <v>302</v>
      </c>
      <c r="E132" s="89">
        <v>17</v>
      </c>
      <c r="F132" s="57" t="s">
        <v>156</v>
      </c>
      <c r="G132" s="58" t="s">
        <v>176</v>
      </c>
      <c r="H132" s="37">
        <f t="shared" ref="H132:H137" si="20">I132+J132</f>
        <v>90138146.510000005</v>
      </c>
      <c r="I132" s="36"/>
      <c r="J132" s="59">
        <f>83518800+3500000+100000-250000+100000-14084+2800000-70000+3000000-2546569.49</f>
        <v>90138146.510000005</v>
      </c>
      <c r="K132" s="59">
        <f>83518800+3500000+100000-250000+100000-14084+2800000-70000+3000000-2546569.49</f>
        <v>90138146.510000005</v>
      </c>
    </row>
    <row r="133" spans="1:11" s="46" customFormat="1" ht="46.8" x14ac:dyDescent="0.3">
      <c r="A133" s="15">
        <v>1512171</v>
      </c>
      <c r="B133" s="22" t="s">
        <v>303</v>
      </c>
      <c r="C133" s="22" t="s">
        <v>74</v>
      </c>
      <c r="D133" s="17" t="s">
        <v>304</v>
      </c>
      <c r="E133" s="89">
        <v>17</v>
      </c>
      <c r="F133" s="57" t="s">
        <v>156</v>
      </c>
      <c r="G133" s="58" t="s">
        <v>176</v>
      </c>
      <c r="H133" s="37">
        <f t="shared" si="20"/>
        <v>7550000</v>
      </c>
      <c r="I133" s="36"/>
      <c r="J133" s="59">
        <f>550000+2000000+5000000</f>
        <v>7550000</v>
      </c>
      <c r="K133" s="59">
        <f>550000+2000000+5000000</f>
        <v>7550000</v>
      </c>
    </row>
    <row r="134" spans="1:11" s="16" customFormat="1" ht="62.4" x14ac:dyDescent="0.3">
      <c r="A134" s="15">
        <v>1516015</v>
      </c>
      <c r="B134" s="22" t="s">
        <v>121</v>
      </c>
      <c r="C134" s="22" t="s">
        <v>20</v>
      </c>
      <c r="D134" s="17" t="s">
        <v>122</v>
      </c>
      <c r="E134" s="100">
        <v>20</v>
      </c>
      <c r="F134" s="79" t="s">
        <v>311</v>
      </c>
      <c r="G134" s="15" t="s">
        <v>312</v>
      </c>
      <c r="H134" s="37">
        <f t="shared" si="20"/>
        <v>1122000</v>
      </c>
      <c r="I134" s="36"/>
      <c r="J134" s="37">
        <f>486000+636000</f>
        <v>1122000</v>
      </c>
      <c r="K134" s="37">
        <f>486000+636000</f>
        <v>1122000</v>
      </c>
    </row>
    <row r="135" spans="1:11" s="46" customFormat="1" ht="46.8" x14ac:dyDescent="0.3">
      <c r="A135" s="15">
        <v>1516091</v>
      </c>
      <c r="B135" s="22" t="s">
        <v>305</v>
      </c>
      <c r="C135" s="22" t="s">
        <v>240</v>
      </c>
      <c r="D135" s="17" t="s">
        <v>306</v>
      </c>
      <c r="E135" s="89">
        <v>68</v>
      </c>
      <c r="F135" s="64" t="s">
        <v>262</v>
      </c>
      <c r="G135" s="58" t="s">
        <v>315</v>
      </c>
      <c r="H135" s="37">
        <f t="shared" si="20"/>
        <v>27938093.499999996</v>
      </c>
      <c r="I135" s="36"/>
      <c r="J135" s="59">
        <f>14033601.01+10981383+4148102+926970+136176-4148102+1859963.49</f>
        <v>27938093.499999996</v>
      </c>
      <c r="K135" s="59">
        <f>14033601.01+10981383+4148102+926970+136176-4148102+1859963.49</f>
        <v>27938093.499999996</v>
      </c>
    </row>
    <row r="136" spans="1:11" s="46" customFormat="1" ht="46.8" x14ac:dyDescent="0.3">
      <c r="A136" s="15">
        <v>1517368</v>
      </c>
      <c r="B136" s="22" t="s">
        <v>307</v>
      </c>
      <c r="C136" s="22" t="s">
        <v>21</v>
      </c>
      <c r="D136" s="17" t="s">
        <v>308</v>
      </c>
      <c r="E136" s="89">
        <v>17</v>
      </c>
      <c r="F136" s="57" t="s">
        <v>156</v>
      </c>
      <c r="G136" s="58" t="s">
        <v>176</v>
      </c>
      <c r="H136" s="37">
        <f t="shared" si="20"/>
        <v>15815727.619999999</v>
      </c>
      <c r="I136" s="36"/>
      <c r="J136" s="59">
        <v>15815727.619999999</v>
      </c>
      <c r="K136" s="59">
        <v>15815727.619999999</v>
      </c>
    </row>
    <row r="137" spans="1:11" s="16" customFormat="1" ht="62.4" x14ac:dyDescent="0.3">
      <c r="A137" s="15">
        <v>1517370</v>
      </c>
      <c r="B137" s="22" t="s">
        <v>309</v>
      </c>
      <c r="C137" s="22" t="s">
        <v>21</v>
      </c>
      <c r="D137" s="17" t="s">
        <v>310</v>
      </c>
      <c r="E137" s="100">
        <v>20</v>
      </c>
      <c r="F137" s="79" t="s">
        <v>311</v>
      </c>
      <c r="G137" s="15" t="s">
        <v>312</v>
      </c>
      <c r="H137" s="37">
        <f t="shared" si="20"/>
        <v>11920588</v>
      </c>
      <c r="I137" s="36"/>
      <c r="J137" s="37">
        <f>19920588-5000000-3000000</f>
        <v>11920588</v>
      </c>
      <c r="K137" s="37">
        <f>19920588-5000000-3000000</f>
        <v>11920588</v>
      </c>
    </row>
    <row r="138" spans="1:11" s="46" customFormat="1" ht="46.8" x14ac:dyDescent="0.3">
      <c r="A138" s="15">
        <v>1517520</v>
      </c>
      <c r="B138" s="15">
        <v>7520</v>
      </c>
      <c r="C138" s="15">
        <v>460</v>
      </c>
      <c r="D138" s="56" t="s">
        <v>265</v>
      </c>
      <c r="E138" s="99">
        <v>61</v>
      </c>
      <c r="F138" s="33" t="s">
        <v>264</v>
      </c>
      <c r="G138" s="58" t="s">
        <v>316</v>
      </c>
      <c r="H138" s="37">
        <f t="shared" ref="H138:H140" si="21">I138+J138</f>
        <v>80300</v>
      </c>
      <c r="I138" s="59">
        <f>46300+24000+10000</f>
        <v>80300</v>
      </c>
      <c r="J138" s="59"/>
      <c r="K138" s="59"/>
    </row>
    <row r="139" spans="1:11" s="16" customFormat="1" ht="109.2" x14ac:dyDescent="0.3">
      <c r="A139" s="22" t="s">
        <v>391</v>
      </c>
      <c r="B139" s="22" t="s">
        <v>298</v>
      </c>
      <c r="C139" s="22" t="s">
        <v>21</v>
      </c>
      <c r="D139" s="17" t="s">
        <v>300</v>
      </c>
      <c r="E139" s="89">
        <v>17</v>
      </c>
      <c r="F139" s="14" t="s">
        <v>156</v>
      </c>
      <c r="G139" s="15" t="s">
        <v>176</v>
      </c>
      <c r="H139" s="37">
        <f t="shared" si="21"/>
        <v>1634290.71</v>
      </c>
      <c r="I139" s="37"/>
      <c r="J139" s="37">
        <v>1634290.71</v>
      </c>
      <c r="K139" s="37"/>
    </row>
    <row r="140" spans="1:11" s="46" customFormat="1" ht="46.8" x14ac:dyDescent="0.3">
      <c r="A140" s="22" t="s">
        <v>313</v>
      </c>
      <c r="B140" s="22" t="s">
        <v>254</v>
      </c>
      <c r="C140" s="22" t="s">
        <v>165</v>
      </c>
      <c r="D140" s="17" t="s">
        <v>166</v>
      </c>
      <c r="E140" s="89">
        <v>17</v>
      </c>
      <c r="F140" s="57" t="s">
        <v>156</v>
      </c>
      <c r="G140" s="58" t="s">
        <v>176</v>
      </c>
      <c r="H140" s="37">
        <f t="shared" si="21"/>
        <v>1991300</v>
      </c>
      <c r="I140" s="59"/>
      <c r="J140" s="59">
        <f>6791300-2000000-2800000</f>
        <v>1991300</v>
      </c>
      <c r="K140" s="59">
        <f>6791300-2000000-2800000</f>
        <v>1991300</v>
      </c>
    </row>
    <row r="141" spans="1:11" s="16" customFormat="1" ht="33" customHeight="1" x14ac:dyDescent="0.3">
      <c r="A141" s="25" t="s">
        <v>38</v>
      </c>
      <c r="B141" s="25"/>
      <c r="C141" s="25"/>
      <c r="D141" s="126" t="s">
        <v>152</v>
      </c>
      <c r="E141" s="127"/>
      <c r="F141" s="128"/>
      <c r="G141" s="26"/>
      <c r="H141" s="36">
        <f>H142</f>
        <v>23342700</v>
      </c>
      <c r="I141" s="36">
        <f>I142</f>
        <v>22452700</v>
      </c>
      <c r="J141" s="36">
        <f>J142</f>
        <v>890000</v>
      </c>
      <c r="K141" s="36">
        <f>K142</f>
        <v>890000</v>
      </c>
    </row>
    <row r="142" spans="1:11" s="27" customFormat="1" ht="33" customHeight="1" x14ac:dyDescent="0.3">
      <c r="A142" s="25" t="s">
        <v>39</v>
      </c>
      <c r="B142" s="25"/>
      <c r="C142" s="25"/>
      <c r="D142" s="126" t="s">
        <v>152</v>
      </c>
      <c r="E142" s="127"/>
      <c r="F142" s="128"/>
      <c r="G142" s="26"/>
      <c r="H142" s="36">
        <f>SUM(H143:H148)</f>
        <v>23342700</v>
      </c>
      <c r="I142" s="36">
        <f>SUM(I143:I148)</f>
        <v>22452700</v>
      </c>
      <c r="J142" s="36">
        <f>SUM(J143:J148)</f>
        <v>890000</v>
      </c>
      <c r="K142" s="36">
        <f>SUM(K143:K148)</f>
        <v>890000</v>
      </c>
    </row>
    <row r="143" spans="1:11" s="27" customFormat="1" ht="109.2" x14ac:dyDescent="0.3">
      <c r="A143" s="22" t="s">
        <v>239</v>
      </c>
      <c r="B143" s="15">
        <v>6090</v>
      </c>
      <c r="C143" s="22" t="s">
        <v>240</v>
      </c>
      <c r="D143" s="17" t="s">
        <v>241</v>
      </c>
      <c r="E143" s="89">
        <v>45</v>
      </c>
      <c r="F143" s="17" t="s">
        <v>205</v>
      </c>
      <c r="G143" s="24" t="s">
        <v>208</v>
      </c>
      <c r="H143" s="37">
        <f t="shared" ref="H143:H146" si="22">I143+J143</f>
        <v>1500000</v>
      </c>
      <c r="I143" s="37">
        <v>1500000</v>
      </c>
      <c r="J143" s="36"/>
      <c r="K143" s="36"/>
    </row>
    <row r="144" spans="1:11" s="27" customFormat="1" ht="46.8" x14ac:dyDescent="0.3">
      <c r="A144" s="15" t="s">
        <v>347</v>
      </c>
      <c r="B144" s="15" t="s">
        <v>348</v>
      </c>
      <c r="C144" s="15" t="s">
        <v>349</v>
      </c>
      <c r="D144" s="17" t="s">
        <v>350</v>
      </c>
      <c r="E144" s="89">
        <v>76</v>
      </c>
      <c r="F144" s="14" t="s">
        <v>346</v>
      </c>
      <c r="G144" s="58" t="s">
        <v>352</v>
      </c>
      <c r="H144" s="37">
        <f t="shared" si="22"/>
        <v>360000</v>
      </c>
      <c r="I144" s="37">
        <f>1160000-200000-600000</f>
        <v>360000</v>
      </c>
      <c r="J144" s="36"/>
      <c r="K144" s="36"/>
    </row>
    <row r="145" spans="1:11" s="27" customFormat="1" ht="46.8" x14ac:dyDescent="0.3">
      <c r="A145" s="15">
        <v>3117520</v>
      </c>
      <c r="B145" s="15">
        <v>7520</v>
      </c>
      <c r="C145" s="22" t="s">
        <v>233</v>
      </c>
      <c r="D145" s="56" t="s">
        <v>265</v>
      </c>
      <c r="E145" s="99">
        <v>61</v>
      </c>
      <c r="F145" s="33" t="s">
        <v>264</v>
      </c>
      <c r="G145" s="58" t="s">
        <v>316</v>
      </c>
      <c r="H145" s="37">
        <f t="shared" si="22"/>
        <v>48600</v>
      </c>
      <c r="I145" s="37">
        <f>8600+40000</f>
        <v>48600</v>
      </c>
      <c r="J145" s="36"/>
      <c r="K145" s="36"/>
    </row>
    <row r="146" spans="1:11" s="27" customFormat="1" ht="46.8" x14ac:dyDescent="0.3">
      <c r="A146" s="15">
        <v>3117650</v>
      </c>
      <c r="B146" s="15">
        <v>7650</v>
      </c>
      <c r="C146" s="22" t="s">
        <v>21</v>
      </c>
      <c r="D146" s="17" t="s">
        <v>394</v>
      </c>
      <c r="E146" s="99">
        <v>76</v>
      </c>
      <c r="F146" s="14" t="s">
        <v>346</v>
      </c>
      <c r="G146" s="58" t="s">
        <v>352</v>
      </c>
      <c r="H146" s="37">
        <f t="shared" si="22"/>
        <v>40000</v>
      </c>
      <c r="I146" s="37"/>
      <c r="J146" s="37">
        <v>40000</v>
      </c>
      <c r="K146" s="37">
        <v>40000</v>
      </c>
    </row>
    <row r="147" spans="1:11" s="27" customFormat="1" ht="46.8" x14ac:dyDescent="0.3">
      <c r="A147" s="12" t="s">
        <v>40</v>
      </c>
      <c r="B147" s="12" t="s">
        <v>34</v>
      </c>
      <c r="C147" s="12" t="s">
        <v>21</v>
      </c>
      <c r="D147" s="28" t="s">
        <v>51</v>
      </c>
      <c r="E147" s="96">
        <v>67</v>
      </c>
      <c r="F147" s="14" t="s">
        <v>238</v>
      </c>
      <c r="G147" s="58" t="s">
        <v>320</v>
      </c>
      <c r="H147" s="37">
        <f>I147+J147</f>
        <v>21209100</v>
      </c>
      <c r="I147" s="37">
        <f>20021000+200000+138100</f>
        <v>20359100</v>
      </c>
      <c r="J147" s="37">
        <v>850000</v>
      </c>
      <c r="K147" s="37">
        <v>850000</v>
      </c>
    </row>
    <row r="148" spans="1:11" s="16" customFormat="1" ht="78" x14ac:dyDescent="0.3">
      <c r="A148" s="12" t="s">
        <v>191</v>
      </c>
      <c r="B148" s="12" t="s">
        <v>158</v>
      </c>
      <c r="C148" s="12" t="s">
        <v>85</v>
      </c>
      <c r="D148" s="20" t="s">
        <v>159</v>
      </c>
      <c r="E148" s="95">
        <v>66</v>
      </c>
      <c r="F148" s="23" t="s">
        <v>259</v>
      </c>
      <c r="G148" s="58" t="s">
        <v>317</v>
      </c>
      <c r="H148" s="37">
        <f>I148+J148</f>
        <v>185000</v>
      </c>
      <c r="I148" s="37">
        <f>145000+40000</f>
        <v>185000</v>
      </c>
      <c r="J148" s="37"/>
      <c r="K148" s="37"/>
    </row>
    <row r="149" spans="1:11" s="16" customFormat="1" ht="15.6" x14ac:dyDescent="0.3">
      <c r="A149" s="25" t="s">
        <v>194</v>
      </c>
      <c r="B149" s="25"/>
      <c r="C149" s="25"/>
      <c r="D149" s="126" t="s">
        <v>192</v>
      </c>
      <c r="E149" s="127"/>
      <c r="F149" s="128"/>
      <c r="G149" s="15"/>
      <c r="H149" s="36">
        <f>H150</f>
        <v>113880012</v>
      </c>
      <c r="I149" s="36">
        <f>I150</f>
        <v>63999230</v>
      </c>
      <c r="J149" s="36">
        <f>J150</f>
        <v>49880782</v>
      </c>
      <c r="K149" s="36">
        <f>K150</f>
        <v>49880782</v>
      </c>
    </row>
    <row r="150" spans="1:11" s="16" customFormat="1" ht="15.6" x14ac:dyDescent="0.3">
      <c r="A150" s="25" t="s">
        <v>193</v>
      </c>
      <c r="B150" s="25"/>
      <c r="C150" s="25"/>
      <c r="D150" s="126" t="s">
        <v>192</v>
      </c>
      <c r="E150" s="127"/>
      <c r="F150" s="128"/>
      <c r="G150" s="15"/>
      <c r="H150" s="36">
        <f>SUM(H151:H163)</f>
        <v>113880012</v>
      </c>
      <c r="I150" s="36">
        <f t="shared" ref="I150:K150" si="23">SUM(I151:I163)</f>
        <v>63999230</v>
      </c>
      <c r="J150" s="36">
        <f>SUM(J151:J163)</f>
        <v>49880782</v>
      </c>
      <c r="K150" s="36">
        <f t="shared" si="23"/>
        <v>49880782</v>
      </c>
    </row>
    <row r="151" spans="1:11" s="16" customFormat="1" ht="31.2" x14ac:dyDescent="0.3">
      <c r="A151" s="15">
        <v>3717520</v>
      </c>
      <c r="B151" s="15">
        <v>7520</v>
      </c>
      <c r="C151" s="15">
        <v>460</v>
      </c>
      <c r="D151" s="56" t="s">
        <v>265</v>
      </c>
      <c r="E151" s="99">
        <v>61</v>
      </c>
      <c r="F151" s="33" t="s">
        <v>264</v>
      </c>
      <c r="G151" s="58" t="s">
        <v>234</v>
      </c>
      <c r="H151" s="37">
        <f t="shared" ref="H151:H158" si="24">I151+J151</f>
        <v>92500</v>
      </c>
      <c r="I151" s="37">
        <f>92500-25000</f>
        <v>67500</v>
      </c>
      <c r="J151" s="37">
        <v>25000</v>
      </c>
      <c r="K151" s="37">
        <v>25000</v>
      </c>
    </row>
    <row r="152" spans="1:11" s="16" customFormat="1" ht="46.8" x14ac:dyDescent="0.3">
      <c r="A152" s="15">
        <v>3719770</v>
      </c>
      <c r="B152" s="50">
        <v>9770</v>
      </c>
      <c r="C152" s="22" t="s">
        <v>131</v>
      </c>
      <c r="D152" s="80" t="s">
        <v>195</v>
      </c>
      <c r="E152" s="104">
        <v>14</v>
      </c>
      <c r="F152" s="14" t="s">
        <v>78</v>
      </c>
      <c r="G152" s="15" t="s">
        <v>175</v>
      </c>
      <c r="H152" s="37">
        <f t="shared" si="24"/>
        <v>2241100</v>
      </c>
      <c r="I152" s="37">
        <f>2251200-10100</f>
        <v>2241100</v>
      </c>
      <c r="J152" s="37"/>
      <c r="K152" s="37"/>
    </row>
    <row r="153" spans="1:11" s="16" customFormat="1" ht="93.6" x14ac:dyDescent="0.3">
      <c r="A153" s="15">
        <v>3719770</v>
      </c>
      <c r="B153" s="50">
        <v>9770</v>
      </c>
      <c r="C153" s="22" t="s">
        <v>131</v>
      </c>
      <c r="D153" s="80" t="s">
        <v>195</v>
      </c>
      <c r="E153" s="104">
        <v>70</v>
      </c>
      <c r="F153" s="14" t="s">
        <v>225</v>
      </c>
      <c r="G153" s="58" t="s">
        <v>275</v>
      </c>
      <c r="H153" s="37">
        <f>I153+J153</f>
        <v>2053700</v>
      </c>
      <c r="I153" s="37">
        <f>1760700+198000+95000-300000</f>
        <v>1753700</v>
      </c>
      <c r="J153" s="37">
        <v>300000</v>
      </c>
      <c r="K153" s="37">
        <v>300000</v>
      </c>
    </row>
    <row r="154" spans="1:11" s="16" customFormat="1" ht="31.2" x14ac:dyDescent="0.3">
      <c r="A154" s="15">
        <v>3719770</v>
      </c>
      <c r="B154" s="50">
        <v>9770</v>
      </c>
      <c r="C154" s="22" t="s">
        <v>131</v>
      </c>
      <c r="D154" s="80" t="s">
        <v>195</v>
      </c>
      <c r="E154" s="104">
        <v>71</v>
      </c>
      <c r="F154" s="17" t="s">
        <v>226</v>
      </c>
      <c r="G154" s="58" t="s">
        <v>276</v>
      </c>
      <c r="H154" s="37">
        <f t="shared" si="24"/>
        <v>500000</v>
      </c>
      <c r="I154" s="37">
        <v>500000</v>
      </c>
      <c r="J154" s="37"/>
      <c r="K154" s="37"/>
    </row>
    <row r="155" spans="1:11" s="16" customFormat="1" ht="78" x14ac:dyDescent="0.3">
      <c r="A155" s="15">
        <v>3719770</v>
      </c>
      <c r="B155" s="50">
        <v>9770</v>
      </c>
      <c r="C155" s="22" t="s">
        <v>131</v>
      </c>
      <c r="D155" s="80" t="s">
        <v>195</v>
      </c>
      <c r="E155" s="105">
        <v>66</v>
      </c>
      <c r="F155" s="14" t="s">
        <v>278</v>
      </c>
      <c r="G155" s="58" t="s">
        <v>317</v>
      </c>
      <c r="H155" s="37">
        <f t="shared" si="24"/>
        <v>12370300</v>
      </c>
      <c r="I155" s="37">
        <f>10000000+2370300</f>
        <v>12370300</v>
      </c>
      <c r="J155" s="37"/>
      <c r="K155" s="37"/>
    </row>
    <row r="156" spans="1:11" s="16" customFormat="1" ht="124.8" x14ac:dyDescent="0.3">
      <c r="A156" s="15">
        <v>3719770</v>
      </c>
      <c r="B156" s="50">
        <v>9770</v>
      </c>
      <c r="C156" s="22" t="s">
        <v>131</v>
      </c>
      <c r="D156" s="80" t="s">
        <v>195</v>
      </c>
      <c r="E156" s="89">
        <v>77</v>
      </c>
      <c r="F156" s="14" t="s">
        <v>365</v>
      </c>
      <c r="G156" s="58" t="s">
        <v>364</v>
      </c>
      <c r="H156" s="37">
        <f t="shared" si="24"/>
        <v>231812</v>
      </c>
      <c r="I156" s="37">
        <v>231812</v>
      </c>
      <c r="J156" s="37"/>
      <c r="K156" s="37"/>
    </row>
    <row r="157" spans="1:11" s="16" customFormat="1" ht="46.8" x14ac:dyDescent="0.3">
      <c r="A157" s="15">
        <v>3719770</v>
      </c>
      <c r="B157" s="50">
        <v>9770</v>
      </c>
      <c r="C157" s="22" t="s">
        <v>131</v>
      </c>
      <c r="D157" s="80" t="s">
        <v>195</v>
      </c>
      <c r="E157" s="50">
        <v>68</v>
      </c>
      <c r="F157" s="33" t="s">
        <v>262</v>
      </c>
      <c r="G157" s="15" t="s">
        <v>315</v>
      </c>
      <c r="H157" s="37">
        <f t="shared" si="24"/>
        <v>1041300</v>
      </c>
      <c r="I157" s="37"/>
      <c r="J157" s="37">
        <v>1041300</v>
      </c>
      <c r="K157" s="37">
        <v>1041300</v>
      </c>
    </row>
    <row r="158" spans="1:11" s="16" customFormat="1" ht="46.8" x14ac:dyDescent="0.3">
      <c r="A158" s="15">
        <v>3719800</v>
      </c>
      <c r="B158" s="50">
        <v>9800</v>
      </c>
      <c r="C158" s="22" t="s">
        <v>131</v>
      </c>
      <c r="D158" s="78" t="s">
        <v>279</v>
      </c>
      <c r="E158" s="89">
        <v>15</v>
      </c>
      <c r="F158" s="14" t="s">
        <v>222</v>
      </c>
      <c r="G158" s="15" t="s">
        <v>173</v>
      </c>
      <c r="H158" s="37">
        <f t="shared" si="24"/>
        <v>200000</v>
      </c>
      <c r="I158" s="37">
        <v>200000</v>
      </c>
      <c r="J158" s="37"/>
      <c r="K158" s="37"/>
    </row>
    <row r="159" spans="1:11" s="16" customFormat="1" ht="78" x14ac:dyDescent="0.3">
      <c r="A159" s="15">
        <v>3719800</v>
      </c>
      <c r="B159" s="50">
        <v>9800</v>
      </c>
      <c r="C159" s="22" t="s">
        <v>131</v>
      </c>
      <c r="D159" s="78" t="s">
        <v>279</v>
      </c>
      <c r="E159" s="105">
        <v>66</v>
      </c>
      <c r="F159" s="14" t="s">
        <v>278</v>
      </c>
      <c r="G159" s="58" t="s">
        <v>317</v>
      </c>
      <c r="H159" s="37">
        <f t="shared" ref="H159:H163" si="25">I159+J159</f>
        <v>87629700</v>
      </c>
      <c r="I159" s="37">
        <f>1690000+14000000+77500000-15874082-6000000-2000000-4300000+2000000-5500000-1500000-1000000-4490300-4085400-2500000-2400000-3000000</f>
        <v>42540218</v>
      </c>
      <c r="J159" s="37">
        <f>2310000+4500000+5874082+6000000+2000000+4300000-2000000+5500000+1500000+1000000+2120000+4085400+2500000+2400000+3000000</f>
        <v>45089482</v>
      </c>
      <c r="K159" s="37">
        <f>2310000+4500000+5874082+6000000+2000000+4300000-2000000+5500000+1500000+1000000+2120000+4085400+2500000+2400000+3000000</f>
        <v>45089482</v>
      </c>
    </row>
    <row r="160" spans="1:11" s="16" customFormat="1" ht="46.8" x14ac:dyDescent="0.3">
      <c r="A160" s="15">
        <v>3719800</v>
      </c>
      <c r="B160" s="50">
        <v>9800</v>
      </c>
      <c r="C160" s="22" t="s">
        <v>131</v>
      </c>
      <c r="D160" s="17" t="s">
        <v>279</v>
      </c>
      <c r="E160" s="89">
        <v>72</v>
      </c>
      <c r="F160" s="14" t="s">
        <v>277</v>
      </c>
      <c r="G160" s="58" t="s">
        <v>321</v>
      </c>
      <c r="H160" s="37">
        <f t="shared" si="25"/>
        <v>3000000</v>
      </c>
      <c r="I160" s="37">
        <f>2000000-130000+100000</f>
        <v>1970000</v>
      </c>
      <c r="J160" s="37">
        <f>1000000+130000-100000</f>
        <v>1030000</v>
      </c>
      <c r="K160" s="37">
        <f>1000000+130000-100000</f>
        <v>1030000</v>
      </c>
    </row>
    <row r="161" spans="1:11" s="16" customFormat="1" ht="46.8" x14ac:dyDescent="0.3">
      <c r="A161" s="15">
        <v>3719800</v>
      </c>
      <c r="B161" s="50">
        <v>9800</v>
      </c>
      <c r="C161" s="22" t="s">
        <v>131</v>
      </c>
      <c r="D161" s="17" t="s">
        <v>279</v>
      </c>
      <c r="E161" s="89">
        <v>74</v>
      </c>
      <c r="F161" s="14" t="s">
        <v>333</v>
      </c>
      <c r="G161" s="58" t="s">
        <v>336</v>
      </c>
      <c r="H161" s="37">
        <f t="shared" si="25"/>
        <v>2000000</v>
      </c>
      <c r="I161" s="37">
        <v>2000000</v>
      </c>
      <c r="J161" s="37"/>
      <c r="K161" s="37"/>
    </row>
    <row r="162" spans="1:11" s="16" customFormat="1" ht="46.8" x14ac:dyDescent="0.3">
      <c r="A162" s="15">
        <v>3719800</v>
      </c>
      <c r="B162" s="50">
        <v>9800</v>
      </c>
      <c r="C162" s="22" t="s">
        <v>131</v>
      </c>
      <c r="D162" s="17" t="s">
        <v>279</v>
      </c>
      <c r="E162" s="89">
        <v>75</v>
      </c>
      <c r="F162" s="14" t="s">
        <v>334</v>
      </c>
      <c r="G162" s="58" t="s">
        <v>337</v>
      </c>
      <c r="H162" s="37">
        <f t="shared" si="25"/>
        <v>1419600</v>
      </c>
      <c r="I162" s="37">
        <v>124600</v>
      </c>
      <c r="J162" s="37">
        <v>1295000</v>
      </c>
      <c r="K162" s="37">
        <v>1295000</v>
      </c>
    </row>
    <row r="163" spans="1:11" s="16" customFormat="1" ht="62.4" x14ac:dyDescent="0.3">
      <c r="A163" s="15">
        <v>3719800</v>
      </c>
      <c r="B163" s="50">
        <v>9800</v>
      </c>
      <c r="C163" s="22" t="s">
        <v>131</v>
      </c>
      <c r="D163" s="17" t="s">
        <v>279</v>
      </c>
      <c r="E163" s="89">
        <v>64</v>
      </c>
      <c r="F163" s="14" t="s">
        <v>372</v>
      </c>
      <c r="G163" s="58" t="s">
        <v>374</v>
      </c>
      <c r="H163" s="37">
        <f t="shared" si="25"/>
        <v>1100000</v>
      </c>
      <c r="I163" s="37"/>
      <c r="J163" s="37">
        <v>1100000</v>
      </c>
      <c r="K163" s="37">
        <v>1100000</v>
      </c>
    </row>
    <row r="164" spans="1:11" s="16" customFormat="1" ht="15.6" x14ac:dyDescent="0.3">
      <c r="A164" s="26"/>
      <c r="B164" s="26"/>
      <c r="C164" s="26"/>
      <c r="D164" s="129" t="s">
        <v>223</v>
      </c>
      <c r="E164" s="129"/>
      <c r="F164" s="129"/>
      <c r="G164" s="26"/>
      <c r="H164" s="36">
        <f>H15+H38+H63+H80+H85+H94+H104+H141+H149+H131</f>
        <v>819693135.72000003</v>
      </c>
      <c r="I164" s="36">
        <f>I15+I38+I63+I80+I85+I94+I104+I141+I149+I131</f>
        <v>506211849.41999996</v>
      </c>
      <c r="J164" s="36">
        <f>J15+J38+J63+J80+J85+J94+J104+J141+J149+J131</f>
        <v>313481286.30000001</v>
      </c>
      <c r="K164" s="36">
        <f>K15+K38+K63+K80+K85+K94+K104+K141+K149+K131</f>
        <v>285245309.27999997</v>
      </c>
    </row>
    <row r="165" spans="1:11" s="27" customFormat="1" ht="46.8" x14ac:dyDescent="0.3">
      <c r="A165" s="15">
        <v>1</v>
      </c>
      <c r="B165" s="51"/>
      <c r="C165" s="51"/>
      <c r="D165" s="52"/>
      <c r="E165" s="51">
        <v>1</v>
      </c>
      <c r="F165" s="14" t="s">
        <v>28</v>
      </c>
      <c r="G165" s="15" t="s">
        <v>182</v>
      </c>
      <c r="H165" s="37">
        <f>H58</f>
        <v>300000</v>
      </c>
      <c r="I165" s="37">
        <f>I58</f>
        <v>300000</v>
      </c>
      <c r="J165" s="37"/>
      <c r="K165" s="37"/>
    </row>
    <row r="166" spans="1:11" s="16" customFormat="1" ht="52.5" customHeight="1" x14ac:dyDescent="0.3">
      <c r="A166" s="15">
        <v>2</v>
      </c>
      <c r="B166" s="51"/>
      <c r="C166" s="51"/>
      <c r="D166" s="52"/>
      <c r="E166" s="51">
        <v>9</v>
      </c>
      <c r="F166" s="14" t="s">
        <v>206</v>
      </c>
      <c r="G166" s="15" t="s">
        <v>204</v>
      </c>
      <c r="H166" s="37">
        <f>H110</f>
        <v>5048613.25</v>
      </c>
      <c r="I166" s="37">
        <f>I110</f>
        <v>0</v>
      </c>
      <c r="J166" s="37">
        <f>J110</f>
        <v>5048613.25</v>
      </c>
      <c r="K166" s="37">
        <f>K110</f>
        <v>5048613.25</v>
      </c>
    </row>
    <row r="167" spans="1:11" s="16" customFormat="1" ht="62.4" x14ac:dyDescent="0.3">
      <c r="A167" s="15">
        <v>3</v>
      </c>
      <c r="B167" s="51"/>
      <c r="C167" s="51"/>
      <c r="D167" s="52"/>
      <c r="E167" s="51">
        <v>13</v>
      </c>
      <c r="F167" s="14" t="s">
        <v>95</v>
      </c>
      <c r="G167" s="15" t="s">
        <v>183</v>
      </c>
      <c r="H167" s="37">
        <f>H24+H65+H68+H77+H40</f>
        <v>20419820</v>
      </c>
      <c r="I167" s="37">
        <f>I24+I65+I68+I77+I40</f>
        <v>19428195</v>
      </c>
      <c r="J167" s="37">
        <f>J24+J65+J68+J77+J40</f>
        <v>991625</v>
      </c>
      <c r="K167" s="37">
        <f>K24+K65+K68+K77+K40</f>
        <v>991625</v>
      </c>
    </row>
    <row r="168" spans="1:11" s="16" customFormat="1" ht="53.25" customHeight="1" x14ac:dyDescent="0.3">
      <c r="A168" s="15">
        <v>4</v>
      </c>
      <c r="B168" s="51"/>
      <c r="C168" s="51"/>
      <c r="D168" s="52"/>
      <c r="E168" s="51">
        <v>14</v>
      </c>
      <c r="F168" s="14" t="s">
        <v>78</v>
      </c>
      <c r="G168" s="15" t="s">
        <v>175</v>
      </c>
      <c r="H168" s="37">
        <f>H23+H59+H66+H67+H69+H71+H73+H74+H75+H76+H78+H82+H152</f>
        <v>50871905</v>
      </c>
      <c r="I168" s="37">
        <f>I23+I59+I66+I67+I69+I71+I73+I74+I75+I76+I78+I82+I152</f>
        <v>50871905</v>
      </c>
      <c r="J168" s="37">
        <f>J23+J59+J66+J67+J69+J71+J73+J74+J75+J76+J78+J82+J152</f>
        <v>0</v>
      </c>
      <c r="K168" s="37">
        <f>K23+K59+K66+K67+K69+K71+K73+K74+K75+K76+K78+K82+K152</f>
        <v>0</v>
      </c>
    </row>
    <row r="169" spans="1:11" s="16" customFormat="1" ht="49.5" customHeight="1" x14ac:dyDescent="0.3">
      <c r="A169" s="15">
        <v>5</v>
      </c>
      <c r="B169" s="51"/>
      <c r="C169" s="51"/>
      <c r="D169" s="66"/>
      <c r="E169" s="108">
        <v>15</v>
      </c>
      <c r="F169" s="14" t="s">
        <v>222</v>
      </c>
      <c r="G169" s="15" t="s">
        <v>173</v>
      </c>
      <c r="H169" s="37">
        <f>H17+H18+H19+H20+H22+H26+H30+H31+H158</f>
        <v>90877932.219999999</v>
      </c>
      <c r="I169" s="37">
        <f>I17+I18+I19+I20+I22+I26+I30+I31+I158</f>
        <v>66159961.100000001</v>
      </c>
      <c r="J169" s="37">
        <f>J17+J18+J19+J20+J22+J26+J30+J31+J158</f>
        <v>24717971.119999997</v>
      </c>
      <c r="K169" s="37">
        <f>K17+K18+K19+K20+K22+K26+K30+K31+K158</f>
        <v>22643815.899999999</v>
      </c>
    </row>
    <row r="170" spans="1:11" s="16" customFormat="1" ht="46.8" x14ac:dyDescent="0.3">
      <c r="A170" s="15">
        <v>6</v>
      </c>
      <c r="B170" s="51"/>
      <c r="C170" s="51"/>
      <c r="D170" s="66"/>
      <c r="E170" s="108">
        <v>16</v>
      </c>
      <c r="F170" s="14" t="s">
        <v>123</v>
      </c>
      <c r="G170" s="15" t="s">
        <v>177</v>
      </c>
      <c r="H170" s="37">
        <f>H41+H42+H45+H46+H47+H48+H49+H50+H51+H52+H54+H55+H56+H60</f>
        <v>74842948.609999999</v>
      </c>
      <c r="I170" s="37">
        <f>I41+I42+I45+I46+I47+I48+I49+I50+I51+I52+I54+I55+I56+I60</f>
        <v>44456200</v>
      </c>
      <c r="J170" s="37">
        <f>J41+J42+J45+J46+J47+J48+J49+J50+J51+J52+J54+J55+J56+J60</f>
        <v>30386748.609999999</v>
      </c>
      <c r="K170" s="37">
        <f>K41+K42+K45+K46+K47+K48+K49+K50+K51+K52+K54+K55+K56+K60</f>
        <v>15764448.609999999</v>
      </c>
    </row>
    <row r="171" spans="1:11" s="16" customFormat="1" ht="46.8" x14ac:dyDescent="0.3">
      <c r="A171" s="15">
        <v>7</v>
      </c>
      <c r="B171" s="51"/>
      <c r="C171" s="51"/>
      <c r="D171" s="52"/>
      <c r="E171" s="51">
        <v>17</v>
      </c>
      <c r="F171" s="14" t="s">
        <v>164</v>
      </c>
      <c r="G171" s="15" t="s">
        <v>176</v>
      </c>
      <c r="H171" s="37">
        <f>H32+H53+H117+H127+H62+H132+H133+H136+H139+H140</f>
        <v>130356503.16000001</v>
      </c>
      <c r="I171" s="37">
        <f t="shared" ref="I171:K171" si="26">I32+I53+I117+I127+I62+I132+I133+I136+I139+I140</f>
        <v>8225330</v>
      </c>
      <c r="J171" s="37">
        <f t="shared" si="26"/>
        <v>122131173.16</v>
      </c>
      <c r="K171" s="37">
        <f t="shared" si="26"/>
        <v>120496882.45</v>
      </c>
    </row>
    <row r="172" spans="1:11" s="16" customFormat="1" ht="124.8" x14ac:dyDescent="0.3">
      <c r="A172" s="15">
        <v>8</v>
      </c>
      <c r="B172" s="51"/>
      <c r="C172" s="51"/>
      <c r="D172" s="52"/>
      <c r="E172" s="82">
        <v>18</v>
      </c>
      <c r="F172" s="23" t="s">
        <v>198</v>
      </c>
      <c r="G172" s="15" t="s">
        <v>199</v>
      </c>
      <c r="H172" s="37">
        <f>H33</f>
        <v>233347</v>
      </c>
      <c r="I172" s="37">
        <f>I33</f>
        <v>233347</v>
      </c>
      <c r="J172" s="37">
        <f>J33</f>
        <v>0</v>
      </c>
      <c r="K172" s="37">
        <f>K33</f>
        <v>0</v>
      </c>
    </row>
    <row r="173" spans="1:11" s="16" customFormat="1" ht="62.4" x14ac:dyDescent="0.3">
      <c r="A173" s="15">
        <v>9</v>
      </c>
      <c r="B173" s="51"/>
      <c r="C173" s="51"/>
      <c r="D173" s="52"/>
      <c r="E173" s="106">
        <v>20</v>
      </c>
      <c r="F173" s="79" t="s">
        <v>311</v>
      </c>
      <c r="G173" s="15" t="s">
        <v>312</v>
      </c>
      <c r="H173" s="37">
        <f>H134+H137</f>
        <v>13042588</v>
      </c>
      <c r="I173" s="37">
        <f>I134+I137</f>
        <v>0</v>
      </c>
      <c r="J173" s="37">
        <f>J134+J137</f>
        <v>13042588</v>
      </c>
      <c r="K173" s="37">
        <f>K134+K137</f>
        <v>13042588</v>
      </c>
    </row>
    <row r="174" spans="1:11" s="16" customFormat="1" ht="46.8" x14ac:dyDescent="0.3">
      <c r="A174" s="15">
        <v>10</v>
      </c>
      <c r="B174" s="51"/>
      <c r="C174" s="51"/>
      <c r="D174" s="52"/>
      <c r="E174" s="82">
        <v>23</v>
      </c>
      <c r="F174" s="23" t="s">
        <v>160</v>
      </c>
      <c r="G174" s="15" t="s">
        <v>162</v>
      </c>
      <c r="H174" s="37">
        <f>H43</f>
        <v>200000</v>
      </c>
      <c r="I174" s="37">
        <f>I43</f>
        <v>200000</v>
      </c>
      <c r="J174" s="37"/>
      <c r="K174" s="37"/>
    </row>
    <row r="175" spans="1:11" s="16" customFormat="1" ht="46.8" x14ac:dyDescent="0.3">
      <c r="A175" s="15">
        <v>11</v>
      </c>
      <c r="B175" s="51"/>
      <c r="C175" s="51"/>
      <c r="D175" s="52"/>
      <c r="E175" s="51">
        <v>25</v>
      </c>
      <c r="F175" s="33" t="s">
        <v>185</v>
      </c>
      <c r="G175" s="15" t="s">
        <v>209</v>
      </c>
      <c r="H175" s="37">
        <f>H57+H88+H72</f>
        <v>2334645.3199999998</v>
      </c>
      <c r="I175" s="37">
        <f>I57+I88+I72</f>
        <v>2334645.3199999998</v>
      </c>
      <c r="J175" s="37">
        <f>J57+J88</f>
        <v>0</v>
      </c>
      <c r="K175" s="37">
        <f>K57+K88</f>
        <v>0</v>
      </c>
    </row>
    <row r="176" spans="1:11" s="16" customFormat="1" ht="46.8" x14ac:dyDescent="0.3">
      <c r="A176" s="15">
        <v>12</v>
      </c>
      <c r="B176" s="51"/>
      <c r="C176" s="51"/>
      <c r="D176" s="52"/>
      <c r="E176" s="51">
        <v>28</v>
      </c>
      <c r="F176" s="33" t="s">
        <v>150</v>
      </c>
      <c r="G176" s="19" t="s">
        <v>200</v>
      </c>
      <c r="H176" s="37">
        <f>H87+H89+H90+H91+H92</f>
        <v>4503526</v>
      </c>
      <c r="I176" s="37">
        <f>I87+I89+I90+I91+I92</f>
        <v>3808426</v>
      </c>
      <c r="J176" s="37">
        <f>J87+J89+J90+J91+J92</f>
        <v>695100</v>
      </c>
      <c r="K176" s="37">
        <f>K87+K89+K90+K91</f>
        <v>420100</v>
      </c>
    </row>
    <row r="177" spans="1:11" s="16" customFormat="1" ht="46.8" x14ac:dyDescent="0.3">
      <c r="A177" s="15">
        <v>13</v>
      </c>
      <c r="B177" s="51"/>
      <c r="C177" s="51"/>
      <c r="D177" s="52"/>
      <c r="E177" s="51">
        <v>29</v>
      </c>
      <c r="F177" s="14" t="s">
        <v>172</v>
      </c>
      <c r="G177" s="15" t="s">
        <v>201</v>
      </c>
      <c r="H177" s="37">
        <f>H70+H96</f>
        <v>1414500</v>
      </c>
      <c r="I177" s="37">
        <f>I70+I96</f>
        <v>1414500</v>
      </c>
      <c r="J177" s="37">
        <f>J70+J96</f>
        <v>0</v>
      </c>
      <c r="K177" s="37">
        <f>K70+K96</f>
        <v>0</v>
      </c>
    </row>
    <row r="178" spans="1:11" s="16" customFormat="1" ht="46.8" x14ac:dyDescent="0.3">
      <c r="A178" s="15">
        <v>14</v>
      </c>
      <c r="B178" s="51"/>
      <c r="C178" s="51"/>
      <c r="D178" s="52"/>
      <c r="E178" s="51">
        <v>30</v>
      </c>
      <c r="F178" s="14" t="s">
        <v>163</v>
      </c>
      <c r="G178" s="15" t="s">
        <v>189</v>
      </c>
      <c r="H178" s="37">
        <f>H97+H98+H99+H100+H101+H103</f>
        <v>10094691</v>
      </c>
      <c r="I178" s="37">
        <f>I97+I98+I99+I100+I101+I103</f>
        <v>5736556</v>
      </c>
      <c r="J178" s="37">
        <f>J97+J98+J99+J100+J101+J103</f>
        <v>4358135</v>
      </c>
      <c r="K178" s="37">
        <f>K97+K98+K99+K100+K101+K103</f>
        <v>0</v>
      </c>
    </row>
    <row r="179" spans="1:11" s="16" customFormat="1" ht="62.4" x14ac:dyDescent="0.3">
      <c r="A179" s="15">
        <v>15</v>
      </c>
      <c r="B179" s="51"/>
      <c r="C179" s="51"/>
      <c r="D179" s="52"/>
      <c r="E179" s="51">
        <v>32</v>
      </c>
      <c r="F179" s="14" t="s">
        <v>187</v>
      </c>
      <c r="G179" s="15" t="s">
        <v>186</v>
      </c>
      <c r="H179" s="37">
        <f>H44</f>
        <v>15000</v>
      </c>
      <c r="I179" s="37">
        <f>I44</f>
        <v>15000</v>
      </c>
      <c r="J179" s="37">
        <f>J44</f>
        <v>0</v>
      </c>
      <c r="K179" s="37">
        <f>K44</f>
        <v>0</v>
      </c>
    </row>
    <row r="180" spans="1:11" s="16" customFormat="1" ht="62.4" x14ac:dyDescent="0.3">
      <c r="A180" s="15">
        <v>16</v>
      </c>
      <c r="B180" s="51"/>
      <c r="C180" s="51"/>
      <c r="D180" s="52"/>
      <c r="E180" s="82">
        <v>36</v>
      </c>
      <c r="F180" s="23" t="s">
        <v>190</v>
      </c>
      <c r="G180" s="15" t="s">
        <v>202</v>
      </c>
      <c r="H180" s="37">
        <f>H34</f>
        <v>3310623</v>
      </c>
      <c r="I180" s="37">
        <f>I34</f>
        <v>2270000</v>
      </c>
      <c r="J180" s="37">
        <f>J34</f>
        <v>1040623</v>
      </c>
      <c r="K180" s="37">
        <f>K34</f>
        <v>1040623</v>
      </c>
    </row>
    <row r="181" spans="1:11" s="16" customFormat="1" ht="78" x14ac:dyDescent="0.3">
      <c r="A181" s="15">
        <v>17</v>
      </c>
      <c r="B181" s="51"/>
      <c r="C181" s="51"/>
      <c r="D181" s="52"/>
      <c r="E181" s="51">
        <v>40</v>
      </c>
      <c r="F181" s="33" t="s">
        <v>288</v>
      </c>
      <c r="G181" s="15" t="s">
        <v>319</v>
      </c>
      <c r="H181" s="37">
        <f>H107+H111+H116+H121+H124</f>
        <v>6131913.7300000004</v>
      </c>
      <c r="I181" s="37">
        <f>I107+I111+I116+I121+I124</f>
        <v>0</v>
      </c>
      <c r="J181" s="37">
        <f>J107+J111+J116+J121+J124</f>
        <v>6131913.7300000004</v>
      </c>
      <c r="K181" s="37">
        <f>K107+K111+K116+K121+K124</f>
        <v>5518790</v>
      </c>
    </row>
    <row r="182" spans="1:11" s="16" customFormat="1" ht="109.2" x14ac:dyDescent="0.3">
      <c r="A182" s="15">
        <v>18</v>
      </c>
      <c r="B182" s="51"/>
      <c r="C182" s="51"/>
      <c r="D182" s="52"/>
      <c r="E182" s="51">
        <v>45</v>
      </c>
      <c r="F182" s="17" t="s">
        <v>205</v>
      </c>
      <c r="G182" s="24" t="s">
        <v>266</v>
      </c>
      <c r="H182" s="37">
        <f>H143</f>
        <v>1500000</v>
      </c>
      <c r="I182" s="37">
        <f>I143</f>
        <v>1500000</v>
      </c>
      <c r="J182" s="37">
        <f>K182</f>
        <v>0</v>
      </c>
      <c r="K182" s="37"/>
    </row>
    <row r="183" spans="1:11" s="16" customFormat="1" ht="46.8" x14ac:dyDescent="0.3">
      <c r="A183" s="15">
        <v>19</v>
      </c>
      <c r="B183" s="51"/>
      <c r="C183" s="51"/>
      <c r="D183" s="52"/>
      <c r="E183" s="51">
        <v>53</v>
      </c>
      <c r="F183" s="14" t="s">
        <v>230</v>
      </c>
      <c r="G183" s="58" t="s">
        <v>231</v>
      </c>
      <c r="H183" s="37">
        <f>H106</f>
        <v>30000</v>
      </c>
      <c r="I183" s="37">
        <f>I106</f>
        <v>30000</v>
      </c>
      <c r="J183" s="37"/>
      <c r="K183" s="37"/>
    </row>
    <row r="184" spans="1:11" s="16" customFormat="1" ht="78" x14ac:dyDescent="0.3">
      <c r="A184" s="15">
        <v>20</v>
      </c>
      <c r="B184" s="70"/>
      <c r="C184" s="51"/>
      <c r="D184" s="52"/>
      <c r="E184" s="51">
        <v>56</v>
      </c>
      <c r="F184" s="14" t="s">
        <v>217</v>
      </c>
      <c r="G184" s="58" t="s">
        <v>318</v>
      </c>
      <c r="H184" s="71">
        <f>I184+J184</f>
        <v>1671300</v>
      </c>
      <c r="I184" s="71"/>
      <c r="J184" s="71">
        <f>J37+J129</f>
        <v>1671300</v>
      </c>
      <c r="K184" s="71">
        <f>K37+K129</f>
        <v>0</v>
      </c>
    </row>
    <row r="185" spans="1:11" s="16" customFormat="1" ht="78" x14ac:dyDescent="0.3">
      <c r="A185" s="19">
        <v>21</v>
      </c>
      <c r="B185" s="70"/>
      <c r="C185" s="70"/>
      <c r="D185" s="81"/>
      <c r="E185" s="70">
        <v>60</v>
      </c>
      <c r="F185" s="32" t="s">
        <v>289</v>
      </c>
      <c r="G185" s="19" t="s">
        <v>290</v>
      </c>
      <c r="H185" s="71">
        <f>H112</f>
        <v>1095000</v>
      </c>
      <c r="I185" s="71">
        <f>I112</f>
        <v>0</v>
      </c>
      <c r="J185" s="71">
        <f>J112</f>
        <v>1095000</v>
      </c>
      <c r="K185" s="71">
        <f>K112</f>
        <v>1095000</v>
      </c>
    </row>
    <row r="186" spans="1:11" s="16" customFormat="1" ht="46.8" x14ac:dyDescent="0.3">
      <c r="A186" s="15">
        <v>22</v>
      </c>
      <c r="B186" s="51"/>
      <c r="C186" s="51"/>
      <c r="D186" s="52"/>
      <c r="E186" s="51">
        <v>61</v>
      </c>
      <c r="F186" s="33" t="s">
        <v>264</v>
      </c>
      <c r="G186" s="15" t="s">
        <v>316</v>
      </c>
      <c r="H186" s="37">
        <f>I186+J186</f>
        <v>4835640</v>
      </c>
      <c r="I186" s="37">
        <f>I29+I61+I79+I84+I93+I102+I120+I138+I145+I151</f>
        <v>3752040</v>
      </c>
      <c r="J186" s="37">
        <f>J29+J61+J79+J84+J93+J102+J120+J138+J145+J151</f>
        <v>1083600</v>
      </c>
      <c r="K186" s="37">
        <f>K29+K61+K79+K84+K93+K102+K120+K138+K145+K151</f>
        <v>1083600</v>
      </c>
    </row>
    <row r="187" spans="1:11" s="16" customFormat="1" ht="62.4" x14ac:dyDescent="0.3">
      <c r="A187" s="24">
        <v>23</v>
      </c>
      <c r="B187" s="82"/>
      <c r="C187" s="82"/>
      <c r="D187" s="83"/>
      <c r="E187" s="82">
        <v>65</v>
      </c>
      <c r="F187" s="84" t="s">
        <v>257</v>
      </c>
      <c r="G187" s="85" t="s">
        <v>273</v>
      </c>
      <c r="H187" s="86">
        <f>H83</f>
        <v>14400</v>
      </c>
      <c r="I187" s="86">
        <f>I83</f>
        <v>14400</v>
      </c>
      <c r="J187" s="86"/>
      <c r="K187" s="86"/>
    </row>
    <row r="188" spans="1:11" s="16" customFormat="1" ht="78" x14ac:dyDescent="0.3">
      <c r="A188" s="15">
        <v>24</v>
      </c>
      <c r="B188" s="51"/>
      <c r="C188" s="51"/>
      <c r="D188" s="52"/>
      <c r="E188" s="82">
        <v>66</v>
      </c>
      <c r="F188" s="23" t="s">
        <v>263</v>
      </c>
      <c r="G188" s="15" t="s">
        <v>317</v>
      </c>
      <c r="H188" s="37">
        <f>H35+H36+H128+H148+H155+H159</f>
        <v>103734075</v>
      </c>
      <c r="I188" s="37">
        <f>I35+I36+I128+I148+I155+I159</f>
        <v>58493893</v>
      </c>
      <c r="J188" s="37">
        <f>J35+J36+J128+J148+J155+J159</f>
        <v>45240182</v>
      </c>
      <c r="K188" s="37">
        <f>K35+K36+K128+K148+K155+K159</f>
        <v>45240182</v>
      </c>
    </row>
    <row r="189" spans="1:11" s="16" customFormat="1" ht="46.8" x14ac:dyDescent="0.3">
      <c r="A189" s="15">
        <v>25</v>
      </c>
      <c r="B189" s="51"/>
      <c r="C189" s="51"/>
      <c r="D189" s="52"/>
      <c r="E189" s="51">
        <v>67</v>
      </c>
      <c r="F189" s="33" t="s">
        <v>238</v>
      </c>
      <c r="G189" s="15" t="s">
        <v>320</v>
      </c>
      <c r="H189" s="37">
        <f>H123+H126+H147</f>
        <v>98918007.819999993</v>
      </c>
      <c r="I189" s="37">
        <f>I123+I126+I147</f>
        <v>94664210</v>
      </c>
      <c r="J189" s="37">
        <f>J123+J126+J147</f>
        <v>4253797.82</v>
      </c>
      <c r="K189" s="37">
        <f>K123+K126+K147</f>
        <v>4253797.82</v>
      </c>
    </row>
    <row r="190" spans="1:11" s="16" customFormat="1" ht="46.8" x14ac:dyDescent="0.3">
      <c r="A190" s="15">
        <v>26</v>
      </c>
      <c r="B190" s="51"/>
      <c r="C190" s="51"/>
      <c r="D190" s="52"/>
      <c r="E190" s="51">
        <v>68</v>
      </c>
      <c r="F190" s="33" t="s">
        <v>262</v>
      </c>
      <c r="G190" s="15" t="s">
        <v>315</v>
      </c>
      <c r="H190" s="37">
        <f>H25+H108+H109+H113+H114+H115+H119+H122+H125+H135+H157</f>
        <v>182349644.61000001</v>
      </c>
      <c r="I190" s="37">
        <f t="shared" ref="I190:K190" si="27">I25+I108+I109+I113+I114+I115+I119+I122+I125+I135+I157</f>
        <v>134805129</v>
      </c>
      <c r="J190" s="37">
        <f t="shared" si="27"/>
        <v>47544515.609999999</v>
      </c>
      <c r="K190" s="37">
        <f t="shared" si="27"/>
        <v>44556843.25</v>
      </c>
    </row>
    <row r="191" spans="1:11" s="16" customFormat="1" ht="46.8" x14ac:dyDescent="0.3">
      <c r="A191" s="15">
        <v>27</v>
      </c>
      <c r="B191" s="51"/>
      <c r="C191" s="51"/>
      <c r="D191" s="52"/>
      <c r="E191" s="107">
        <v>69</v>
      </c>
      <c r="F191" s="21" t="s">
        <v>261</v>
      </c>
      <c r="G191" s="58" t="s">
        <v>274</v>
      </c>
      <c r="H191" s="37">
        <f>H21</f>
        <v>478000</v>
      </c>
      <c r="I191" s="37">
        <f>I21</f>
        <v>478000</v>
      </c>
      <c r="J191" s="37">
        <f>J21</f>
        <v>0</v>
      </c>
      <c r="K191" s="37">
        <f>K21</f>
        <v>0</v>
      </c>
    </row>
    <row r="192" spans="1:11" s="16" customFormat="1" ht="93.6" x14ac:dyDescent="0.3">
      <c r="A192" s="15">
        <v>28</v>
      </c>
      <c r="B192" s="51"/>
      <c r="C192" s="51"/>
      <c r="D192" s="52"/>
      <c r="E192" s="51">
        <v>70</v>
      </c>
      <c r="F192" s="14" t="s">
        <v>225</v>
      </c>
      <c r="G192" s="58" t="s">
        <v>275</v>
      </c>
      <c r="H192" s="37">
        <f t="shared" ref="H192:K193" si="28">H153</f>
        <v>2053700</v>
      </c>
      <c r="I192" s="37">
        <f t="shared" si="28"/>
        <v>1753700</v>
      </c>
      <c r="J192" s="37">
        <f t="shared" si="28"/>
        <v>300000</v>
      </c>
      <c r="K192" s="37">
        <f t="shared" si="28"/>
        <v>300000</v>
      </c>
    </row>
    <row r="193" spans="1:12" s="16" customFormat="1" ht="31.2" x14ac:dyDescent="0.3">
      <c r="A193" s="15">
        <v>29</v>
      </c>
      <c r="B193" s="51"/>
      <c r="C193" s="51"/>
      <c r="D193" s="52"/>
      <c r="E193" s="51">
        <v>71</v>
      </c>
      <c r="F193" s="17" t="s">
        <v>245</v>
      </c>
      <c r="G193" s="58" t="s">
        <v>276</v>
      </c>
      <c r="H193" s="37">
        <f t="shared" si="28"/>
        <v>500000</v>
      </c>
      <c r="I193" s="37">
        <f t="shared" si="28"/>
        <v>500000</v>
      </c>
      <c r="J193" s="37">
        <f t="shared" si="28"/>
        <v>0</v>
      </c>
      <c r="K193" s="37">
        <f t="shared" si="28"/>
        <v>0</v>
      </c>
    </row>
    <row r="194" spans="1:12" s="16" customFormat="1" ht="46.8" x14ac:dyDescent="0.3">
      <c r="A194" s="15">
        <v>30</v>
      </c>
      <c r="B194" s="51"/>
      <c r="C194" s="51"/>
      <c r="D194" s="52"/>
      <c r="E194" s="51">
        <v>72</v>
      </c>
      <c r="F194" s="17" t="s">
        <v>277</v>
      </c>
      <c r="G194" s="58" t="s">
        <v>321</v>
      </c>
      <c r="H194" s="37">
        <f>H160</f>
        <v>3000000</v>
      </c>
      <c r="I194" s="37">
        <f t="shared" ref="I194:K194" si="29">I160</f>
        <v>1970000</v>
      </c>
      <c r="J194" s="37">
        <f t="shared" si="29"/>
        <v>1030000</v>
      </c>
      <c r="K194" s="37">
        <f t="shared" si="29"/>
        <v>1030000</v>
      </c>
    </row>
    <row r="195" spans="1:12" s="16" customFormat="1" ht="46.8" x14ac:dyDescent="0.3">
      <c r="A195" s="15">
        <v>31</v>
      </c>
      <c r="B195" s="51"/>
      <c r="C195" s="51"/>
      <c r="D195" s="52"/>
      <c r="E195" s="89">
        <v>73</v>
      </c>
      <c r="F195" s="14" t="s">
        <v>335</v>
      </c>
      <c r="G195" s="58" t="s">
        <v>338</v>
      </c>
      <c r="H195" s="37">
        <f>H27+H28</f>
        <v>363400</v>
      </c>
      <c r="I195" s="37">
        <f>I27+I28</f>
        <v>80000</v>
      </c>
      <c r="J195" s="37">
        <f>J27+J28</f>
        <v>283400</v>
      </c>
      <c r="K195" s="37">
        <f>K27+K28</f>
        <v>283400</v>
      </c>
    </row>
    <row r="196" spans="1:12" s="16" customFormat="1" ht="46.8" x14ac:dyDescent="0.3">
      <c r="A196" s="15">
        <v>32</v>
      </c>
      <c r="B196" s="51"/>
      <c r="C196" s="51"/>
      <c r="D196" s="52"/>
      <c r="E196" s="89">
        <v>74</v>
      </c>
      <c r="F196" s="14" t="s">
        <v>333</v>
      </c>
      <c r="G196" s="58" t="s">
        <v>336</v>
      </c>
      <c r="H196" s="37">
        <f>H161</f>
        <v>2000000</v>
      </c>
      <c r="I196" s="37">
        <f t="shared" ref="I196:K196" si="30">I161</f>
        <v>2000000</v>
      </c>
      <c r="J196" s="37">
        <f t="shared" si="30"/>
        <v>0</v>
      </c>
      <c r="K196" s="37">
        <f t="shared" si="30"/>
        <v>0</v>
      </c>
    </row>
    <row r="197" spans="1:12" s="16" customFormat="1" ht="46.8" x14ac:dyDescent="0.3">
      <c r="A197" s="15">
        <v>33</v>
      </c>
      <c r="B197" s="51"/>
      <c r="C197" s="51"/>
      <c r="D197" s="52"/>
      <c r="E197" s="89">
        <v>75</v>
      </c>
      <c r="F197" s="14" t="s">
        <v>334</v>
      </c>
      <c r="G197" s="58" t="s">
        <v>337</v>
      </c>
      <c r="H197" s="37">
        <f>H162</f>
        <v>1419600</v>
      </c>
      <c r="I197" s="37">
        <f t="shared" ref="I197:K197" si="31">I162</f>
        <v>124600</v>
      </c>
      <c r="J197" s="37">
        <f t="shared" si="31"/>
        <v>1295000</v>
      </c>
      <c r="K197" s="37">
        <f t="shared" si="31"/>
        <v>1295000</v>
      </c>
    </row>
    <row r="198" spans="1:12" s="16" customFormat="1" ht="57" customHeight="1" x14ac:dyDescent="0.3">
      <c r="A198" s="15">
        <v>34</v>
      </c>
      <c r="B198" s="51"/>
      <c r="C198" s="51"/>
      <c r="D198" s="52"/>
      <c r="E198" s="89">
        <v>76</v>
      </c>
      <c r="F198" s="14" t="s">
        <v>346</v>
      </c>
      <c r="G198" s="58" t="s">
        <v>352</v>
      </c>
      <c r="H198" s="37">
        <f>I198+J198</f>
        <v>400000</v>
      </c>
      <c r="I198" s="37">
        <f>I118+I144</f>
        <v>360000</v>
      </c>
      <c r="J198" s="37">
        <f>J118+J144+J146</f>
        <v>40000</v>
      </c>
      <c r="K198" s="37">
        <f>K118+K144+K146</f>
        <v>40000</v>
      </c>
    </row>
    <row r="199" spans="1:12" s="16" customFormat="1" ht="124.8" x14ac:dyDescent="0.3">
      <c r="A199" s="15">
        <v>35</v>
      </c>
      <c r="B199" s="51"/>
      <c r="C199" s="51"/>
      <c r="D199" s="52"/>
      <c r="E199" s="89">
        <v>77</v>
      </c>
      <c r="F199" s="14" t="s">
        <v>365</v>
      </c>
      <c r="G199" s="58" t="s">
        <v>373</v>
      </c>
      <c r="H199" s="37">
        <f>H156</f>
        <v>231812</v>
      </c>
      <c r="I199" s="37">
        <f>I156</f>
        <v>231812</v>
      </c>
      <c r="J199" s="37">
        <f t="shared" ref="J199:K199" si="32">J156</f>
        <v>0</v>
      </c>
      <c r="K199" s="37">
        <f t="shared" si="32"/>
        <v>0</v>
      </c>
    </row>
    <row r="200" spans="1:12" s="16" customFormat="1" ht="62.4" x14ac:dyDescent="0.3">
      <c r="A200" s="15">
        <v>36</v>
      </c>
      <c r="B200" s="51"/>
      <c r="C200" s="51"/>
      <c r="D200" s="52"/>
      <c r="E200" s="89">
        <v>64</v>
      </c>
      <c r="F200" s="14" t="s">
        <v>372</v>
      </c>
      <c r="G200" s="58" t="s">
        <v>374</v>
      </c>
      <c r="H200" s="37">
        <f>H163</f>
        <v>1100000</v>
      </c>
      <c r="I200" s="37">
        <f t="shared" ref="I200:K200" si="33">I163</f>
        <v>0</v>
      </c>
      <c r="J200" s="37">
        <f t="shared" si="33"/>
        <v>1100000</v>
      </c>
      <c r="K200" s="37">
        <f t="shared" si="33"/>
        <v>1100000</v>
      </c>
    </row>
    <row r="201" spans="1:12" s="67" customFormat="1" ht="17.399999999999999" x14ac:dyDescent="0.3">
      <c r="A201" s="118" t="s">
        <v>224</v>
      </c>
      <c r="B201" s="118"/>
      <c r="C201" s="118"/>
      <c r="D201" s="118"/>
      <c r="E201" s="118"/>
      <c r="F201" s="118"/>
      <c r="G201" s="118"/>
      <c r="H201" s="109">
        <f>I201+J201</f>
        <v>819693135.71999991</v>
      </c>
      <c r="I201" s="109">
        <f>SUM(I165:I200)</f>
        <v>506211849.41999996</v>
      </c>
      <c r="J201" s="109">
        <f t="shared" ref="J201:K201" si="34">SUM(J165:J200)</f>
        <v>313481286.29999995</v>
      </c>
      <c r="K201" s="109">
        <f t="shared" si="34"/>
        <v>285245309.27999997</v>
      </c>
    </row>
    <row r="202" spans="1:12" s="67" customFormat="1" ht="17.399999999999999" x14ac:dyDescent="0.3">
      <c r="A202" s="114"/>
      <c r="B202" s="114"/>
      <c r="C202" s="114"/>
      <c r="D202" s="114"/>
      <c r="E202" s="114"/>
      <c r="F202" s="114"/>
      <c r="G202" s="114"/>
      <c r="H202" s="115">
        <f>H164-H201</f>
        <v>0</v>
      </c>
      <c r="I202" s="115">
        <f t="shared" ref="I202:K202" si="35">I164-I201</f>
        <v>0</v>
      </c>
      <c r="J202" s="115">
        <f t="shared" si="35"/>
        <v>0</v>
      </c>
      <c r="K202" s="115">
        <f t="shared" si="35"/>
        <v>0</v>
      </c>
    </row>
    <row r="203" spans="1:12" s="16" customFormat="1" ht="19.2" customHeight="1" x14ac:dyDescent="0.3">
      <c r="A203" s="35"/>
      <c r="B203" s="35"/>
      <c r="C203" s="35"/>
      <c r="D203" s="34"/>
      <c r="E203" s="35"/>
      <c r="F203" s="43"/>
      <c r="G203" s="44"/>
      <c r="H203" s="45"/>
      <c r="I203" s="45"/>
      <c r="J203" s="45"/>
      <c r="K203" s="45"/>
    </row>
    <row r="204" spans="1:12" s="16" customFormat="1" ht="15.6" x14ac:dyDescent="0.3">
      <c r="A204" s="29"/>
      <c r="B204" s="35"/>
      <c r="C204" s="29"/>
      <c r="D204" s="16" t="s">
        <v>215</v>
      </c>
      <c r="E204" s="35"/>
      <c r="F204" s="11"/>
      <c r="G204" s="35" t="s">
        <v>216</v>
      </c>
      <c r="H204" s="35"/>
      <c r="I204" s="35"/>
      <c r="J204" s="35"/>
      <c r="K204" s="35"/>
    </row>
    <row r="205" spans="1:12" x14ac:dyDescent="0.3">
      <c r="H205" s="112"/>
      <c r="I205" s="112"/>
      <c r="J205" s="112"/>
      <c r="K205" s="112"/>
      <c r="L205" s="111"/>
    </row>
    <row r="206" spans="1:12" x14ac:dyDescent="0.3">
      <c r="H206" s="111"/>
      <c r="I206" s="111"/>
      <c r="J206" s="111"/>
      <c r="K206" s="111"/>
    </row>
    <row r="207" spans="1:12" x14ac:dyDescent="0.3">
      <c r="H207" s="111"/>
      <c r="I207" s="111"/>
      <c r="J207" s="111"/>
      <c r="K207" s="111"/>
    </row>
  </sheetData>
  <autoFilter ref="A6:K201">
    <filterColumn colId="8" showButton="0"/>
    <filterColumn colId="9" showButton="0"/>
  </autoFilter>
  <mergeCells count="40">
    <mergeCell ref="D130:F130"/>
    <mergeCell ref="D131:F131"/>
    <mergeCell ref="D39:F39"/>
    <mergeCell ref="D63:F63"/>
    <mergeCell ref="D64:F64"/>
    <mergeCell ref="D104:F104"/>
    <mergeCell ref="D95:F95"/>
    <mergeCell ref="D105:F105"/>
    <mergeCell ref="D80:F80"/>
    <mergeCell ref="D81:F81"/>
    <mergeCell ref="D85:F85"/>
    <mergeCell ref="D86:F86"/>
    <mergeCell ref="D94:F94"/>
    <mergeCell ref="D164:F164"/>
    <mergeCell ref="D150:F150"/>
    <mergeCell ref="D142:F142"/>
    <mergeCell ref="D141:F141"/>
    <mergeCell ref="D149:F149"/>
    <mergeCell ref="B12:B13"/>
    <mergeCell ref="C12:C13"/>
    <mergeCell ref="D12:D13"/>
    <mergeCell ref="D16:F16"/>
    <mergeCell ref="D38:F38"/>
    <mergeCell ref="D15:F15"/>
    <mergeCell ref="I1:K1"/>
    <mergeCell ref="I2:K2"/>
    <mergeCell ref="I3:K3"/>
    <mergeCell ref="I4:K4"/>
    <mergeCell ref="A201:G201"/>
    <mergeCell ref="I6:K6"/>
    <mergeCell ref="I7:K7"/>
    <mergeCell ref="I8:K8"/>
    <mergeCell ref="I9:K9"/>
    <mergeCell ref="G12:G13"/>
    <mergeCell ref="H12:H13"/>
    <mergeCell ref="I12:I13"/>
    <mergeCell ref="J12:K12"/>
    <mergeCell ref="A10:K10"/>
    <mergeCell ref="F12:F13"/>
    <mergeCell ref="A12:A13"/>
  </mergeCells>
  <pageMargins left="0.39370078740157483" right="0.39370078740157483" top="0.19685039370078741" bottom="0.19685039370078741" header="0.51181102362204722" footer="0.51181102362204722"/>
  <pageSetup paperSize="9" scale="51" fitToHeight="15" orientation="landscape" r:id="rId1"/>
  <headerFooter differentFirst="1">
    <oddHeader>&amp;C&amp;P</oddHeader>
  </headerFooter>
  <rowBreaks count="1" manualBreakCount="1">
    <brk id="103" max="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vt:i4>
      </vt:variant>
      <vt:variant>
        <vt:lpstr>Іменовані діапазони</vt:lpstr>
      </vt:variant>
      <vt:variant>
        <vt:i4>2</vt:i4>
      </vt:variant>
    </vt:vector>
  </HeadingPairs>
  <TitlesOfParts>
    <vt:vector size="3" baseType="lpstr">
      <vt:lpstr>2025</vt:lpstr>
      <vt:lpstr>'2025'!Заголовки_для_друку</vt:lpstr>
      <vt:lpstr>'2025'!Область_друку</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2025-12-17T13:13:22Z</dcterms:modified>
</cp:coreProperties>
</file>