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3_НАСТУПНЕ\на сайт рада\"/>
    </mc:Choice>
  </mc:AlternateContent>
  <bookViews>
    <workbookView xWindow="-108" yWindow="-108" windowWidth="23256" windowHeight="12576" firstSheet="1" activeTab="1"/>
  </bookViews>
  <sheets>
    <sheet name="Лист1" sheetId="13" state="hidden" r:id="rId1"/>
    <sheet name="2025" sheetId="19" r:id="rId2"/>
  </sheets>
  <definedNames>
    <definedName name="_xlnm.Print_Titles" localSheetId="1">'2025'!$12:$14</definedName>
    <definedName name="_xlnm.Print_Area" localSheetId="1">'2025'!$A$1:$I$178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" i="19" l="1"/>
  <c r="F162" i="19" l="1"/>
  <c r="F82" i="19" l="1"/>
  <c r="F62" i="19"/>
  <c r="G168" i="19" l="1"/>
  <c r="F168" i="19"/>
  <c r="G101" i="19" l="1"/>
  <c r="G100" i="19"/>
  <c r="F100" i="19"/>
  <c r="F101" i="19"/>
  <c r="G159" i="19" l="1"/>
  <c r="F159" i="19"/>
  <c r="H95" i="19"/>
  <c r="I95" i="19"/>
  <c r="H123" i="19"/>
  <c r="I123" i="19"/>
  <c r="F123" i="19"/>
  <c r="G115" i="19"/>
  <c r="F115" i="19"/>
  <c r="G97" i="19" l="1"/>
  <c r="F97" i="19"/>
  <c r="G77" i="19"/>
  <c r="F77" i="19"/>
  <c r="G76" i="19"/>
  <c r="F76" i="19"/>
  <c r="G73" i="19"/>
  <c r="F73" i="19"/>
  <c r="G65" i="19"/>
  <c r="F65" i="19"/>
  <c r="G62" i="19"/>
  <c r="G58" i="19" l="1"/>
  <c r="G57" i="19" s="1"/>
  <c r="F58" i="19"/>
  <c r="F57" i="19" s="1"/>
  <c r="G52" i="19"/>
  <c r="F52" i="19"/>
  <c r="G51" i="19"/>
  <c r="F51" i="19"/>
  <c r="G49" i="19"/>
  <c r="F49" i="19"/>
  <c r="G45" i="19"/>
  <c r="F45" i="19"/>
  <c r="G44" i="19"/>
  <c r="F44" i="19"/>
  <c r="F43" i="19" s="1"/>
  <c r="F22" i="19"/>
  <c r="H42" i="19" l="1"/>
  <c r="I42" i="19"/>
  <c r="G172" i="19" l="1"/>
  <c r="G162" i="19"/>
  <c r="G161" i="19" s="1"/>
  <c r="H162" i="19"/>
  <c r="H161" i="19" s="1"/>
  <c r="I162" i="19"/>
  <c r="I161" i="19" s="1"/>
  <c r="F161" i="19"/>
  <c r="H154" i="19" l="1"/>
  <c r="I154" i="19"/>
  <c r="G156" i="19" l="1"/>
  <c r="G154" i="19" s="1"/>
  <c r="F156" i="19"/>
  <c r="F154" i="19" s="1"/>
  <c r="H138" i="19" l="1"/>
  <c r="H94" i="19" s="1"/>
  <c r="G75" i="19"/>
  <c r="F75" i="19"/>
  <c r="G74" i="19"/>
  <c r="F74" i="19"/>
  <c r="G30" i="19" l="1"/>
  <c r="F30" i="19"/>
  <c r="G29" i="19"/>
  <c r="F29" i="19"/>
  <c r="G28" i="19"/>
  <c r="F28" i="19"/>
  <c r="G26" i="19"/>
  <c r="F26" i="19"/>
  <c r="H18" i="19"/>
  <c r="H16" i="19" s="1"/>
  <c r="I18" i="19"/>
  <c r="I16" i="19" s="1"/>
  <c r="G20" i="19"/>
  <c r="F20" i="19"/>
  <c r="G22" i="19"/>
  <c r="H166" i="19" l="1"/>
  <c r="I166" i="19"/>
  <c r="G110" i="19" l="1"/>
  <c r="F110" i="19"/>
  <c r="G39" i="19" l="1"/>
  <c r="F39" i="19"/>
  <c r="G143" i="19" l="1"/>
  <c r="F143" i="19"/>
  <c r="G137" i="19"/>
  <c r="F137" i="19"/>
  <c r="G133" i="19"/>
  <c r="F133" i="19"/>
  <c r="G121" i="19"/>
  <c r="F121" i="19"/>
  <c r="G109" i="19"/>
  <c r="F109" i="19"/>
  <c r="G107" i="19"/>
  <c r="F107" i="19"/>
  <c r="G106" i="19"/>
  <c r="F106" i="19"/>
  <c r="G105" i="19"/>
  <c r="F105" i="19"/>
  <c r="G104" i="19"/>
  <c r="F104" i="19"/>
  <c r="G103" i="19"/>
  <c r="F103" i="19"/>
  <c r="G96" i="19"/>
  <c r="F96" i="19"/>
  <c r="G69" i="19"/>
  <c r="G68" i="19" s="1"/>
  <c r="F69" i="19"/>
  <c r="F68" i="19" s="1"/>
  <c r="F66" i="19"/>
  <c r="G66" i="19"/>
  <c r="G61" i="19"/>
  <c r="F61" i="19"/>
  <c r="G53" i="19"/>
  <c r="G50" i="19"/>
  <c r="G31" i="19"/>
  <c r="F50" i="19"/>
  <c r="F53" i="19"/>
  <c r="F31" i="19"/>
  <c r="G147" i="19" l="1"/>
  <c r="F147" i="19"/>
  <c r="F151" i="19" l="1"/>
  <c r="H151" i="19"/>
  <c r="I151" i="19"/>
  <c r="G151" i="19"/>
  <c r="G150" i="19"/>
  <c r="F150" i="19"/>
  <c r="H84" i="19" l="1"/>
  <c r="I84" i="19"/>
  <c r="G80" i="19"/>
  <c r="H80" i="19"/>
  <c r="I80" i="19"/>
  <c r="F80" i="19"/>
  <c r="G140" i="19" l="1"/>
  <c r="G114" i="19" l="1"/>
  <c r="F114" i="19"/>
  <c r="G118" i="19"/>
  <c r="F118" i="19"/>
  <c r="G113" i="19"/>
  <c r="F113" i="19"/>
  <c r="G117" i="19"/>
  <c r="F117" i="19"/>
  <c r="G116" i="19"/>
  <c r="F116" i="19"/>
  <c r="G119" i="19"/>
  <c r="F119" i="19"/>
  <c r="G124" i="19" l="1"/>
  <c r="G123" i="19" s="1"/>
  <c r="I140" i="19"/>
  <c r="I138" i="19" s="1"/>
  <c r="I94" i="19" s="1"/>
  <c r="G36" i="19" l="1"/>
  <c r="G34" i="19" s="1"/>
  <c r="G173" i="19" l="1"/>
  <c r="G171" i="19" s="1"/>
  <c r="F173" i="19"/>
  <c r="F171" i="19" s="1"/>
  <c r="G136" i="19"/>
  <c r="G134" i="19" s="1"/>
  <c r="F136" i="19"/>
  <c r="F134" i="19" s="1"/>
  <c r="G132" i="19"/>
  <c r="G129" i="19" s="1"/>
  <c r="F132" i="19"/>
  <c r="F129" i="19" s="1"/>
  <c r="G102" i="19"/>
  <c r="G95" i="19" s="1"/>
  <c r="F102" i="19"/>
  <c r="F95" i="19" s="1"/>
  <c r="G85" i="19"/>
  <c r="G84" i="19" s="1"/>
  <c r="F85" i="19"/>
  <c r="F84" i="19" s="1"/>
  <c r="G166" i="19" l="1"/>
  <c r="G43" i="19"/>
  <c r="F36" i="19"/>
  <c r="F34" i="19" s="1"/>
  <c r="G33" i="19"/>
  <c r="F33" i="19"/>
  <c r="G27" i="19"/>
  <c r="F27" i="19"/>
  <c r="F166" i="19" l="1"/>
  <c r="G19" i="19"/>
  <c r="G18" i="19" s="1"/>
  <c r="F19" i="19"/>
  <c r="F18" i="19" s="1"/>
  <c r="G139" i="19" l="1"/>
  <c r="G138" i="19" s="1"/>
  <c r="F139" i="19"/>
  <c r="F138" i="19" s="1"/>
  <c r="G78" i="19"/>
  <c r="F78" i="19"/>
  <c r="G48" i="19"/>
  <c r="G47" i="19" s="1"/>
  <c r="F48" i="19"/>
  <c r="F47" i="19" s="1"/>
  <c r="H146" i="19" l="1"/>
  <c r="I146" i="19"/>
  <c r="G144" i="19"/>
  <c r="F144" i="19"/>
  <c r="I91" i="19"/>
  <c r="I90" i="19" s="1"/>
  <c r="H91" i="19"/>
  <c r="H90" i="19" s="1"/>
  <c r="G91" i="19"/>
  <c r="G90" i="19" s="1"/>
  <c r="F91" i="19"/>
  <c r="F90" i="19" s="1"/>
  <c r="I83" i="19"/>
  <c r="H83" i="19"/>
  <c r="G83" i="19"/>
  <c r="F83" i="19"/>
  <c r="H79" i="19"/>
  <c r="I79" i="19"/>
  <c r="G79" i="19"/>
  <c r="F79" i="19"/>
  <c r="F72" i="19"/>
  <c r="F42" i="19" s="1"/>
  <c r="G40" i="19"/>
  <c r="G16" i="19" s="1"/>
  <c r="F40" i="19"/>
  <c r="F16" i="19" s="1"/>
  <c r="G160" i="19" l="1"/>
  <c r="H165" i="19" l="1"/>
  <c r="I165" i="19"/>
  <c r="H145" i="19"/>
  <c r="I145" i="19"/>
  <c r="F165" i="19" l="1"/>
  <c r="G165" i="19"/>
  <c r="G146" i="19"/>
  <c r="G145" i="19" s="1"/>
  <c r="F146" i="19"/>
  <c r="F145" i="19" s="1"/>
  <c r="G120" i="19"/>
  <c r="G112" i="19" s="1"/>
  <c r="G94" i="19" s="1"/>
  <c r="F120" i="19"/>
  <c r="F112" i="19" s="1"/>
  <c r="F94" i="19" s="1"/>
  <c r="I93" i="19"/>
  <c r="H93" i="19"/>
  <c r="G72" i="19"/>
  <c r="G42" i="19" s="1"/>
  <c r="G93" i="19" l="1"/>
  <c r="G41" i="19"/>
  <c r="F93" i="19" l="1"/>
  <c r="F41" i="19"/>
  <c r="H41" i="19"/>
  <c r="I41" i="19"/>
  <c r="G15" i="19"/>
  <c r="G176" i="19" l="1"/>
  <c r="I15" i="19"/>
  <c r="H15" i="19"/>
  <c r="I176" i="19" l="1"/>
  <c r="H176" i="19"/>
  <c r="F15" i="19"/>
  <c r="F176" i="19" s="1"/>
</calcChain>
</file>

<file path=xl/sharedStrings.xml><?xml version="1.0" encoding="utf-8"?>
<sst xmlns="http://schemas.openxmlformats.org/spreadsheetml/2006/main" count="372" uniqueCount="299">
  <si>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</si>
  <si>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</si>
  <si>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</si>
  <si>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</si>
  <si>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</si>
  <si>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</si>
  <si>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</si>
  <si>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</si>
  <si>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</si>
  <si>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</si>
  <si>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</si>
  <si>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</si>
  <si>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</si>
  <si>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</si>
  <si>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 xml:space="preserve">                                                                                        до  рішення Чорноморської міської ради 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</si>
  <si>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</si>
  <si>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</si>
  <si>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</si>
  <si>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</si>
  <si>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</si>
  <si>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 xml:space="preserve">Розподіл коштів бюджету розвитку у складі бюджету Чорноморської міської територіальної громади  на 2025 рік </t>
  </si>
  <si>
    <t>0217350</t>
  </si>
  <si>
    <t>7350</t>
  </si>
  <si>
    <t>Розроблення схем планування та забудови територій (містобудівної документації)</t>
  </si>
  <si>
    <t>0443</t>
  </si>
  <si>
    <t>Капітальні видатки разом, в т.ч.: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</si>
  <si>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</si>
  <si>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</si>
  <si>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</si>
  <si>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</si>
  <si>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</si>
  <si>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</si>
  <si>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0640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</si>
  <si>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</si>
  <si>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</si>
  <si>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</si>
  <si>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8110</t>
  </si>
  <si>
    <t>Управління освіти Чорноморської  міської ради  Одеського району Одеської області</t>
  </si>
  <si>
    <t xml:space="preserve">                                                                                       "Додаток 8</t>
  </si>
  <si>
    <t xml:space="preserve">                                                                                        від 23.12.2024  № 754 - VIII"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</si>
  <si>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</si>
  <si>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</si>
  <si>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</si>
  <si>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</si>
  <si>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</si>
  <si>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</si>
  <si>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</si>
  <si>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</si>
  <si>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</si>
  <si>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</si>
  <si>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</si>
  <si>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Реалізація Національної програми інформатизації</t>
  </si>
  <si>
    <t>0460</t>
  </si>
  <si>
    <t>КНП "Чорноморська лікарня" - придбання персональних комп'ютерів</t>
  </si>
  <si>
    <t>0611010</t>
  </si>
  <si>
    <t>1010</t>
  </si>
  <si>
    <t>Надання дошкільної освіти</t>
  </si>
  <si>
    <t>0910</t>
  </si>
  <si>
    <t>0218240</t>
  </si>
  <si>
    <t>8240</t>
  </si>
  <si>
    <t>0380</t>
  </si>
  <si>
    <t>Заходи та роботи з територіальної оборони</t>
  </si>
  <si>
    <t>Придбання обладнання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</si>
  <si>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</si>
  <si>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</si>
  <si>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</si>
  <si>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</si>
  <si>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0611183</t>
  </si>
  <si>
    <t>0611184</t>
  </si>
  <si>
    <t>1184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</si>
  <si>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</si>
  <si>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1200000</t>
  </si>
  <si>
    <t>1210000</t>
  </si>
  <si>
    <t>1216011</t>
  </si>
  <si>
    <t>6011</t>
  </si>
  <si>
    <t>Експлуатація та технічне обслуговування житлового фонду</t>
  </si>
  <si>
    <t>0610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</si>
  <si>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</si>
  <si>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</si>
  <si>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</si>
  <si>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</si>
  <si>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1216015</t>
  </si>
  <si>
    <t>6015</t>
  </si>
  <si>
    <t>Забезпечення надійної та безперебійної експлуатації ліфтів</t>
  </si>
  <si>
    <t>0620</t>
  </si>
  <si>
    <t>Капітальний ремонт (заміна) ліфту за адресою: Одеський район, Одеська область, м.Чорноморськ, вул.1 Травня, 5 (1)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</si>
  <si>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</si>
  <si>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</si>
  <si>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</si>
  <si>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</si>
  <si>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проспект Миру, 28 (4)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</si>
  <si>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</si>
  <si>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</si>
  <si>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</si>
  <si>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</si>
  <si>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1216030</t>
  </si>
  <si>
    <t>6030</t>
  </si>
  <si>
    <t>Організація благоустрою населених пунктів</t>
  </si>
  <si>
    <t>Реконструкція скверу за адресою: Одеська область, м.Чорноморськ, проспект Миру, 14. Коригування</t>
  </si>
  <si>
    <t>1217670</t>
  </si>
  <si>
    <t>7670</t>
  </si>
  <si>
    <t>Внески до статутного капіталу суб'єктів господарювання</t>
  </si>
  <si>
    <t>0490</t>
  </si>
  <si>
    <t>Придбання трактора для КП "МУЖКГ"</t>
  </si>
  <si>
    <t>Придбання мережевих насосів для КП "Чорноморськтеплоенерго"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</si>
  <si>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</si>
  <si>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</si>
  <si>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</si>
  <si>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</si>
  <si>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1512171</t>
  </si>
  <si>
    <t>2171</t>
  </si>
  <si>
    <t>0763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</si>
  <si>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</si>
  <si>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</si>
  <si>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</si>
  <si>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</si>
  <si>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1516091</t>
  </si>
  <si>
    <t>6091</t>
  </si>
  <si>
    <t>Будівництво об'єктів житлово-комунального господарства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</si>
  <si>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</si>
  <si>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</si>
  <si>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</si>
  <si>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7370</t>
  </si>
  <si>
    <t>Реалізація інших заходів щодо соціально-економічного розвитку територій</t>
  </si>
  <si>
    <t>Збільшення електропотужностей для 13-го мікрорайону міста Чорноморськ, Одеської області</t>
  </si>
  <si>
    <t>1518110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</si>
  <si>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</si>
  <si>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3700000</t>
  </si>
  <si>
    <t>3710000</t>
  </si>
  <si>
    <t>Фінансове управління Чорноморської  міської ради  Одеського району Одеської області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</si>
  <si>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</si>
  <si>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</si>
  <si>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9800</t>
  </si>
  <si>
    <t>0180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</si>
  <si>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</si>
  <si>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</si>
  <si>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1218240</t>
  </si>
  <si>
    <t>Виконавчий комітет - придбання комп'ютерної техніки та обладнання</t>
  </si>
  <si>
    <t>Придбання шаф холодильних для облаштування приміщень харчоблоків</t>
  </si>
  <si>
    <t>0800000</t>
  </si>
  <si>
    <t>0810000</t>
  </si>
  <si>
    <t>Управління соціальної політики Чорноморської  міської ради  Одеського району Одеської області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</si>
  <si>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</si>
  <si>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</si>
  <si>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</si>
  <si>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</si>
  <si>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</si>
  <si>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1010000</t>
  </si>
  <si>
    <t>Відділ культури Чорноморської  міської ради  Одеського району Одеської області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</si>
  <si>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</si>
  <si>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</si>
  <si>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</si>
  <si>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</si>
  <si>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1100000</t>
  </si>
  <si>
    <t>1110000</t>
  </si>
  <si>
    <t>Відділ молоді та спорту Чорноморської  міської ради  Одеського району Одеської області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</si>
  <si>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</si>
  <si>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</si>
  <si>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</si>
  <si>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</si>
  <si>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</si>
  <si>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</si>
  <si>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r>
  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</t>
    </r>
    <r>
      <rPr>
        <b/>
        <sz val="14"/>
        <color theme="1"/>
        <rFont val="Times New Roman"/>
        <family val="1"/>
        <charset val="204"/>
      </rPr>
      <t xml:space="preserve"> виконання експертизи проектно-кошторисної документації</t>
    </r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</si>
  <si>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</si>
  <si>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</si>
  <si>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</si>
  <si>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Міська цільова програма «Поліцейський офіцер громади» Чорноморської  міської територіальної  громади на 2025 рік</t>
  </si>
  <si>
    <t>Капітальні видатки</t>
  </si>
  <si>
    <t>Придбання підйомного похилого обладнання</t>
  </si>
  <si>
    <t>Капітальний ремонт зовнішнього освітлення на Алеї Пам'яті в парку Приморський</t>
  </si>
  <si>
    <t>0218230</t>
  </si>
  <si>
    <t>8230</t>
  </si>
  <si>
    <t>Інші заходи громадського порядку та безпеки</t>
  </si>
  <si>
    <t>Капітальні видатки / Придбання обладнання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</si>
  <si>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</si>
  <si>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</si>
  <si>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</si>
  <si>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</si>
  <si>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</si>
  <si>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3719770</t>
  </si>
  <si>
    <t>9770</t>
  </si>
  <si>
    <t>Інші субвенції з місцевого бюджету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</si>
  <si>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</si>
  <si>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</si>
  <si>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</si>
  <si>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</si>
  <si>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</si>
  <si>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</si>
  <si>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</si>
  <si>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</si>
  <si>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</si>
  <si>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</si>
  <si>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</si>
  <si>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</si>
  <si>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</si>
  <si>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</si>
  <si>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</si>
  <si>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</si>
  <si>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1022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</si>
  <si>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</si>
  <si>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</si>
  <si>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</si>
  <si>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</si>
  <si>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</si>
  <si>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</si>
  <si>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</si>
  <si>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</si>
  <si>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</si>
  <si>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</si>
  <si>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</si>
  <si>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</si>
  <si>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</si>
  <si>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</si>
  <si>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</si>
  <si>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</si>
  <si>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(заміна) ліфту за адресою: Одеський район, Одеська область, м.Чорноморськ, проспект Миру, 28 (5п.)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</si>
  <si>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</si>
  <si>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</si>
  <si>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</si>
  <si>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</si>
  <si>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</si>
  <si>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</si>
  <si>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</si>
  <si>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</si>
  <si>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</si>
  <si>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</si>
  <si>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</si>
  <si>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</si>
  <si>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</si>
  <si>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</si>
  <si>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</si>
  <si>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Олександрівська селищна адміністрація - придбання комп'ютерної техніки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</si>
  <si>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</si>
  <si>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</si>
  <si>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</si>
  <si>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</si>
  <si>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</si>
  <si>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</si>
  <si>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</si>
  <si>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</si>
  <si>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</si>
  <si>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 xml:space="preserve">Капітальні видатки / Придбання медичного/стоматологічного обладнання та приладдя 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</si>
  <si>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</si>
  <si>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</si>
  <si>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</si>
  <si>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</si>
  <si>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</si>
  <si>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</si>
  <si>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Придбання тракторного самоскидного причепа ТСП-16 для КП "Чорноморськводоканал"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</si>
  <si>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</si>
  <si>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</si>
  <si>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</si>
  <si>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</si>
  <si>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0210150</t>
  </si>
  <si>
    <t>Виконавчий комітет / Капітальні видатки</t>
  </si>
  <si>
    <t>Капітальні видатки / придбання медичного обладнання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</si>
  <si>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</si>
  <si>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</si>
  <si>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Придбання та встановлення пандусів в Чорноморському ліцеї  № 1</t>
  </si>
  <si>
    <t>Придбання інвентарю для водних видів спорту КДЮСШ</t>
  </si>
  <si>
    <t>Встановлення генераторів в Чорноморських ліцеях № 2, № 3  Чорноморської міської ради Одеського району Одеської області (розробка проектно-кошторисної документації)</t>
  </si>
  <si>
    <t>Капітальні видатки / придбання аналізатору гематологічного автоматичного</t>
  </si>
  <si>
    <t>0611141</t>
  </si>
  <si>
    <t>1141</t>
  </si>
  <si>
    <t>Забезпечення діяльності інших закладів у сфері освіти</t>
  </si>
  <si>
    <t>Придбання перетворювача частоти для КП "Чорноморськводоканал"</t>
  </si>
  <si>
    <t>Придбання автопідйомника телескопічного для виконання заходів з благоустрою</t>
  </si>
  <si>
    <t>Капітальний ремонт житлового будинку (заміна вікон) за адресою: м.Чорноморськ, вул.Корабельна, 6-А</t>
  </si>
  <si>
    <t>Реконструкція напірного каналізаційного колектору за адресою: Одеська область, Одеський район, м.Чорноморськ, від вул.Космонавтів, 59Г в с.Малодолинське до вул.Світла, 51 в смт.Олександрівка (коригування)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</si>
  <si>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</si>
  <si>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3100000</t>
  </si>
  <si>
    <t>Управління комунальної власності та земельних відносин Одеського району Одеської області</t>
  </si>
  <si>
    <t>3110000</t>
  </si>
  <si>
    <t>3117693</t>
  </si>
  <si>
    <t>7693</t>
  </si>
  <si>
    <t>Інші заходи, пов`язані з економічною діяльністю</t>
  </si>
  <si>
    <t>Капітальний ремонт покрівлі (заходи з енергозбереження) нежитлової будівлі КП - Фірми "Райдуга"за адресою: Одеська обл., Одеський район, м.Чорноморськ, вул.Захисників України, б.3</t>
  </si>
  <si>
    <t xml:space="preserve">                                                                                        Додаток 6</t>
  </si>
  <si>
    <t>Капітальні видатки / придбання рентгенографічної системи</t>
  </si>
  <si>
    <t>КУ "Муніципальна варта" - придбання комп'ютерної техніки</t>
  </si>
  <si>
    <t>Капітальні видатки / Придбання зарядних станцій для закладів загальної середньої освіти</t>
  </si>
  <si>
    <t>Капітальні видатки / Придбання зарядних станцій для Чорноморської спеціальної школи</t>
  </si>
  <si>
    <t>Капітальний ремонт покрівлі Чорноморської спеціальної школи, розташованої за адресою: Одеська область, Одеський район, місто Чорноморськ, вулиця Пляжна, 3</t>
  </si>
  <si>
    <t>Капітальні видатки / Придбання рятувального надувного човна з двигуном для КДЮСШ</t>
  </si>
  <si>
    <t>1216013</t>
  </si>
  <si>
    <t>6013</t>
  </si>
  <si>
    <t>Забезпечення діяльності водопровідно-каналізаційного господарства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</si>
  <si>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м.Чорноморськ, вул.Паркова, 23 / виготовлення проектно-кошторисної документації</t>
  </si>
  <si>
    <t>КП "Зеленгосп" / капітальні видатки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</si>
  <si>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</si>
  <si>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 xml:space="preserve">                                                                                        від_____.12.2025  №_____- VIII</t>
  </si>
  <si>
    <t>Капітальний ремонт (технічне переоснащення) частини внутрішньобудинкової зливової каналізації, систем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</t>
  </si>
  <si>
    <t>Придбання шкільного автобусу</t>
  </si>
  <si>
    <t>Придбання зарядних станцій</t>
  </si>
  <si>
    <t>Капітальні видатки, разом -
в т.ч.:</t>
  </si>
  <si>
    <t>3117650</t>
  </si>
  <si>
    <t>7650</t>
  </si>
  <si>
    <t>Проведення експертної грошової оцінки земельної ділянки чи права на неї</t>
  </si>
  <si>
    <t>Експертна оцінки земельної ділянки за рахунок авансового внеску, згідно рішення ЧМР від 11.11.2025 № 979/25-VIII "Про надання дозволу на продаж Злобіну Р.В. земельної ділянки площею 0,0800 га за адресою: Одеська область, Одеський район, місто Чорноморськ, вулиця Промислова, 14 та проведення її експертної грошової оцінки"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</si>
</sst>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7" fillId="0" borderId="0"/>
    <xf numFmtId="0" fontId="18" fillId="0" borderId="0"/>
    <xf numFmtId="0" fontId="6" fillId="0" borderId="0"/>
    <xf numFmtId="0" fontId="21" fillId="0" borderId="0"/>
    <xf numFmtId="0" fontId="2" fillId="0" borderId="0"/>
    <xf numFmtId="0" fontId="26" fillId="0" borderId="0"/>
    <xf numFmtId="0" fontId="1" fillId="0" borderId="0"/>
  </cellStyleXfs>
  <cellXfs count="84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" xfId="6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10" quotePrefix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6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19" fillId="2" borderId="1" xfId="0" quotePrefix="1" applyFont="1" applyFill="1" applyBorder="1" applyAlignment="1">
      <alignment vertical="center" wrapText="1"/>
    </xf>
    <xf numFmtId="0" fontId="15" fillId="0" borderId="1" xfId="0" quotePrefix="1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left" vertical="center" wrapText="1"/>
    </xf>
    <xf numFmtId="0" fontId="15" fillId="2" borderId="4" xfId="0" quotePrefix="1" applyFont="1" applyFill="1" applyBorder="1" applyAlignment="1">
      <alignment horizontal="left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4">
    <cellStyle name="Excel Built-in Normal" xfId="9"/>
    <cellStyle name="Звичайний" xfId="0" builtinId="0"/>
    <cellStyle name="Обычный 10" xfId="7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11"/>
    <cellStyle name="Обычный 6 3" xfId="13"/>
    <cellStyle name="Обычный 7" xfId="8"/>
    <cellStyle name="Обычный 9" xfId="10"/>
    <cellStyle name="Обычный 9 2" xfId="12"/>
    <cellStyle name="Обычный_дод 3" xfId="6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tabSelected="1" view="pageBreakPreview" topLeftCell="A172" zoomScale="69" zoomScaleNormal="100" zoomScaleSheetLayoutView="69" workbookViewId="0">
      <selection activeCell="A181" sqref="A180:XFD183"/>
    </sheetView>
  </sheetViews>
  <sheetFormatPr defaultColWidth="9.109375" defaultRowHeight="18"/>
  <cols>
    <col min="1" max="1" width="17.109375" style="12" customWidth="1"/>
    <col min="2" max="2" width="13.33203125" style="5" customWidth="1"/>
    <col min="3" max="3" width="15.33203125" style="5" customWidth="1"/>
    <col min="4" max="4" width="40" style="5" customWidth="1"/>
    <col min="5" max="5" width="73.33203125" style="6" customWidth="1"/>
    <col min="6" max="6" width="21.21875" style="5" customWidth="1"/>
    <col min="7" max="9" width="21.21875" style="41" hidden="1" customWidth="1"/>
    <col min="10" max="10" width="21.21875" style="5" customWidth="1"/>
    <col min="11" max="16384" width="9.109375" style="5"/>
  </cols>
  <sheetData>
    <row r="1" spans="1:9">
      <c r="E1" s="16" t="s">
        <v>277</v>
      </c>
    </row>
    <row r="2" spans="1:9">
      <c r="E2" s="16" t="s">
        <v>14</v>
      </c>
    </row>
    <row r="3" spans="1:9">
      <c r="E3" s="16" t="s">
        <v>290</v>
      </c>
    </row>
    <row r="5" spans="1:9">
      <c r="E5" s="16" t="s">
        <v>38</v>
      </c>
      <c r="F5" s="16"/>
    </row>
    <row r="6" spans="1:9">
      <c r="E6" s="16" t="s">
        <v>14</v>
      </c>
      <c r="F6" s="16"/>
    </row>
    <row r="7" spans="1:9">
      <c r="E7" s="16" t="s">
        <v>39</v>
      </c>
      <c r="F7" s="16"/>
    </row>
    <row r="8" spans="1:9">
      <c r="A8" s="77">
        <v>1558900000</v>
      </c>
      <c r="B8" s="77"/>
    </row>
    <row r="9" spans="1:9">
      <c r="A9" s="78" t="s">
        <v>6</v>
      </c>
      <c r="B9" s="78"/>
      <c r="D9" s="12"/>
    </row>
    <row r="10" spans="1:9" s="3" customFormat="1" ht="45" customHeight="1">
      <c r="A10" s="79" t="s">
        <v>20</v>
      </c>
      <c r="B10" s="79"/>
      <c r="C10" s="79"/>
      <c r="D10" s="79"/>
      <c r="E10" s="79"/>
      <c r="F10" s="79"/>
      <c r="G10" s="79"/>
      <c r="H10" s="79"/>
      <c r="I10" s="79"/>
    </row>
    <row r="11" spans="1:9" s="3" customFormat="1" ht="21">
      <c r="A11" s="7"/>
      <c r="D11" s="8"/>
      <c r="E11" s="9"/>
      <c r="F11" s="8"/>
      <c r="G11" s="42" t="s">
        <v>2</v>
      </c>
      <c r="H11" s="42"/>
      <c r="I11" s="42"/>
    </row>
    <row r="12" spans="1:9" s="16" customFormat="1" ht="15.6" customHeight="1">
      <c r="A12" s="80" t="s">
        <v>3</v>
      </c>
      <c r="B12" s="80" t="s">
        <v>4</v>
      </c>
      <c r="C12" s="80" t="s">
        <v>1</v>
      </c>
      <c r="D12" s="80" t="s">
        <v>5</v>
      </c>
      <c r="E12" s="80" t="s">
        <v>13</v>
      </c>
      <c r="F12" s="80" t="s">
        <v>15</v>
      </c>
      <c r="G12" s="83" t="s">
        <v>10</v>
      </c>
      <c r="H12" s="83"/>
      <c r="I12" s="83"/>
    </row>
    <row r="13" spans="1:9" s="16" customFormat="1" ht="99.6" customHeight="1">
      <c r="A13" s="81"/>
      <c r="B13" s="81"/>
      <c r="C13" s="81"/>
      <c r="D13" s="82"/>
      <c r="E13" s="82"/>
      <c r="F13" s="82"/>
      <c r="G13" s="43" t="s">
        <v>11</v>
      </c>
      <c r="H13" s="43" t="s">
        <v>12</v>
      </c>
      <c r="I13" s="43" t="s">
        <v>105</v>
      </c>
    </row>
    <row r="14" spans="1:9">
      <c r="A14" s="10">
        <v>1</v>
      </c>
      <c r="B14" s="10">
        <v>2</v>
      </c>
      <c r="C14" s="10">
        <v>3</v>
      </c>
      <c r="D14" s="11">
        <v>4</v>
      </c>
      <c r="E14" s="11">
        <v>5</v>
      </c>
      <c r="F14" s="11">
        <v>6</v>
      </c>
      <c r="G14" s="44" t="s">
        <v>16</v>
      </c>
      <c r="H14" s="44" t="s">
        <v>17</v>
      </c>
      <c r="I14" s="44" t="s">
        <v>18</v>
      </c>
    </row>
    <row r="15" spans="1:9" s="31" customFormat="1" ht="18.75" customHeight="1">
      <c r="A15" s="30" t="s">
        <v>7</v>
      </c>
      <c r="B15" s="30"/>
      <c r="C15" s="30"/>
      <c r="D15" s="71" t="s">
        <v>9</v>
      </c>
      <c r="E15" s="72"/>
      <c r="F15" s="20">
        <f t="shared" ref="F15:I15" si="0">F16</f>
        <v>23465138.899999999</v>
      </c>
      <c r="G15" s="45">
        <f>G16</f>
        <v>23465138.899999999</v>
      </c>
      <c r="H15" s="45">
        <f t="shared" si="0"/>
        <v>0</v>
      </c>
      <c r="I15" s="45">
        <f t="shared" si="0"/>
        <v>0</v>
      </c>
    </row>
    <row r="16" spans="1:9" s="31" customFormat="1" ht="18.75" customHeight="1">
      <c r="A16" s="30" t="s">
        <v>8</v>
      </c>
      <c r="B16" s="18"/>
      <c r="C16" s="18"/>
      <c r="D16" s="71" t="s">
        <v>9</v>
      </c>
      <c r="E16" s="72"/>
      <c r="F16" s="20">
        <f>F17+F18+F26+F27+F32+F33+F34+F39+F40</f>
        <v>23465138.899999999</v>
      </c>
      <c r="G16" s="20">
        <f t="shared" ref="G16:I16" si="1">G17+G18+G26+G27+G32+G33+G34+G39+G40</f>
        <v>23465138.899999999</v>
      </c>
      <c r="H16" s="20">
        <f t="shared" si="1"/>
        <v>0</v>
      </c>
      <c r="I16" s="20">
        <f t="shared" si="1"/>
        <v>0</v>
      </c>
    </row>
    <row r="17" spans="1:9" s="31" customFormat="1" ht="126">
      <c r="A17" s="18" t="s">
        <v>253</v>
      </c>
      <c r="B17" s="18" t="s">
        <v>163</v>
      </c>
      <c r="C17" s="18" t="s">
        <v>158</v>
      </c>
      <c r="D17" s="32" t="s">
        <v>164</v>
      </c>
      <c r="E17" s="27" t="s">
        <v>254</v>
      </c>
      <c r="F17" s="24">
        <v>52000</v>
      </c>
      <c r="G17" s="24">
        <v>52000</v>
      </c>
      <c r="H17" s="24"/>
      <c r="I17" s="24"/>
    </row>
    <row r="18" spans="1:9" s="31" customFormat="1" ht="36">
      <c r="A18" s="18" t="s">
        <v>40</v>
      </c>
      <c r="B18" s="18" t="s">
        <v>41</v>
      </c>
      <c r="C18" s="18" t="s">
        <v>42</v>
      </c>
      <c r="D18" s="32" t="s">
        <v>43</v>
      </c>
      <c r="E18" s="27" t="s">
        <v>25</v>
      </c>
      <c r="F18" s="24">
        <f>SUM(F19:F25)</f>
        <v>18400020.899999999</v>
      </c>
      <c r="G18" s="24">
        <f t="shared" ref="G18:I18" si="2">SUM(G19:G25)</f>
        <v>18400020.899999999</v>
      </c>
      <c r="H18" s="24">
        <f t="shared" si="2"/>
        <v>0</v>
      </c>
      <c r="I18" s="24">
        <f t="shared" si="2"/>
        <v>0</v>
      </c>
    </row>
    <row r="19" spans="1:9" s="31" customFormat="1" ht="160.5" customHeight="1">
      <c r="A19" s="18"/>
      <c r="B19" s="18"/>
      <c r="C19" s="18"/>
      <c r="D19" s="32"/>
      <c r="E19" s="32" t="s">
        <v>176</v>
      </c>
      <c r="F19" s="24">
        <f>2036600-65630</f>
        <v>1970970</v>
      </c>
      <c r="G19" s="46">
        <f>2036600-65630</f>
        <v>1970970</v>
      </c>
      <c r="H19" s="46"/>
      <c r="I19" s="46"/>
    </row>
    <row r="20" spans="1:9" s="31" customFormat="1" ht="72">
      <c r="A20" s="18"/>
      <c r="B20" s="18"/>
      <c r="C20" s="18"/>
      <c r="D20" s="32"/>
      <c r="E20" s="32" t="s">
        <v>188</v>
      </c>
      <c r="F20" s="24">
        <f>1822170-142254.5</f>
        <v>1679915.5</v>
      </c>
      <c r="G20" s="46">
        <f>1822170-142254.5</f>
        <v>1679915.5</v>
      </c>
      <c r="H20" s="46"/>
      <c r="I20" s="46"/>
    </row>
    <row r="21" spans="1:9" s="31" customFormat="1" ht="72">
      <c r="A21" s="18"/>
      <c r="B21" s="18"/>
      <c r="C21" s="18"/>
      <c r="D21" s="32"/>
      <c r="E21" s="32" t="s">
        <v>244</v>
      </c>
      <c r="F21" s="24">
        <v>5800000</v>
      </c>
      <c r="G21" s="46">
        <v>5800000</v>
      </c>
      <c r="H21" s="46"/>
      <c r="I21" s="46"/>
    </row>
    <row r="22" spans="1:9" s="31" customFormat="1">
      <c r="A22" s="18"/>
      <c r="B22" s="18"/>
      <c r="C22" s="18"/>
      <c r="D22" s="32"/>
      <c r="E22" s="32" t="s">
        <v>255</v>
      </c>
      <c r="F22" s="24">
        <f>1695270-121251.5+0.1</f>
        <v>1574018.6</v>
      </c>
      <c r="G22" s="46">
        <f>1695270-121251.5</f>
        <v>1574018.5</v>
      </c>
      <c r="H22" s="46"/>
      <c r="I22" s="46"/>
    </row>
    <row r="23" spans="1:9" s="31" customFormat="1" ht="36">
      <c r="A23" s="18"/>
      <c r="B23" s="18"/>
      <c r="C23" s="18"/>
      <c r="D23" s="32"/>
      <c r="E23" s="32" t="s">
        <v>261</v>
      </c>
      <c r="F23" s="24">
        <v>1234839.8</v>
      </c>
      <c r="G23" s="46">
        <v>1234839.8999999999</v>
      </c>
      <c r="H23" s="46"/>
      <c r="I23" s="46"/>
    </row>
    <row r="24" spans="1:9" s="31" customFormat="1">
      <c r="A24" s="18"/>
      <c r="B24" s="18"/>
      <c r="C24" s="18"/>
      <c r="D24" s="32"/>
      <c r="E24" s="32" t="s">
        <v>278</v>
      </c>
      <c r="F24" s="24">
        <v>5500000</v>
      </c>
      <c r="G24" s="46">
        <v>5500000</v>
      </c>
      <c r="H24" s="46"/>
      <c r="I24" s="46"/>
    </row>
    <row r="25" spans="1:9" s="31" customFormat="1" ht="126">
      <c r="A25" s="18"/>
      <c r="B25" s="18"/>
      <c r="C25" s="18"/>
      <c r="D25" s="32"/>
      <c r="E25" s="32" t="s">
        <v>291</v>
      </c>
      <c r="F25" s="24">
        <v>640277</v>
      </c>
      <c r="G25" s="46">
        <v>640277</v>
      </c>
      <c r="H25" s="46"/>
      <c r="I25" s="46"/>
    </row>
    <row r="26" spans="1:9" s="31" customFormat="1" ht="36">
      <c r="A26" s="18" t="s">
        <v>189</v>
      </c>
      <c r="B26" s="18" t="s">
        <v>190</v>
      </c>
      <c r="C26" s="51" t="s">
        <v>191</v>
      </c>
      <c r="D26" s="23" t="s">
        <v>192</v>
      </c>
      <c r="E26" s="32" t="s">
        <v>241</v>
      </c>
      <c r="F26" s="24">
        <f>962100+687000</f>
        <v>1649100</v>
      </c>
      <c r="G26" s="46">
        <f>962100+687000</f>
        <v>1649100</v>
      </c>
      <c r="H26" s="46"/>
      <c r="I26" s="46"/>
    </row>
    <row r="27" spans="1:9" s="31" customFormat="1" ht="72">
      <c r="A27" s="18" t="s">
        <v>44</v>
      </c>
      <c r="B27" s="18" t="s">
        <v>45</v>
      </c>
      <c r="C27" s="18" t="s">
        <v>46</v>
      </c>
      <c r="D27" s="32" t="s">
        <v>47</v>
      </c>
      <c r="E27" s="27" t="s">
        <v>25</v>
      </c>
      <c r="F27" s="24">
        <f>F28+F29+F30+F31</f>
        <v>807395</v>
      </c>
      <c r="G27" s="24">
        <f>G28+G29+G30+G31</f>
        <v>807395</v>
      </c>
      <c r="H27" s="46"/>
      <c r="I27" s="46"/>
    </row>
    <row r="28" spans="1:9" s="31" customFormat="1" ht="126">
      <c r="A28" s="18"/>
      <c r="B28" s="18"/>
      <c r="C28" s="18"/>
      <c r="D28" s="32"/>
      <c r="E28" s="32" t="s">
        <v>184</v>
      </c>
      <c r="F28" s="24">
        <f>1426100-707200-296299.88</f>
        <v>422600.12</v>
      </c>
      <c r="G28" s="46">
        <f>1426100-707200-296299.88</f>
        <v>422600.12</v>
      </c>
      <c r="H28" s="46"/>
      <c r="I28" s="46"/>
    </row>
    <row r="29" spans="1:9" s="31" customFormat="1">
      <c r="A29" s="18"/>
      <c r="B29" s="18"/>
      <c r="C29" s="18"/>
      <c r="D29" s="32"/>
      <c r="E29" s="32" t="s">
        <v>173</v>
      </c>
      <c r="F29" s="24">
        <f>192000+60000-3731</f>
        <v>248269</v>
      </c>
      <c r="G29" s="46">
        <f>192000+60000-3731</f>
        <v>248269</v>
      </c>
      <c r="H29" s="46"/>
      <c r="I29" s="46"/>
    </row>
    <row r="30" spans="1:9" s="31" customFormat="1" ht="72">
      <c r="A30" s="18"/>
      <c r="B30" s="18"/>
      <c r="C30" s="18"/>
      <c r="D30" s="32"/>
      <c r="E30" s="32" t="s">
        <v>185</v>
      </c>
      <c r="F30" s="24">
        <f>100000-974.12</f>
        <v>99025.88</v>
      </c>
      <c r="G30" s="46">
        <f>100000-974.12</f>
        <v>99025.88</v>
      </c>
      <c r="H30" s="46"/>
      <c r="I30" s="46"/>
    </row>
    <row r="31" spans="1:9" s="31" customFormat="1">
      <c r="A31" s="18"/>
      <c r="B31" s="18"/>
      <c r="C31" s="18"/>
      <c r="D31" s="32"/>
      <c r="E31" s="32" t="s">
        <v>227</v>
      </c>
      <c r="F31" s="24">
        <f>45000-7500</f>
        <v>37500</v>
      </c>
      <c r="G31" s="46">
        <f>45000-7500</f>
        <v>37500</v>
      </c>
      <c r="H31" s="46"/>
      <c r="I31" s="46"/>
    </row>
    <row r="32" spans="1:9" s="31" customFormat="1" ht="126">
      <c r="A32" s="18" t="s">
        <v>228</v>
      </c>
      <c r="B32" s="18" t="s">
        <v>229</v>
      </c>
      <c r="C32" s="26" t="s">
        <v>111</v>
      </c>
      <c r="D32" s="23" t="s">
        <v>230</v>
      </c>
      <c r="E32" s="66" t="s">
        <v>252</v>
      </c>
      <c r="F32" s="24">
        <v>197300</v>
      </c>
      <c r="G32" s="46">
        <v>197300</v>
      </c>
      <c r="H32" s="46"/>
      <c r="I32" s="46"/>
    </row>
    <row r="33" spans="1:9" ht="72">
      <c r="A33" s="18" t="s">
        <v>21</v>
      </c>
      <c r="B33" s="18" t="s">
        <v>22</v>
      </c>
      <c r="C33" s="26" t="s">
        <v>24</v>
      </c>
      <c r="D33" s="23" t="s">
        <v>23</v>
      </c>
      <c r="E33" s="27" t="s">
        <v>48</v>
      </c>
      <c r="F33" s="24">
        <f>340000-56600</f>
        <v>283400</v>
      </c>
      <c r="G33" s="46">
        <f>340000-56600</f>
        <v>283400</v>
      </c>
      <c r="H33" s="46"/>
      <c r="I33" s="46"/>
    </row>
    <row r="34" spans="1:9" ht="36">
      <c r="A34" s="18" t="s">
        <v>49</v>
      </c>
      <c r="B34" s="18" t="s">
        <v>50</v>
      </c>
      <c r="C34" s="26" t="s">
        <v>52</v>
      </c>
      <c r="D34" s="23" t="s">
        <v>51</v>
      </c>
      <c r="E34" s="27" t="s">
        <v>25</v>
      </c>
      <c r="F34" s="24">
        <f>F35+F36+F37+F38</f>
        <v>978600</v>
      </c>
      <c r="G34" s="24">
        <f>G35+G36+G37+G38</f>
        <v>978600</v>
      </c>
      <c r="H34" s="46"/>
      <c r="I34" s="46"/>
    </row>
    <row r="35" spans="1:9" ht="36">
      <c r="A35" s="18"/>
      <c r="B35" s="18"/>
      <c r="C35" s="26"/>
      <c r="D35" s="23"/>
      <c r="E35" s="27" t="s">
        <v>53</v>
      </c>
      <c r="F35" s="24">
        <v>534000</v>
      </c>
      <c r="G35" s="46">
        <v>534000</v>
      </c>
      <c r="H35" s="46"/>
      <c r="I35" s="46"/>
    </row>
    <row r="36" spans="1:9" ht="36">
      <c r="A36" s="18"/>
      <c r="B36" s="18"/>
      <c r="C36" s="26"/>
      <c r="D36" s="23"/>
      <c r="E36" s="27" t="s">
        <v>137</v>
      </c>
      <c r="F36" s="24">
        <f>191600+40180+159820</f>
        <v>391600</v>
      </c>
      <c r="G36" s="46">
        <f>191600+40180+159820</f>
        <v>391600</v>
      </c>
      <c r="H36" s="46"/>
      <c r="I36" s="46"/>
    </row>
    <row r="37" spans="1:9" ht="36">
      <c r="A37" s="18"/>
      <c r="B37" s="18"/>
      <c r="C37" s="26"/>
      <c r="D37" s="23"/>
      <c r="E37" s="27" t="s">
        <v>231</v>
      </c>
      <c r="F37" s="24">
        <v>29000</v>
      </c>
      <c r="G37" s="46">
        <v>29000</v>
      </c>
      <c r="H37" s="46"/>
      <c r="I37" s="46"/>
    </row>
    <row r="38" spans="1:9">
      <c r="A38" s="18"/>
      <c r="B38" s="18"/>
      <c r="C38" s="26"/>
      <c r="D38" s="23"/>
      <c r="E38" s="27" t="s">
        <v>279</v>
      </c>
      <c r="F38" s="24">
        <v>24000</v>
      </c>
      <c r="G38" s="46">
        <v>24000</v>
      </c>
      <c r="H38" s="46"/>
      <c r="I38" s="46"/>
    </row>
    <row r="39" spans="1:9" ht="36">
      <c r="A39" s="51" t="s">
        <v>170</v>
      </c>
      <c r="B39" s="51" t="s">
        <v>171</v>
      </c>
      <c r="C39" s="51" t="s">
        <v>60</v>
      </c>
      <c r="D39" s="23" t="s">
        <v>172</v>
      </c>
      <c r="E39" s="27" t="s">
        <v>167</v>
      </c>
      <c r="F39" s="24">
        <f>514000+307000+201140+18483</f>
        <v>1040623</v>
      </c>
      <c r="G39" s="46">
        <f>514000+307000+201140+18483</f>
        <v>1040623</v>
      </c>
      <c r="H39" s="46"/>
      <c r="I39" s="46"/>
    </row>
    <row r="40" spans="1:9" ht="36">
      <c r="A40" s="18" t="s">
        <v>58</v>
      </c>
      <c r="B40" s="18" t="s">
        <v>59</v>
      </c>
      <c r="C40" s="26" t="s">
        <v>60</v>
      </c>
      <c r="D40" s="23" t="s">
        <v>61</v>
      </c>
      <c r="E40" s="27" t="s">
        <v>62</v>
      </c>
      <c r="F40" s="24">
        <f>200500-22800-121000</f>
        <v>56700</v>
      </c>
      <c r="G40" s="46">
        <f>200500-22800-121000</f>
        <v>56700</v>
      </c>
      <c r="H40" s="46"/>
      <c r="I40" s="46"/>
    </row>
    <row r="41" spans="1:9" s="31" customFormat="1" ht="18.75" customHeight="1">
      <c r="A41" s="30" t="s">
        <v>26</v>
      </c>
      <c r="B41" s="30"/>
      <c r="C41" s="30"/>
      <c r="D41" s="71" t="s">
        <v>37</v>
      </c>
      <c r="E41" s="72"/>
      <c r="F41" s="20">
        <f t="shared" ref="F41:I41" si="3">F42</f>
        <v>20537781.93</v>
      </c>
      <c r="G41" s="45" t="e">
        <f>G42</f>
        <v>#REF!</v>
      </c>
      <c r="H41" s="45">
        <f t="shared" si="3"/>
        <v>0</v>
      </c>
      <c r="I41" s="45">
        <f t="shared" si="3"/>
        <v>0</v>
      </c>
    </row>
    <row r="42" spans="1:9" s="31" customFormat="1" ht="18.75" customHeight="1">
      <c r="A42" s="30" t="s">
        <v>27</v>
      </c>
      <c r="B42" s="18"/>
      <c r="C42" s="18"/>
      <c r="D42" s="71" t="s">
        <v>37</v>
      </c>
      <c r="E42" s="72"/>
      <c r="F42" s="20">
        <f>F43+F47+F57+F61+F62+F65+F66+F67+F68+F72</f>
        <v>20537781.93</v>
      </c>
      <c r="G42" s="20" t="e">
        <f>G43+G47+G57+G61+G62+G65+G66+G67+G68+G72</f>
        <v>#REF!</v>
      </c>
      <c r="H42" s="20">
        <f>H43+H47+H57+H61+H62+H65+H66+H67+H68+H72</f>
        <v>0</v>
      </c>
      <c r="I42" s="20">
        <f>I43+I47+I57+I61+I62+I65+I66+I67+I68+I72</f>
        <v>0</v>
      </c>
    </row>
    <row r="43" spans="1:9">
      <c r="A43" s="18" t="s">
        <v>54</v>
      </c>
      <c r="B43" s="18" t="s">
        <v>55</v>
      </c>
      <c r="C43" s="28" t="s">
        <v>57</v>
      </c>
      <c r="D43" s="23" t="s">
        <v>56</v>
      </c>
      <c r="E43" s="27" t="s">
        <v>25</v>
      </c>
      <c r="F43" s="24">
        <f>F44+F45+F46</f>
        <v>1000040</v>
      </c>
      <c r="G43" s="24" t="e">
        <f>#REF!+G44+G45+G46</f>
        <v>#REF!</v>
      </c>
      <c r="H43" s="46"/>
      <c r="I43" s="46"/>
    </row>
    <row r="44" spans="1:9" ht="36">
      <c r="A44" s="18"/>
      <c r="B44" s="18"/>
      <c r="C44" s="28"/>
      <c r="D44" s="23"/>
      <c r="E44" s="27" t="s">
        <v>138</v>
      </c>
      <c r="F44" s="24">
        <f>700000-260000-6560</f>
        <v>433440</v>
      </c>
      <c r="G44" s="46">
        <f>700000-260000-6560</f>
        <v>433440</v>
      </c>
      <c r="H44" s="46"/>
      <c r="I44" s="46"/>
    </row>
    <row r="45" spans="1:9" ht="36">
      <c r="A45" s="18"/>
      <c r="B45" s="18"/>
      <c r="C45" s="28"/>
      <c r="D45" s="23"/>
      <c r="E45" s="27" t="s">
        <v>193</v>
      </c>
      <c r="F45" s="24">
        <f>500000-10400</f>
        <v>489600</v>
      </c>
      <c r="G45" s="46">
        <f>500000-10400</f>
        <v>489600</v>
      </c>
      <c r="H45" s="46"/>
      <c r="I45" s="46"/>
    </row>
    <row r="46" spans="1:9">
      <c r="A46" s="18"/>
      <c r="B46" s="18"/>
      <c r="C46" s="28"/>
      <c r="D46" s="23"/>
      <c r="E46" s="27" t="s">
        <v>194</v>
      </c>
      <c r="F46" s="24">
        <v>77000</v>
      </c>
      <c r="G46" s="46">
        <v>77000</v>
      </c>
      <c r="H46" s="46"/>
      <c r="I46" s="46"/>
    </row>
    <row r="47" spans="1:9" ht="72">
      <c r="A47" s="18" t="s">
        <v>28</v>
      </c>
      <c r="B47" s="18" t="s">
        <v>29</v>
      </c>
      <c r="C47" s="28" t="s">
        <v>30</v>
      </c>
      <c r="D47" s="23" t="s">
        <v>31</v>
      </c>
      <c r="E47" s="27" t="s">
        <v>25</v>
      </c>
      <c r="F47" s="24">
        <f>SUM(F48:F56)</f>
        <v>5531586.6099999994</v>
      </c>
      <c r="G47" s="24">
        <f>SUM(G48:G56)</f>
        <v>5531586.6099999994</v>
      </c>
      <c r="H47" s="46"/>
      <c r="I47" s="46"/>
    </row>
    <row r="48" spans="1:9" ht="90">
      <c r="A48" s="18"/>
      <c r="B48" s="18"/>
      <c r="C48" s="28"/>
      <c r="D48" s="23"/>
      <c r="E48" s="27" t="s">
        <v>249</v>
      </c>
      <c r="F48" s="24">
        <f>526625</f>
        <v>526625</v>
      </c>
      <c r="G48" s="24">
        <f>526625</f>
        <v>526625</v>
      </c>
      <c r="H48" s="24"/>
      <c r="I48" s="24"/>
    </row>
    <row r="49" spans="1:9" ht="90">
      <c r="A49" s="18"/>
      <c r="B49" s="18"/>
      <c r="C49" s="28"/>
      <c r="D49" s="23"/>
      <c r="E49" s="27" t="s">
        <v>242</v>
      </c>
      <c r="F49" s="24">
        <f>2700000-5960-92000-7140</f>
        <v>2594900</v>
      </c>
      <c r="G49" s="46">
        <f>2700000-5960-92000-7140</f>
        <v>2594900</v>
      </c>
      <c r="H49" s="46"/>
      <c r="I49" s="46"/>
    </row>
    <row r="50" spans="1:9" ht="36">
      <c r="A50" s="18"/>
      <c r="B50" s="18"/>
      <c r="C50" s="28"/>
      <c r="D50" s="23"/>
      <c r="E50" s="27" t="s">
        <v>138</v>
      </c>
      <c r="F50" s="24">
        <f>800000-340000+5960</f>
        <v>465960</v>
      </c>
      <c r="G50" s="46">
        <f>800000-340000+5960</f>
        <v>465960</v>
      </c>
      <c r="H50" s="46"/>
      <c r="I50" s="46"/>
    </row>
    <row r="51" spans="1:9" ht="54">
      <c r="A51" s="18"/>
      <c r="B51" s="18"/>
      <c r="C51" s="28"/>
      <c r="D51" s="23"/>
      <c r="E51" s="27" t="s">
        <v>260</v>
      </c>
      <c r="F51" s="24">
        <f>600000-200000-62911.39</f>
        <v>337088.61</v>
      </c>
      <c r="G51" s="46">
        <f>600000-200000-62911.39</f>
        <v>337088.61</v>
      </c>
      <c r="H51" s="46"/>
      <c r="I51" s="46"/>
    </row>
    <row r="52" spans="1:9" ht="90">
      <c r="A52" s="18"/>
      <c r="B52" s="18"/>
      <c r="C52" s="28"/>
      <c r="D52" s="23"/>
      <c r="E52" s="27" t="s">
        <v>256</v>
      </c>
      <c r="F52" s="24">
        <f>400000+200000-536</f>
        <v>599464</v>
      </c>
      <c r="G52" s="46">
        <f>400000+200000-536</f>
        <v>599464</v>
      </c>
      <c r="H52" s="46"/>
      <c r="I52" s="46"/>
    </row>
    <row r="53" spans="1:9">
      <c r="A53" s="18"/>
      <c r="B53" s="18"/>
      <c r="C53" s="28"/>
      <c r="D53" s="23"/>
      <c r="E53" s="27" t="s">
        <v>194</v>
      </c>
      <c r="F53" s="24">
        <f>9000-1451</f>
        <v>7549</v>
      </c>
      <c r="G53" s="46">
        <f>9000-1451</f>
        <v>7549</v>
      </c>
      <c r="H53" s="46"/>
      <c r="I53" s="46"/>
    </row>
    <row r="54" spans="1:9" ht="90">
      <c r="A54" s="18"/>
      <c r="B54" s="18"/>
      <c r="C54" s="28"/>
      <c r="D54" s="23"/>
      <c r="E54" s="54" t="s">
        <v>247</v>
      </c>
      <c r="F54" s="24">
        <v>475000</v>
      </c>
      <c r="G54" s="46">
        <v>475000</v>
      </c>
      <c r="H54" s="46"/>
      <c r="I54" s="46"/>
    </row>
    <row r="55" spans="1:9" ht="36">
      <c r="A55" s="18"/>
      <c r="B55" s="18"/>
      <c r="C55" s="28"/>
      <c r="D55" s="23"/>
      <c r="E55" s="54" t="s">
        <v>258</v>
      </c>
      <c r="F55" s="24">
        <v>75000</v>
      </c>
      <c r="G55" s="46">
        <v>75000</v>
      </c>
      <c r="H55" s="46"/>
      <c r="I55" s="46"/>
    </row>
    <row r="56" spans="1:9" ht="36">
      <c r="A56" s="18"/>
      <c r="B56" s="18"/>
      <c r="C56" s="28"/>
      <c r="D56" s="23"/>
      <c r="E56" s="54" t="s">
        <v>280</v>
      </c>
      <c r="F56" s="24">
        <v>450000</v>
      </c>
      <c r="G56" s="46">
        <v>450000</v>
      </c>
      <c r="H56" s="46"/>
      <c r="I56" s="46"/>
    </row>
    <row r="57" spans="1:9" ht="126">
      <c r="A57" s="18" t="s">
        <v>195</v>
      </c>
      <c r="B57" s="18" t="s">
        <v>198</v>
      </c>
      <c r="C57" s="51" t="s">
        <v>196</v>
      </c>
      <c r="D57" s="23" t="s">
        <v>197</v>
      </c>
      <c r="E57" s="27" t="s">
        <v>167</v>
      </c>
      <c r="F57" s="24">
        <f>F58+F59+F60</f>
        <v>684069</v>
      </c>
      <c r="G57" s="24">
        <f>G58+G59+G60</f>
        <v>684069</v>
      </c>
      <c r="H57" s="46"/>
      <c r="I57" s="46"/>
    </row>
    <row r="58" spans="1:9">
      <c r="A58" s="18"/>
      <c r="B58" s="18"/>
      <c r="C58" s="51"/>
      <c r="D58" s="23"/>
      <c r="E58" s="27" t="s">
        <v>194</v>
      </c>
      <c r="F58" s="24">
        <f>9100-31</f>
        <v>9069</v>
      </c>
      <c r="G58" s="46">
        <f>9100-31</f>
        <v>9069</v>
      </c>
      <c r="H58" s="46"/>
      <c r="I58" s="46"/>
    </row>
    <row r="59" spans="1:9" ht="36">
      <c r="A59" s="18"/>
      <c r="B59" s="18"/>
      <c r="C59" s="51"/>
      <c r="D59" s="23"/>
      <c r="E59" s="27" t="s">
        <v>281</v>
      </c>
      <c r="F59" s="24">
        <v>45000</v>
      </c>
      <c r="G59" s="46">
        <v>45000</v>
      </c>
      <c r="H59" s="46"/>
      <c r="I59" s="46"/>
    </row>
    <row r="60" spans="1:9" ht="54">
      <c r="A60" s="18"/>
      <c r="B60" s="18"/>
      <c r="C60" s="51"/>
      <c r="D60" s="23"/>
      <c r="E60" s="27" t="s">
        <v>282</v>
      </c>
      <c r="F60" s="24">
        <v>630000</v>
      </c>
      <c r="G60" s="46">
        <v>630000</v>
      </c>
      <c r="H60" s="46"/>
      <c r="I60" s="46"/>
    </row>
    <row r="61" spans="1:9" ht="72">
      <c r="A61" s="18" t="s">
        <v>199</v>
      </c>
      <c r="B61" s="18" t="s">
        <v>200</v>
      </c>
      <c r="C61" s="51" t="s">
        <v>201</v>
      </c>
      <c r="D61" s="23" t="s">
        <v>202</v>
      </c>
      <c r="E61" s="27" t="s">
        <v>194</v>
      </c>
      <c r="F61" s="24">
        <f>4000-517</f>
        <v>3483</v>
      </c>
      <c r="G61" s="46">
        <f>4000-517</f>
        <v>3483</v>
      </c>
      <c r="H61" s="46"/>
      <c r="I61" s="46"/>
    </row>
    <row r="62" spans="1:9" ht="36">
      <c r="A62" s="51" t="s">
        <v>262</v>
      </c>
      <c r="B62" s="51" t="s">
        <v>263</v>
      </c>
      <c r="C62" s="51" t="s">
        <v>65</v>
      </c>
      <c r="D62" s="23" t="s">
        <v>264</v>
      </c>
      <c r="E62" s="27" t="s">
        <v>294</v>
      </c>
      <c r="F62" s="24">
        <f>F63+F64</f>
        <v>3832990</v>
      </c>
      <c r="G62" s="46">
        <f>3750000-17000</f>
        <v>3733000</v>
      </c>
      <c r="H62" s="46"/>
      <c r="I62" s="46"/>
    </row>
    <row r="63" spans="1:9">
      <c r="A63" s="51"/>
      <c r="B63" s="51"/>
      <c r="C63" s="51"/>
      <c r="D63" s="23"/>
      <c r="E63" s="27" t="s">
        <v>292</v>
      </c>
      <c r="F63" s="24">
        <v>3733000</v>
      </c>
      <c r="G63" s="46"/>
      <c r="H63" s="46"/>
      <c r="I63" s="46"/>
    </row>
    <row r="64" spans="1:9">
      <c r="A64" s="51"/>
      <c r="B64" s="51"/>
      <c r="C64" s="51"/>
      <c r="D64" s="23"/>
      <c r="E64" s="27" t="s">
        <v>293</v>
      </c>
      <c r="F64" s="24">
        <v>99990</v>
      </c>
      <c r="G64" s="46"/>
      <c r="H64" s="46"/>
      <c r="I64" s="46"/>
    </row>
    <row r="65" spans="1:9" ht="108">
      <c r="A65" s="18" t="s">
        <v>203</v>
      </c>
      <c r="B65" s="18" t="s">
        <v>204</v>
      </c>
      <c r="C65" s="26" t="s">
        <v>65</v>
      </c>
      <c r="D65" s="23" t="s">
        <v>205</v>
      </c>
      <c r="E65" s="27" t="s">
        <v>206</v>
      </c>
      <c r="F65" s="24">
        <f>1400000-400000-35386.2</f>
        <v>964613.8</v>
      </c>
      <c r="G65" s="46">
        <f>1400000-400000-35386.2</f>
        <v>964613.8</v>
      </c>
      <c r="H65" s="46"/>
      <c r="I65" s="46"/>
    </row>
    <row r="66" spans="1:9" ht="65.400000000000006" customHeight="1">
      <c r="A66" s="18" t="s">
        <v>67</v>
      </c>
      <c r="B66" s="18" t="s">
        <v>63</v>
      </c>
      <c r="C66" s="67" t="s">
        <v>65</v>
      </c>
      <c r="D66" s="73" t="s">
        <v>64</v>
      </c>
      <c r="E66" s="73"/>
      <c r="F66" s="24">
        <f>1304329-12529</f>
        <v>1291800</v>
      </c>
      <c r="G66" s="24">
        <f>1304329-12529</f>
        <v>1291800</v>
      </c>
      <c r="H66" s="24"/>
      <c r="I66" s="24"/>
    </row>
    <row r="67" spans="1:9" ht="81" customHeight="1">
      <c r="A67" s="18" t="s">
        <v>68</v>
      </c>
      <c r="B67" s="18" t="s">
        <v>69</v>
      </c>
      <c r="C67" s="67" t="s">
        <v>65</v>
      </c>
      <c r="D67" s="74" t="s">
        <v>66</v>
      </c>
      <c r="E67" s="75"/>
      <c r="F67" s="24">
        <v>3043200</v>
      </c>
      <c r="G67" s="24">
        <v>3043200</v>
      </c>
      <c r="H67" s="24"/>
      <c r="I67" s="24"/>
    </row>
    <row r="68" spans="1:9" ht="62.4">
      <c r="A68" s="26" t="s">
        <v>222</v>
      </c>
      <c r="B68" s="26" t="s">
        <v>223</v>
      </c>
      <c r="C68" s="28" t="s">
        <v>224</v>
      </c>
      <c r="D68" s="65" t="s">
        <v>225</v>
      </c>
      <c r="E68" s="64" t="s">
        <v>25</v>
      </c>
      <c r="F68" s="24">
        <f>F69+F70+F71</f>
        <v>477270</v>
      </c>
      <c r="G68" s="24">
        <f>G69+G70+G71</f>
        <v>477270</v>
      </c>
      <c r="H68" s="46"/>
      <c r="I68" s="46"/>
    </row>
    <row r="69" spans="1:9">
      <c r="A69" s="26"/>
      <c r="B69" s="26"/>
      <c r="C69" s="28"/>
      <c r="D69" s="65"/>
      <c r="E69" s="64" t="s">
        <v>226</v>
      </c>
      <c r="F69" s="24">
        <f>310000-5730</f>
        <v>304270</v>
      </c>
      <c r="G69" s="46">
        <f>310000-5730</f>
        <v>304270</v>
      </c>
      <c r="H69" s="46"/>
      <c r="I69" s="46"/>
    </row>
    <row r="70" spans="1:9" ht="36">
      <c r="A70" s="26"/>
      <c r="B70" s="26"/>
      <c r="C70" s="28"/>
      <c r="D70" s="65"/>
      <c r="E70" s="54" t="s">
        <v>283</v>
      </c>
      <c r="F70" s="24">
        <v>81000</v>
      </c>
      <c r="G70" s="46">
        <v>81000</v>
      </c>
      <c r="H70" s="46"/>
      <c r="I70" s="46"/>
    </row>
    <row r="71" spans="1:9">
      <c r="A71" s="26"/>
      <c r="B71" s="26"/>
      <c r="C71" s="28"/>
      <c r="D71" s="65"/>
      <c r="E71" s="68" t="s">
        <v>259</v>
      </c>
      <c r="F71" s="24">
        <v>92000</v>
      </c>
      <c r="G71" s="46">
        <v>92000</v>
      </c>
      <c r="H71" s="46"/>
      <c r="I71" s="46"/>
    </row>
    <row r="72" spans="1:9" ht="54">
      <c r="A72" s="18" t="s">
        <v>33</v>
      </c>
      <c r="B72" s="18" t="s">
        <v>36</v>
      </c>
      <c r="C72" s="26" t="s">
        <v>34</v>
      </c>
      <c r="D72" s="23" t="s">
        <v>35</v>
      </c>
      <c r="E72" s="29" t="s">
        <v>25</v>
      </c>
      <c r="F72" s="24">
        <f>SUM(F73:F78)</f>
        <v>3708729.5199999996</v>
      </c>
      <c r="G72" s="46">
        <f>SUM(G73:G78)</f>
        <v>3708729.5199999996</v>
      </c>
      <c r="H72" s="46"/>
      <c r="I72" s="46"/>
    </row>
    <row r="73" spans="1:9" ht="90">
      <c r="A73" s="18"/>
      <c r="B73" s="18"/>
      <c r="C73" s="26"/>
      <c r="D73" s="23"/>
      <c r="E73" s="56" t="s">
        <v>186</v>
      </c>
      <c r="F73" s="24">
        <f>200000+200000-130000-472</f>
        <v>269528</v>
      </c>
      <c r="G73" s="46">
        <f>200000+200000-130000-472</f>
        <v>269528</v>
      </c>
      <c r="H73" s="46"/>
      <c r="I73" s="46"/>
    </row>
    <row r="74" spans="1:9" ht="90">
      <c r="A74" s="18"/>
      <c r="B74" s="18"/>
      <c r="C74" s="26"/>
      <c r="D74" s="23"/>
      <c r="E74" s="33" t="s">
        <v>70</v>
      </c>
      <c r="F74" s="24">
        <f>2800119+100000+1820000-4650744.28</f>
        <v>69374.719999999739</v>
      </c>
      <c r="G74" s="46">
        <f>2800119+100000+1820000-4650744.28</f>
        <v>69374.719999999739</v>
      </c>
      <c r="H74" s="46"/>
      <c r="I74" s="46"/>
    </row>
    <row r="75" spans="1:9" ht="90">
      <c r="A75" s="18"/>
      <c r="B75" s="18"/>
      <c r="C75" s="26"/>
      <c r="D75" s="23"/>
      <c r="E75" s="33" t="s">
        <v>245</v>
      </c>
      <c r="F75" s="24">
        <f>1194216+295784-1448617.91</f>
        <v>41382.090000000084</v>
      </c>
      <c r="G75" s="46">
        <f>1194216+295784-1448617.91</f>
        <v>41382.090000000084</v>
      </c>
      <c r="H75" s="46"/>
      <c r="I75" s="46"/>
    </row>
    <row r="76" spans="1:9" ht="90">
      <c r="A76" s="18"/>
      <c r="B76" s="18"/>
      <c r="C76" s="26"/>
      <c r="D76" s="23"/>
      <c r="E76" s="33" t="s">
        <v>178</v>
      </c>
      <c r="F76" s="24">
        <f>1400315-211300+180000-2880.29</f>
        <v>1366134.71</v>
      </c>
      <c r="G76" s="46">
        <f>1400315-211300+180000-2880.29</f>
        <v>1366134.71</v>
      </c>
      <c r="H76" s="46"/>
      <c r="I76" s="46"/>
    </row>
    <row r="77" spans="1:9" ht="54">
      <c r="A77" s="18"/>
      <c r="B77" s="18"/>
      <c r="C77" s="26"/>
      <c r="D77" s="23"/>
      <c r="E77" s="55" t="s">
        <v>207</v>
      </c>
      <c r="F77" s="24">
        <f>500000-100</f>
        <v>499900</v>
      </c>
      <c r="G77" s="46">
        <f>500000-100</f>
        <v>499900</v>
      </c>
      <c r="H77" s="46"/>
      <c r="I77" s="46"/>
    </row>
    <row r="78" spans="1:9" ht="108">
      <c r="A78" s="18"/>
      <c r="B78" s="18"/>
      <c r="C78" s="26"/>
      <c r="D78" s="23"/>
      <c r="E78" s="33" t="s">
        <v>177</v>
      </c>
      <c r="F78" s="24">
        <f>1500000-37590</f>
        <v>1462410</v>
      </c>
      <c r="G78" s="46">
        <f>1500000-37590</f>
        <v>1462410</v>
      </c>
      <c r="H78" s="46"/>
      <c r="I78" s="46"/>
    </row>
    <row r="79" spans="1:9" s="31" customFormat="1" ht="24.6" customHeight="1">
      <c r="A79" s="30" t="s">
        <v>139</v>
      </c>
      <c r="B79" s="30"/>
      <c r="C79" s="30"/>
      <c r="D79" s="71" t="s">
        <v>141</v>
      </c>
      <c r="E79" s="72"/>
      <c r="F79" s="20">
        <f t="shared" ref="F79:I79" si="4">F80</f>
        <v>15576354</v>
      </c>
      <c r="G79" s="45">
        <f>G80</f>
        <v>7640299</v>
      </c>
      <c r="H79" s="45">
        <f t="shared" si="4"/>
        <v>0</v>
      </c>
      <c r="I79" s="45">
        <f t="shared" si="4"/>
        <v>0</v>
      </c>
    </row>
    <row r="80" spans="1:9" s="31" customFormat="1" ht="23.4" customHeight="1">
      <c r="A80" s="30" t="s">
        <v>140</v>
      </c>
      <c r="B80" s="18"/>
      <c r="C80" s="18"/>
      <c r="D80" s="71" t="s">
        <v>141</v>
      </c>
      <c r="E80" s="72"/>
      <c r="F80" s="20">
        <f>F81+F82</f>
        <v>15576354</v>
      </c>
      <c r="G80" s="20">
        <f t="shared" ref="G80:I80" si="5">G81+G82</f>
        <v>7640299</v>
      </c>
      <c r="H80" s="20">
        <f t="shared" si="5"/>
        <v>0</v>
      </c>
      <c r="I80" s="20">
        <f t="shared" si="5"/>
        <v>0</v>
      </c>
    </row>
    <row r="81" spans="1:9" ht="144">
      <c r="A81" s="51" t="s">
        <v>142</v>
      </c>
      <c r="B81" s="51" t="s">
        <v>143</v>
      </c>
      <c r="C81" s="51" t="s">
        <v>144</v>
      </c>
      <c r="D81" s="23" t="s">
        <v>145</v>
      </c>
      <c r="E81" s="50" t="s">
        <v>175</v>
      </c>
      <c r="F81" s="35">
        <v>991625</v>
      </c>
      <c r="G81" s="46">
        <v>991625</v>
      </c>
      <c r="H81" s="46"/>
      <c r="I81" s="46"/>
    </row>
    <row r="82" spans="1:9" ht="205.2" customHeight="1">
      <c r="A82" s="26" t="s">
        <v>232</v>
      </c>
      <c r="B82" s="51">
        <v>3225</v>
      </c>
      <c r="C82" s="51">
        <v>1060</v>
      </c>
      <c r="D82" s="74" t="s">
        <v>233</v>
      </c>
      <c r="E82" s="75"/>
      <c r="F82" s="35">
        <f>6648674+7936055</f>
        <v>14584729</v>
      </c>
      <c r="G82" s="24">
        <v>6648674</v>
      </c>
      <c r="H82" s="24"/>
      <c r="I82" s="24"/>
    </row>
    <row r="83" spans="1:9" s="31" customFormat="1" ht="38.4" customHeight="1">
      <c r="A83" s="30" t="s">
        <v>146</v>
      </c>
      <c r="B83" s="30"/>
      <c r="C83" s="30"/>
      <c r="D83" s="71" t="s">
        <v>148</v>
      </c>
      <c r="E83" s="72"/>
      <c r="F83" s="20">
        <f t="shared" ref="F83:I83" si="6">F84</f>
        <v>500100</v>
      </c>
      <c r="G83" s="45">
        <f>G84</f>
        <v>500100</v>
      </c>
      <c r="H83" s="45">
        <f t="shared" si="6"/>
        <v>0</v>
      </c>
      <c r="I83" s="45">
        <f t="shared" si="6"/>
        <v>0</v>
      </c>
    </row>
    <row r="84" spans="1:9" s="31" customFormat="1" ht="40.200000000000003" customHeight="1">
      <c r="A84" s="30" t="s">
        <v>147</v>
      </c>
      <c r="B84" s="18"/>
      <c r="C84" s="18"/>
      <c r="D84" s="71" t="s">
        <v>148</v>
      </c>
      <c r="E84" s="72"/>
      <c r="F84" s="20">
        <f>F85+F89</f>
        <v>500100</v>
      </c>
      <c r="G84" s="20">
        <f t="shared" ref="G84:I84" si="7">G85+G89</f>
        <v>500100</v>
      </c>
      <c r="H84" s="20">
        <f t="shared" si="7"/>
        <v>0</v>
      </c>
      <c r="I84" s="20">
        <f t="shared" si="7"/>
        <v>0</v>
      </c>
    </row>
    <row r="85" spans="1:9" ht="72">
      <c r="A85" s="51" t="s">
        <v>149</v>
      </c>
      <c r="B85" s="51" t="s">
        <v>150</v>
      </c>
      <c r="C85" s="51" t="s">
        <v>151</v>
      </c>
      <c r="D85" s="23" t="s">
        <v>152</v>
      </c>
      <c r="E85" s="50" t="s">
        <v>25</v>
      </c>
      <c r="F85" s="35">
        <f>F86+F87+F88</f>
        <v>420100</v>
      </c>
      <c r="G85" s="35">
        <f>G86+G87+G88</f>
        <v>420100</v>
      </c>
      <c r="H85" s="46"/>
      <c r="I85" s="46"/>
    </row>
    <row r="86" spans="1:9">
      <c r="A86" s="51"/>
      <c r="B86" s="51"/>
      <c r="C86" s="51"/>
      <c r="D86" s="23"/>
      <c r="E86" s="55" t="s">
        <v>168</v>
      </c>
      <c r="F86" s="35">
        <v>200000</v>
      </c>
      <c r="G86" s="46">
        <v>200000</v>
      </c>
      <c r="H86" s="46"/>
      <c r="I86" s="46"/>
    </row>
    <row r="87" spans="1:9">
      <c r="A87" s="51"/>
      <c r="B87" s="51"/>
      <c r="C87" s="51"/>
      <c r="D87" s="23"/>
      <c r="E87" s="55" t="s">
        <v>167</v>
      </c>
      <c r="F87" s="35">
        <v>30000</v>
      </c>
      <c r="G87" s="46">
        <v>30000</v>
      </c>
      <c r="H87" s="46"/>
      <c r="I87" s="46"/>
    </row>
    <row r="88" spans="1:9">
      <c r="A88" s="51"/>
      <c r="B88" s="51"/>
      <c r="C88" s="51"/>
      <c r="D88" s="23"/>
      <c r="E88" s="55" t="s">
        <v>234</v>
      </c>
      <c r="F88" s="35">
        <v>190100</v>
      </c>
      <c r="G88" s="46">
        <v>190100</v>
      </c>
      <c r="H88" s="46"/>
      <c r="I88" s="46"/>
    </row>
    <row r="89" spans="1:9" ht="36">
      <c r="A89" s="18" t="s">
        <v>235</v>
      </c>
      <c r="B89" s="18" t="s">
        <v>50</v>
      </c>
      <c r="C89" s="26" t="s">
        <v>52</v>
      </c>
      <c r="D89" s="23" t="s">
        <v>51</v>
      </c>
      <c r="E89" s="27" t="s">
        <v>236</v>
      </c>
      <c r="F89" s="35">
        <v>80000</v>
      </c>
      <c r="G89" s="46">
        <v>80000</v>
      </c>
      <c r="H89" s="46"/>
      <c r="I89" s="46"/>
    </row>
    <row r="90" spans="1:9" s="31" customFormat="1" ht="38.4" customHeight="1">
      <c r="A90" s="30" t="s">
        <v>153</v>
      </c>
      <c r="B90" s="30"/>
      <c r="C90" s="30"/>
      <c r="D90" s="76" t="s">
        <v>155</v>
      </c>
      <c r="E90" s="76"/>
      <c r="F90" s="20">
        <f t="shared" ref="F90:I90" si="8">F91</f>
        <v>35000</v>
      </c>
      <c r="G90" s="45">
        <f>G91</f>
        <v>35000</v>
      </c>
      <c r="H90" s="45">
        <f t="shared" si="8"/>
        <v>0</v>
      </c>
      <c r="I90" s="45">
        <f t="shared" si="8"/>
        <v>0</v>
      </c>
    </row>
    <row r="91" spans="1:9" s="31" customFormat="1" ht="40.200000000000003" customHeight="1">
      <c r="A91" s="30" t="s">
        <v>154</v>
      </c>
      <c r="B91" s="18"/>
      <c r="C91" s="18"/>
      <c r="D91" s="71" t="s">
        <v>155</v>
      </c>
      <c r="E91" s="72"/>
      <c r="F91" s="20">
        <f>F92</f>
        <v>35000</v>
      </c>
      <c r="G91" s="45">
        <f>G92</f>
        <v>35000</v>
      </c>
      <c r="H91" s="45">
        <f>H92</f>
        <v>0</v>
      </c>
      <c r="I91" s="45">
        <f>I92</f>
        <v>0</v>
      </c>
    </row>
    <row r="92" spans="1:9" ht="72">
      <c r="A92" s="51" t="s">
        <v>156</v>
      </c>
      <c r="B92" s="51" t="s">
        <v>157</v>
      </c>
      <c r="C92" s="51" t="s">
        <v>158</v>
      </c>
      <c r="D92" s="23" t="s">
        <v>159</v>
      </c>
      <c r="E92" s="50" t="s">
        <v>160</v>
      </c>
      <c r="F92" s="35">
        <v>35000</v>
      </c>
      <c r="G92" s="46">
        <v>35000</v>
      </c>
      <c r="H92" s="46"/>
      <c r="I92" s="46"/>
    </row>
    <row r="93" spans="1:9" s="31" customFormat="1" ht="38.4" customHeight="1">
      <c r="A93" s="30" t="s">
        <v>71</v>
      </c>
      <c r="B93" s="30"/>
      <c r="C93" s="30"/>
      <c r="D93" s="71" t="s">
        <v>115</v>
      </c>
      <c r="E93" s="72"/>
      <c r="F93" s="20">
        <f t="shared" ref="F93:I93" si="9">F94</f>
        <v>31066015.82</v>
      </c>
      <c r="G93" s="45">
        <f>G94</f>
        <v>30896015.82</v>
      </c>
      <c r="H93" s="45">
        <f t="shared" si="9"/>
        <v>0</v>
      </c>
      <c r="I93" s="45">
        <f t="shared" si="9"/>
        <v>170000</v>
      </c>
    </row>
    <row r="94" spans="1:9" s="31" customFormat="1" ht="40.200000000000003" customHeight="1">
      <c r="A94" s="30" t="s">
        <v>72</v>
      </c>
      <c r="B94" s="18"/>
      <c r="C94" s="18"/>
      <c r="D94" s="71" t="s">
        <v>115</v>
      </c>
      <c r="E94" s="72"/>
      <c r="F94" s="20">
        <f>F95+F111+F112+F122+F123+F129+F134+F138+F143+F144</f>
        <v>31066015.82</v>
      </c>
      <c r="G94" s="20">
        <f t="shared" ref="G94:I94" si="10">G95+G111+G112+G122+G123+G129+G134+G138+G143+G144</f>
        <v>30896015.82</v>
      </c>
      <c r="H94" s="20">
        <f t="shared" si="10"/>
        <v>0</v>
      </c>
      <c r="I94" s="20">
        <f t="shared" si="10"/>
        <v>170000</v>
      </c>
    </row>
    <row r="95" spans="1:9" ht="36">
      <c r="A95" s="18" t="s">
        <v>73</v>
      </c>
      <c r="B95" s="18" t="s">
        <v>74</v>
      </c>
      <c r="C95" s="26" t="s">
        <v>76</v>
      </c>
      <c r="D95" s="23" t="s">
        <v>75</v>
      </c>
      <c r="E95" s="29" t="s">
        <v>25</v>
      </c>
      <c r="F95" s="24">
        <f>F96+F97+F98+F99+F100+F101+F102</f>
        <v>4709123.75</v>
      </c>
      <c r="G95" s="24">
        <f t="shared" ref="G95:I95" si="11">G96+G97+G98+G99+G100+G101+G102</f>
        <v>4709123.75</v>
      </c>
      <c r="H95" s="24">
        <f t="shared" si="11"/>
        <v>0</v>
      </c>
      <c r="I95" s="24">
        <f t="shared" si="11"/>
        <v>0</v>
      </c>
    </row>
    <row r="96" spans="1:9" ht="143.4">
      <c r="A96" s="18"/>
      <c r="B96" s="18"/>
      <c r="C96" s="26"/>
      <c r="D96" s="23"/>
      <c r="E96" s="53" t="s">
        <v>162</v>
      </c>
      <c r="F96" s="24">
        <f>43200+27908-6487.25-13046</f>
        <v>51574.75</v>
      </c>
      <c r="G96" s="46">
        <f>43200+27908-6487.25-13046</f>
        <v>51574.75</v>
      </c>
      <c r="H96" s="46"/>
      <c r="I96" s="46"/>
    </row>
    <row r="97" spans="1:9" ht="54">
      <c r="A97" s="18"/>
      <c r="B97" s="18"/>
      <c r="C97" s="26"/>
      <c r="D97" s="23"/>
      <c r="E97" s="54" t="s">
        <v>161</v>
      </c>
      <c r="F97" s="24">
        <f>94300-56347</f>
        <v>37953</v>
      </c>
      <c r="G97" s="46">
        <f>94300-56347</f>
        <v>37953</v>
      </c>
      <c r="H97" s="46"/>
      <c r="I97" s="46"/>
    </row>
    <row r="98" spans="1:9" ht="54">
      <c r="A98" s="18"/>
      <c r="B98" s="18"/>
      <c r="C98" s="26"/>
      <c r="D98" s="23"/>
      <c r="E98" s="54" t="s">
        <v>208</v>
      </c>
      <c r="F98" s="57">
        <v>878000</v>
      </c>
      <c r="G98" s="57">
        <v>878000</v>
      </c>
      <c r="H98" s="46"/>
      <c r="I98" s="46"/>
    </row>
    <row r="99" spans="1:9" ht="54">
      <c r="A99" s="18"/>
      <c r="B99" s="18"/>
      <c r="C99" s="26"/>
      <c r="D99" s="23"/>
      <c r="E99" s="54" t="s">
        <v>209</v>
      </c>
      <c r="F99" s="57">
        <v>522000</v>
      </c>
      <c r="G99" s="57">
        <v>522000</v>
      </c>
      <c r="H99" s="46"/>
      <c r="I99" s="46"/>
    </row>
    <row r="100" spans="1:9" ht="54">
      <c r="A100" s="18"/>
      <c r="B100" s="18"/>
      <c r="C100" s="26"/>
      <c r="D100" s="23"/>
      <c r="E100" s="54" t="s">
        <v>237</v>
      </c>
      <c r="F100" s="57">
        <f>35100</f>
        <v>35100</v>
      </c>
      <c r="G100" s="57">
        <f>35100</f>
        <v>35100</v>
      </c>
      <c r="H100" s="46"/>
      <c r="I100" s="46"/>
    </row>
    <row r="101" spans="1:9" ht="54">
      <c r="A101" s="18"/>
      <c r="B101" s="18"/>
      <c r="C101" s="26"/>
      <c r="D101" s="23"/>
      <c r="E101" s="54" t="s">
        <v>238</v>
      </c>
      <c r="F101" s="57">
        <f>56150-2124</f>
        <v>54026</v>
      </c>
      <c r="G101" s="57">
        <f>56150-2124</f>
        <v>54026</v>
      </c>
      <c r="H101" s="46"/>
      <c r="I101" s="46"/>
    </row>
    <row r="102" spans="1:9" ht="90">
      <c r="A102" s="18"/>
      <c r="B102" s="18"/>
      <c r="C102" s="26"/>
      <c r="D102" s="23"/>
      <c r="E102" s="54" t="s">
        <v>80</v>
      </c>
      <c r="F102" s="35">
        <f>SUM(F103:F110)</f>
        <v>3130470</v>
      </c>
      <c r="G102" s="35">
        <f>SUM(G103:G110)</f>
        <v>3130470</v>
      </c>
      <c r="H102" s="46"/>
      <c r="I102" s="46"/>
    </row>
    <row r="103" spans="1:9" ht="54">
      <c r="A103" s="18"/>
      <c r="B103" s="18"/>
      <c r="C103" s="26"/>
      <c r="D103" s="23"/>
      <c r="E103" s="59" t="s">
        <v>211</v>
      </c>
      <c r="F103" s="60">
        <f>153000+90000</f>
        <v>243000</v>
      </c>
      <c r="G103" s="60">
        <f>153000+90000</f>
        <v>243000</v>
      </c>
      <c r="H103" s="46"/>
      <c r="I103" s="46"/>
    </row>
    <row r="104" spans="1:9" ht="54">
      <c r="A104" s="18"/>
      <c r="B104" s="18"/>
      <c r="C104" s="26"/>
      <c r="D104" s="23"/>
      <c r="E104" s="59" t="s">
        <v>210</v>
      </c>
      <c r="F104" s="60">
        <f>225000-89</f>
        <v>224911</v>
      </c>
      <c r="G104" s="60">
        <f>225000-89</f>
        <v>224911</v>
      </c>
      <c r="H104" s="46"/>
      <c r="I104" s="46"/>
    </row>
    <row r="105" spans="1:9" ht="54">
      <c r="A105" s="18"/>
      <c r="B105" s="18"/>
      <c r="C105" s="26"/>
      <c r="D105" s="23"/>
      <c r="E105" s="36" t="s">
        <v>79</v>
      </c>
      <c r="F105" s="37">
        <f>45000-64</f>
        <v>44936</v>
      </c>
      <c r="G105" s="47">
        <f>45000-64</f>
        <v>44936</v>
      </c>
      <c r="H105" s="46"/>
      <c r="I105" s="46"/>
    </row>
    <row r="106" spans="1:9" ht="54">
      <c r="A106" s="18"/>
      <c r="B106" s="18"/>
      <c r="C106" s="26"/>
      <c r="D106" s="23"/>
      <c r="E106" s="36" t="s">
        <v>78</v>
      </c>
      <c r="F106" s="37">
        <f>36894-30067</f>
        <v>6827</v>
      </c>
      <c r="G106" s="47">
        <f>36894-30067</f>
        <v>6827</v>
      </c>
      <c r="H106" s="46"/>
      <c r="I106" s="46"/>
    </row>
    <row r="107" spans="1:9" ht="54">
      <c r="A107" s="18"/>
      <c r="B107" s="18"/>
      <c r="C107" s="26"/>
      <c r="D107" s="23"/>
      <c r="E107" s="59" t="s">
        <v>214</v>
      </c>
      <c r="F107" s="60">
        <f>450000-17006</f>
        <v>432994</v>
      </c>
      <c r="G107" s="60">
        <f>450000-17006</f>
        <v>432994</v>
      </c>
      <c r="H107" s="46"/>
      <c r="I107" s="46"/>
    </row>
    <row r="108" spans="1:9" ht="54">
      <c r="A108" s="18"/>
      <c r="B108" s="18"/>
      <c r="C108" s="26"/>
      <c r="D108" s="23"/>
      <c r="E108" s="59" t="s">
        <v>212</v>
      </c>
      <c r="F108" s="60">
        <v>450000</v>
      </c>
      <c r="G108" s="60">
        <v>450000</v>
      </c>
      <c r="H108" s="46"/>
      <c r="I108" s="46"/>
    </row>
    <row r="109" spans="1:9" ht="72">
      <c r="A109" s="18"/>
      <c r="B109" s="18"/>
      <c r="C109" s="26"/>
      <c r="D109" s="23"/>
      <c r="E109" s="59" t="s">
        <v>213</v>
      </c>
      <c r="F109" s="60">
        <f>135000+15300-621</f>
        <v>149679</v>
      </c>
      <c r="G109" s="60">
        <f>135000+15300-621</f>
        <v>149679</v>
      </c>
      <c r="H109" s="46"/>
      <c r="I109" s="46"/>
    </row>
    <row r="110" spans="1:9" ht="54">
      <c r="A110" s="18"/>
      <c r="B110" s="18"/>
      <c r="C110" s="26"/>
      <c r="D110" s="23"/>
      <c r="E110" s="36" t="s">
        <v>77</v>
      </c>
      <c r="F110" s="37">
        <f>1578123-3701+3701</f>
        <v>1578123</v>
      </c>
      <c r="G110" s="47">
        <f>1578123-3701+3701</f>
        <v>1578123</v>
      </c>
      <c r="H110" s="46"/>
      <c r="I110" s="46"/>
    </row>
    <row r="111" spans="1:9" ht="108">
      <c r="A111" s="18" t="s">
        <v>284</v>
      </c>
      <c r="B111" s="18" t="s">
        <v>285</v>
      </c>
      <c r="C111" s="26" t="s">
        <v>84</v>
      </c>
      <c r="D111" s="23" t="s">
        <v>286</v>
      </c>
      <c r="E111" s="70" t="s">
        <v>287</v>
      </c>
      <c r="F111" s="35">
        <v>137117</v>
      </c>
      <c r="G111" s="46">
        <v>137117</v>
      </c>
      <c r="H111" s="46"/>
      <c r="I111" s="46"/>
    </row>
    <row r="112" spans="1:9" ht="36">
      <c r="A112" s="18" t="s">
        <v>81</v>
      </c>
      <c r="B112" s="18" t="s">
        <v>82</v>
      </c>
      <c r="C112" s="26" t="s">
        <v>84</v>
      </c>
      <c r="D112" s="23" t="s">
        <v>83</v>
      </c>
      <c r="E112" s="29" t="s">
        <v>25</v>
      </c>
      <c r="F112" s="24">
        <f>SUM(F113:F120)</f>
        <v>6754192.25</v>
      </c>
      <c r="G112" s="46">
        <f>SUM(G113:G120)</f>
        <v>6754192.25</v>
      </c>
      <c r="H112" s="46"/>
      <c r="I112" s="46"/>
    </row>
    <row r="113" spans="1:9" ht="36">
      <c r="A113" s="18"/>
      <c r="B113" s="18"/>
      <c r="C113" s="26"/>
      <c r="D113" s="23"/>
      <c r="E113" s="34" t="s">
        <v>88</v>
      </c>
      <c r="F113" s="37">
        <f>1503280-51935.79</f>
        <v>1451344.21</v>
      </c>
      <c r="G113" s="47">
        <f>1503280-51935.79</f>
        <v>1451344.21</v>
      </c>
      <c r="H113" s="46"/>
      <c r="I113" s="46"/>
    </row>
    <row r="114" spans="1:9" ht="36">
      <c r="A114" s="18"/>
      <c r="B114" s="18"/>
      <c r="C114" s="26"/>
      <c r="D114" s="23"/>
      <c r="E114" s="34" t="s">
        <v>90</v>
      </c>
      <c r="F114" s="37">
        <f>1444546-43160.86</f>
        <v>1401385.14</v>
      </c>
      <c r="G114" s="47">
        <f>1444546-43160.86</f>
        <v>1401385.14</v>
      </c>
      <c r="H114" s="46"/>
      <c r="I114" s="46"/>
    </row>
    <row r="115" spans="1:9" ht="36">
      <c r="A115" s="18"/>
      <c r="B115" s="18"/>
      <c r="C115" s="26"/>
      <c r="D115" s="23"/>
      <c r="E115" s="34" t="s">
        <v>215</v>
      </c>
      <c r="F115" s="37">
        <f>1448646+41354+6487.25-3701-48143</f>
        <v>1444643.25</v>
      </c>
      <c r="G115" s="47">
        <f>1448646+41354+6487.25-3701-48143</f>
        <v>1444643.25</v>
      </c>
      <c r="H115" s="46"/>
      <c r="I115" s="46"/>
    </row>
    <row r="116" spans="1:9" ht="36">
      <c r="A116" s="18"/>
      <c r="B116" s="18"/>
      <c r="C116" s="26"/>
      <c r="D116" s="23"/>
      <c r="E116" s="34" t="s">
        <v>86</v>
      </c>
      <c r="F116" s="37">
        <f>286470-40195.96</f>
        <v>246274.04</v>
      </c>
      <c r="G116" s="47">
        <f>286470-40195.96</f>
        <v>246274.04</v>
      </c>
      <c r="H116" s="46"/>
      <c r="I116" s="46"/>
    </row>
    <row r="117" spans="1:9" ht="36">
      <c r="A117" s="18"/>
      <c r="B117" s="18"/>
      <c r="C117" s="26"/>
      <c r="D117" s="23"/>
      <c r="E117" s="34" t="s">
        <v>87</v>
      </c>
      <c r="F117" s="37">
        <f>122370-38372.01</f>
        <v>83997.989999999991</v>
      </c>
      <c r="G117" s="47">
        <f>122370-38372.01</f>
        <v>83997.989999999991</v>
      </c>
      <c r="H117" s="46"/>
      <c r="I117" s="46"/>
    </row>
    <row r="118" spans="1:9" ht="36">
      <c r="A118" s="18"/>
      <c r="B118" s="18"/>
      <c r="C118" s="26"/>
      <c r="D118" s="23"/>
      <c r="E118" s="34" t="s">
        <v>89</v>
      </c>
      <c r="F118" s="37">
        <f>314517-94371.64+0.63</f>
        <v>220145.99</v>
      </c>
      <c r="G118" s="47">
        <f>314517-94371.64+0.63</f>
        <v>220145.99</v>
      </c>
      <c r="H118" s="46"/>
      <c r="I118" s="46"/>
    </row>
    <row r="119" spans="1:9" ht="36">
      <c r="A119" s="18"/>
      <c r="B119" s="18"/>
      <c r="C119" s="26"/>
      <c r="D119" s="23"/>
      <c r="E119" s="34" t="s">
        <v>85</v>
      </c>
      <c r="F119" s="37">
        <f>296125-95302.37</f>
        <v>200822.63</v>
      </c>
      <c r="G119" s="47">
        <f>296125-95302.37</f>
        <v>200822.63</v>
      </c>
      <c r="H119" s="46"/>
      <c r="I119" s="46"/>
    </row>
    <row r="120" spans="1:9" ht="90">
      <c r="A120" s="18"/>
      <c r="B120" s="18"/>
      <c r="C120" s="26"/>
      <c r="D120" s="23"/>
      <c r="E120" s="34" t="s">
        <v>80</v>
      </c>
      <c r="F120" s="24">
        <f>F121</f>
        <v>1705579</v>
      </c>
      <c r="G120" s="46">
        <f>G121</f>
        <v>1705579</v>
      </c>
      <c r="H120" s="46"/>
      <c r="I120" s="46"/>
    </row>
    <row r="121" spans="1:9" ht="54">
      <c r="A121" s="18"/>
      <c r="B121" s="18"/>
      <c r="C121" s="26"/>
      <c r="D121" s="23"/>
      <c r="E121" s="36" t="s">
        <v>251</v>
      </c>
      <c r="F121" s="37">
        <f>1799333-15300-78454</f>
        <v>1705579</v>
      </c>
      <c r="G121" s="47">
        <f>1799333-15300-78454</f>
        <v>1705579</v>
      </c>
      <c r="H121" s="46"/>
      <c r="I121" s="46"/>
    </row>
    <row r="122" spans="1:9" ht="90">
      <c r="A122" s="18" t="s">
        <v>91</v>
      </c>
      <c r="B122" s="18" t="s">
        <v>92</v>
      </c>
      <c r="C122" s="26" t="s">
        <v>84</v>
      </c>
      <c r="D122" s="23" t="s">
        <v>93</v>
      </c>
      <c r="E122" s="29" t="s">
        <v>94</v>
      </c>
      <c r="F122" s="24">
        <v>1095000</v>
      </c>
      <c r="G122" s="46">
        <v>1095000</v>
      </c>
      <c r="H122" s="46"/>
      <c r="I122" s="46"/>
    </row>
    <row r="123" spans="1:9" ht="36">
      <c r="A123" s="18" t="s">
        <v>95</v>
      </c>
      <c r="B123" s="18" t="s">
        <v>96</v>
      </c>
      <c r="C123" s="26" t="s">
        <v>84</v>
      </c>
      <c r="D123" s="23" t="s">
        <v>97</v>
      </c>
      <c r="E123" s="29" t="s">
        <v>25</v>
      </c>
      <c r="F123" s="24">
        <f>F124+F125+F126+F127+F128</f>
        <v>7241679</v>
      </c>
      <c r="G123" s="24">
        <f t="shared" ref="G123:I123" si="12">G124+G125+G126+G127+G128</f>
        <v>7071679</v>
      </c>
      <c r="H123" s="24">
        <f t="shared" si="12"/>
        <v>0</v>
      </c>
      <c r="I123" s="24">
        <f t="shared" si="12"/>
        <v>170000</v>
      </c>
    </row>
    <row r="124" spans="1:9" ht="36">
      <c r="A124" s="18"/>
      <c r="B124" s="18"/>
      <c r="C124" s="26"/>
      <c r="D124" s="23"/>
      <c r="E124" s="29" t="s">
        <v>98</v>
      </c>
      <c r="F124" s="24">
        <v>839500</v>
      </c>
      <c r="G124" s="46">
        <f>839500-170000</f>
        <v>669500</v>
      </c>
      <c r="H124" s="46"/>
      <c r="I124" s="46">
        <v>170000</v>
      </c>
    </row>
    <row r="125" spans="1:9" ht="36">
      <c r="A125" s="18"/>
      <c r="B125" s="18"/>
      <c r="C125" s="26"/>
      <c r="D125" s="23"/>
      <c r="E125" s="29" t="s">
        <v>169</v>
      </c>
      <c r="F125" s="24">
        <v>252000</v>
      </c>
      <c r="G125" s="46">
        <v>252000</v>
      </c>
      <c r="H125" s="46"/>
      <c r="I125" s="46"/>
    </row>
    <row r="126" spans="1:9" ht="90">
      <c r="A126" s="18"/>
      <c r="B126" s="18"/>
      <c r="C126" s="26"/>
      <c r="D126" s="23"/>
      <c r="E126" s="29" t="s">
        <v>239</v>
      </c>
      <c r="F126" s="24">
        <v>34000</v>
      </c>
      <c r="G126" s="46">
        <v>34000</v>
      </c>
      <c r="H126" s="46"/>
      <c r="I126" s="46"/>
    </row>
    <row r="127" spans="1:9" ht="36">
      <c r="A127" s="18"/>
      <c r="B127" s="18"/>
      <c r="C127" s="26"/>
      <c r="D127" s="23"/>
      <c r="E127" s="29" t="s">
        <v>266</v>
      </c>
      <c r="F127" s="24">
        <v>6088600</v>
      </c>
      <c r="G127" s="46">
        <v>6088600</v>
      </c>
      <c r="H127" s="46"/>
      <c r="I127" s="46"/>
    </row>
    <row r="128" spans="1:9">
      <c r="A128" s="18"/>
      <c r="B128" s="18"/>
      <c r="C128" s="26"/>
      <c r="D128" s="23"/>
      <c r="E128" s="29" t="s">
        <v>288</v>
      </c>
      <c r="F128" s="24">
        <v>27579</v>
      </c>
      <c r="G128" s="46">
        <v>27579</v>
      </c>
      <c r="H128" s="46"/>
      <c r="I128" s="46"/>
    </row>
    <row r="129" spans="1:9" ht="36">
      <c r="A129" s="51">
        <v>1216091</v>
      </c>
      <c r="B129" s="51">
        <v>6091</v>
      </c>
      <c r="C129" s="26" t="s">
        <v>32</v>
      </c>
      <c r="D129" s="23" t="s">
        <v>118</v>
      </c>
      <c r="E129" s="27" t="s">
        <v>25</v>
      </c>
      <c r="F129" s="24">
        <f>SUM(F130:F132)</f>
        <v>6559841</v>
      </c>
      <c r="G129" s="24">
        <f>SUM(G130:G132)</f>
        <v>6559841</v>
      </c>
      <c r="H129" s="46"/>
      <c r="I129" s="46"/>
    </row>
    <row r="130" spans="1:9" ht="54">
      <c r="A130" s="18"/>
      <c r="B130" s="18"/>
      <c r="C130" s="26"/>
      <c r="D130" s="23"/>
      <c r="E130" s="27" t="s">
        <v>182</v>
      </c>
      <c r="F130" s="24">
        <v>5800000</v>
      </c>
      <c r="G130" s="46">
        <v>5800000</v>
      </c>
      <c r="H130" s="46"/>
      <c r="I130" s="46"/>
    </row>
    <row r="131" spans="1:9" ht="54">
      <c r="A131" s="18"/>
      <c r="B131" s="18"/>
      <c r="C131" s="26"/>
      <c r="D131" s="23"/>
      <c r="E131" s="27" t="s">
        <v>183</v>
      </c>
      <c r="F131" s="24">
        <v>600000</v>
      </c>
      <c r="G131" s="46">
        <v>600000</v>
      </c>
      <c r="H131" s="46"/>
      <c r="I131" s="46"/>
    </row>
    <row r="132" spans="1:9" ht="96.75" customHeight="1">
      <c r="A132" s="18"/>
      <c r="B132" s="18"/>
      <c r="C132" s="26"/>
      <c r="D132" s="23"/>
      <c r="E132" s="34" t="s">
        <v>246</v>
      </c>
      <c r="F132" s="24">
        <f>F133</f>
        <v>159841</v>
      </c>
      <c r="G132" s="24">
        <f>G133</f>
        <v>159841</v>
      </c>
      <c r="H132" s="46"/>
      <c r="I132" s="46"/>
    </row>
    <row r="133" spans="1:9" ht="84" customHeight="1">
      <c r="A133" s="18"/>
      <c r="B133" s="18"/>
      <c r="C133" s="26"/>
      <c r="D133" s="23"/>
      <c r="E133" s="59" t="s">
        <v>240</v>
      </c>
      <c r="F133" s="61">
        <f>171000-11159</f>
        <v>159841</v>
      </c>
      <c r="G133" s="47">
        <f>171000-11159</f>
        <v>159841</v>
      </c>
      <c r="H133" s="47"/>
      <c r="I133" s="47"/>
    </row>
    <row r="134" spans="1:9">
      <c r="A134" s="18" t="s">
        <v>216</v>
      </c>
      <c r="B134" s="18" t="s">
        <v>217</v>
      </c>
      <c r="C134" s="26" t="s">
        <v>218</v>
      </c>
      <c r="D134" s="23" t="s">
        <v>219</v>
      </c>
      <c r="E134" s="34" t="s">
        <v>25</v>
      </c>
      <c r="F134" s="24">
        <f>F135+F136</f>
        <v>742900</v>
      </c>
      <c r="G134" s="24">
        <f>G135+G136</f>
        <v>742900</v>
      </c>
      <c r="H134" s="46"/>
      <c r="I134" s="46"/>
    </row>
    <row r="135" spans="1:9" ht="36">
      <c r="A135" s="18"/>
      <c r="B135" s="18"/>
      <c r="C135" s="26"/>
      <c r="D135" s="23"/>
      <c r="E135" s="34" t="s">
        <v>267</v>
      </c>
      <c r="F135" s="24">
        <v>220000</v>
      </c>
      <c r="G135" s="24">
        <v>220000</v>
      </c>
      <c r="H135" s="46"/>
      <c r="I135" s="46"/>
    </row>
    <row r="136" spans="1:9" ht="90">
      <c r="A136" s="18"/>
      <c r="B136" s="18"/>
      <c r="C136" s="26"/>
      <c r="D136" s="23"/>
      <c r="E136" s="34" t="s">
        <v>80</v>
      </c>
      <c r="F136" s="24">
        <f>F137</f>
        <v>522900</v>
      </c>
      <c r="G136" s="24">
        <f>G137</f>
        <v>522900</v>
      </c>
      <c r="H136" s="46"/>
      <c r="I136" s="46"/>
    </row>
    <row r="137" spans="1:9" ht="31.2">
      <c r="A137" s="18"/>
      <c r="B137" s="18"/>
      <c r="C137" s="26"/>
      <c r="D137" s="23"/>
      <c r="E137" s="58" t="s">
        <v>220</v>
      </c>
      <c r="F137" s="61">
        <f>360000+162900</f>
        <v>522900</v>
      </c>
      <c r="G137" s="47">
        <f>360000+162900</f>
        <v>522900</v>
      </c>
      <c r="H137" s="46"/>
      <c r="I137" s="46"/>
    </row>
    <row r="138" spans="1:9" ht="36">
      <c r="A138" s="18" t="s">
        <v>99</v>
      </c>
      <c r="B138" s="18" t="s">
        <v>100</v>
      </c>
      <c r="C138" s="26" t="s">
        <v>102</v>
      </c>
      <c r="D138" s="23" t="s">
        <v>101</v>
      </c>
      <c r="E138" s="29" t="s">
        <v>25</v>
      </c>
      <c r="F138" s="24">
        <f>SUM(F139:F142)</f>
        <v>3403797.82</v>
      </c>
      <c r="G138" s="24">
        <f t="shared" ref="G138:I138" si="13">SUM(G139:G142)</f>
        <v>3403797.82</v>
      </c>
      <c r="H138" s="24">
        <f t="shared" si="13"/>
        <v>0</v>
      </c>
      <c r="I138" s="24">
        <f t="shared" si="13"/>
        <v>0</v>
      </c>
    </row>
    <row r="139" spans="1:9" ht="36">
      <c r="A139" s="18"/>
      <c r="B139" s="18"/>
      <c r="C139" s="26"/>
      <c r="D139" s="23"/>
      <c r="E139" s="39" t="s">
        <v>104</v>
      </c>
      <c r="F139" s="24">
        <f>600000-9490</f>
        <v>590510</v>
      </c>
      <c r="G139" s="46">
        <f>600000-9490</f>
        <v>590510</v>
      </c>
      <c r="H139" s="46"/>
      <c r="I139" s="46"/>
    </row>
    <row r="140" spans="1:9">
      <c r="A140" s="18"/>
      <c r="B140" s="18"/>
      <c r="C140" s="26"/>
      <c r="D140" s="23"/>
      <c r="E140" s="38" t="s">
        <v>103</v>
      </c>
      <c r="F140" s="24">
        <v>1460000</v>
      </c>
      <c r="G140" s="46">
        <f>1290000+170000</f>
        <v>1460000</v>
      </c>
      <c r="H140" s="46"/>
      <c r="I140" s="63">
        <f>170000-170000</f>
        <v>0</v>
      </c>
    </row>
    <row r="141" spans="1:9" ht="36">
      <c r="A141" s="18"/>
      <c r="B141" s="18"/>
      <c r="C141" s="26"/>
      <c r="D141" s="23"/>
      <c r="E141" s="62" t="s">
        <v>248</v>
      </c>
      <c r="F141" s="24">
        <v>600000</v>
      </c>
      <c r="G141" s="46">
        <v>600000</v>
      </c>
      <c r="H141" s="46"/>
      <c r="I141" s="46"/>
    </row>
    <row r="142" spans="1:9" ht="36">
      <c r="A142" s="18"/>
      <c r="B142" s="18"/>
      <c r="C142" s="26"/>
      <c r="D142" s="23"/>
      <c r="E142" s="62" t="s">
        <v>265</v>
      </c>
      <c r="F142" s="24">
        <v>753287.82</v>
      </c>
      <c r="G142" s="46">
        <v>753287.82</v>
      </c>
      <c r="H142" s="46"/>
      <c r="I142" s="46"/>
    </row>
    <row r="143" spans="1:9" ht="108">
      <c r="A143" s="18" t="s">
        <v>106</v>
      </c>
      <c r="B143" s="18" t="s">
        <v>36</v>
      </c>
      <c r="C143" s="26" t="s">
        <v>34</v>
      </c>
      <c r="D143" s="23" t="s">
        <v>35</v>
      </c>
      <c r="E143" s="29" t="s">
        <v>107</v>
      </c>
      <c r="F143" s="24">
        <f>378921-50556</f>
        <v>328365</v>
      </c>
      <c r="G143" s="46">
        <f>378921-50556</f>
        <v>328365</v>
      </c>
      <c r="H143" s="46"/>
      <c r="I143" s="46"/>
    </row>
    <row r="144" spans="1:9" ht="36">
      <c r="A144" s="18" t="s">
        <v>136</v>
      </c>
      <c r="B144" s="18" t="s">
        <v>59</v>
      </c>
      <c r="C144" s="26" t="s">
        <v>60</v>
      </c>
      <c r="D144" s="23" t="s">
        <v>61</v>
      </c>
      <c r="E144" s="27" t="s">
        <v>62</v>
      </c>
      <c r="F144" s="24">
        <f>200000-106000</f>
        <v>94000</v>
      </c>
      <c r="G144" s="46">
        <f>200000-106000</f>
        <v>94000</v>
      </c>
      <c r="H144" s="46"/>
      <c r="I144" s="46"/>
    </row>
    <row r="145" spans="1:9" s="31" customFormat="1" ht="38.4" customHeight="1">
      <c r="A145" s="30" t="s">
        <v>112</v>
      </c>
      <c r="B145" s="30"/>
      <c r="C145" s="30"/>
      <c r="D145" s="71" t="s">
        <v>114</v>
      </c>
      <c r="E145" s="72"/>
      <c r="F145" s="20">
        <f t="shared" ref="F145:I145" si="14">F146</f>
        <v>25638465</v>
      </c>
      <c r="G145" s="45">
        <f>G146</f>
        <v>19816165</v>
      </c>
      <c r="H145" s="45">
        <f t="shared" si="14"/>
        <v>336300</v>
      </c>
      <c r="I145" s="45">
        <f t="shared" si="14"/>
        <v>5486000</v>
      </c>
    </row>
    <row r="146" spans="1:9" s="31" customFormat="1" ht="40.200000000000003" customHeight="1">
      <c r="A146" s="30" t="s">
        <v>113</v>
      </c>
      <c r="B146" s="18"/>
      <c r="C146" s="18"/>
      <c r="D146" s="71" t="s">
        <v>114</v>
      </c>
      <c r="E146" s="72"/>
      <c r="F146" s="20">
        <f>F147+F150+F151+F154+F159+F160</f>
        <v>25638465</v>
      </c>
      <c r="G146" s="20">
        <f>G147+G150+G151+G154+G159+G160</f>
        <v>19816165</v>
      </c>
      <c r="H146" s="20">
        <f>H147+H150+H151+H154+H159+H160</f>
        <v>336300</v>
      </c>
      <c r="I146" s="20">
        <f>I147+I150+I151+I154+I159+I160</f>
        <v>5486000</v>
      </c>
    </row>
    <row r="147" spans="1:9" s="31" customFormat="1" ht="126">
      <c r="A147" s="51">
        <v>1510150</v>
      </c>
      <c r="B147" s="26" t="s">
        <v>163</v>
      </c>
      <c r="C147" s="26" t="s">
        <v>158</v>
      </c>
      <c r="D147" s="23" t="s">
        <v>164</v>
      </c>
      <c r="E147" s="52" t="s">
        <v>25</v>
      </c>
      <c r="F147" s="24">
        <f>F148+F149</f>
        <v>1220000</v>
      </c>
      <c r="G147" s="24">
        <f>G148+G149</f>
        <v>1220000</v>
      </c>
      <c r="H147" s="46"/>
      <c r="I147" s="46"/>
    </row>
    <row r="148" spans="1:9" s="31" customFormat="1" ht="90">
      <c r="A148" s="51"/>
      <c r="B148" s="26"/>
      <c r="C148" s="26"/>
      <c r="D148" s="23"/>
      <c r="E148" s="52" t="s">
        <v>174</v>
      </c>
      <c r="F148" s="24">
        <v>590000</v>
      </c>
      <c r="G148" s="46">
        <v>590000</v>
      </c>
      <c r="H148" s="46"/>
      <c r="I148" s="46"/>
    </row>
    <row r="149" spans="1:9" s="31" customFormat="1" ht="72">
      <c r="A149" s="51"/>
      <c r="B149" s="26"/>
      <c r="C149" s="26"/>
      <c r="D149" s="23"/>
      <c r="E149" s="52" t="s">
        <v>250</v>
      </c>
      <c r="F149" s="24">
        <v>630000</v>
      </c>
      <c r="G149" s="46">
        <v>630000</v>
      </c>
      <c r="H149" s="46"/>
      <c r="I149" s="46"/>
    </row>
    <row r="150" spans="1:9" ht="126">
      <c r="A150" s="18" t="s">
        <v>109</v>
      </c>
      <c r="B150" s="18" t="s">
        <v>110</v>
      </c>
      <c r="C150" s="26" t="s">
        <v>111</v>
      </c>
      <c r="D150" s="23" t="s">
        <v>108</v>
      </c>
      <c r="E150" s="29" t="s">
        <v>221</v>
      </c>
      <c r="F150" s="24">
        <f>550000+2000000+5000000</f>
        <v>7550000</v>
      </c>
      <c r="G150" s="24">
        <f>550000+2000000</f>
        <v>2550000</v>
      </c>
      <c r="H150" s="24"/>
      <c r="I150" s="24">
        <v>5000000</v>
      </c>
    </row>
    <row r="151" spans="1:9" ht="36">
      <c r="A151" s="51">
        <v>1516015</v>
      </c>
      <c r="B151" s="26" t="s">
        <v>82</v>
      </c>
      <c r="C151" s="26" t="s">
        <v>84</v>
      </c>
      <c r="D151" s="23" t="s">
        <v>83</v>
      </c>
      <c r="E151" s="29" t="s">
        <v>25</v>
      </c>
      <c r="F151" s="24">
        <f>F152+F153</f>
        <v>1122000</v>
      </c>
      <c r="G151" s="46">
        <f>G152+G153</f>
        <v>636000</v>
      </c>
      <c r="H151" s="46">
        <f t="shared" ref="H151:I151" si="15">H152+H153</f>
        <v>0</v>
      </c>
      <c r="I151" s="46">
        <f t="shared" si="15"/>
        <v>486000</v>
      </c>
    </row>
    <row r="152" spans="1:9" ht="54">
      <c r="A152" s="51"/>
      <c r="B152" s="26"/>
      <c r="C152" s="26"/>
      <c r="D152" s="23"/>
      <c r="E152" s="29" t="s">
        <v>165</v>
      </c>
      <c r="F152" s="24">
        <v>486000</v>
      </c>
      <c r="G152" s="46"/>
      <c r="H152" s="46"/>
      <c r="I152" s="46">
        <v>486000</v>
      </c>
    </row>
    <row r="153" spans="1:9" ht="54">
      <c r="A153" s="51"/>
      <c r="B153" s="26"/>
      <c r="C153" s="26"/>
      <c r="D153" s="23"/>
      <c r="E153" s="29" t="s">
        <v>243</v>
      </c>
      <c r="F153" s="24">
        <v>636000</v>
      </c>
      <c r="G153" s="46">
        <v>636000</v>
      </c>
      <c r="H153" s="46"/>
      <c r="I153" s="46"/>
    </row>
    <row r="154" spans="1:9" ht="36">
      <c r="A154" s="18" t="s">
        <v>116</v>
      </c>
      <c r="B154" s="18" t="s">
        <v>117</v>
      </c>
      <c r="C154" s="26" t="s">
        <v>32</v>
      </c>
      <c r="D154" s="23" t="s">
        <v>118</v>
      </c>
      <c r="E154" s="29" t="s">
        <v>25</v>
      </c>
      <c r="F154" s="24">
        <f>SUM(F155:F158)</f>
        <v>2034577</v>
      </c>
      <c r="G154" s="24">
        <f t="shared" ref="G154:I154" si="16">SUM(G155:G158)</f>
        <v>2034577</v>
      </c>
      <c r="H154" s="24">
        <f t="shared" si="16"/>
        <v>0</v>
      </c>
      <c r="I154" s="24">
        <f t="shared" si="16"/>
        <v>0</v>
      </c>
    </row>
    <row r="155" spans="1:9" ht="36">
      <c r="A155" s="18"/>
      <c r="B155" s="18"/>
      <c r="C155" s="26"/>
      <c r="D155" s="23"/>
      <c r="E155" s="40" t="s">
        <v>119</v>
      </c>
      <c r="F155" s="24">
        <v>926970</v>
      </c>
      <c r="G155" s="46">
        <v>926970</v>
      </c>
      <c r="H155" s="46"/>
      <c r="I155" s="46"/>
    </row>
    <row r="156" spans="1:9" ht="54">
      <c r="A156" s="18"/>
      <c r="B156" s="18"/>
      <c r="C156" s="26"/>
      <c r="D156" s="23"/>
      <c r="E156" s="40" t="s">
        <v>120</v>
      </c>
      <c r="F156" s="24">
        <f>136176-28569</f>
        <v>107607</v>
      </c>
      <c r="G156" s="46">
        <f>136176-28569</f>
        <v>107607</v>
      </c>
      <c r="H156" s="46"/>
      <c r="I156" s="46"/>
    </row>
    <row r="157" spans="1:9" ht="46.8">
      <c r="A157" s="18"/>
      <c r="B157" s="18"/>
      <c r="C157" s="26"/>
      <c r="D157" s="23"/>
      <c r="E157" s="69" t="s">
        <v>268</v>
      </c>
      <c r="F157" s="24">
        <v>500000</v>
      </c>
      <c r="G157" s="46">
        <v>500000</v>
      </c>
      <c r="H157" s="46"/>
      <c r="I157" s="46"/>
    </row>
    <row r="158" spans="1:9" ht="46.8">
      <c r="A158" s="18"/>
      <c r="B158" s="18"/>
      <c r="C158" s="26"/>
      <c r="D158" s="23"/>
      <c r="E158" s="69" t="s">
        <v>269</v>
      </c>
      <c r="F158" s="24">
        <v>500000</v>
      </c>
      <c r="G158" s="46">
        <v>500000</v>
      </c>
      <c r="H158" s="46"/>
      <c r="I158" s="46"/>
    </row>
    <row r="159" spans="1:9" ht="54">
      <c r="A159" s="18" t="s">
        <v>121</v>
      </c>
      <c r="B159" s="18" t="s">
        <v>122</v>
      </c>
      <c r="C159" s="26" t="s">
        <v>102</v>
      </c>
      <c r="D159" s="23" t="s">
        <v>123</v>
      </c>
      <c r="E159" s="29" t="s">
        <v>124</v>
      </c>
      <c r="F159" s="24">
        <f>19920588-5000000-3000000</f>
        <v>11920588</v>
      </c>
      <c r="G159" s="46">
        <f>19920588-5000000-3000000</f>
        <v>11920588</v>
      </c>
      <c r="H159" s="46"/>
      <c r="I159" s="46"/>
    </row>
    <row r="160" spans="1:9" ht="90">
      <c r="A160" s="18" t="s">
        <v>125</v>
      </c>
      <c r="B160" s="18" t="s">
        <v>36</v>
      </c>
      <c r="C160" s="26" t="s">
        <v>34</v>
      </c>
      <c r="D160" s="23" t="s">
        <v>35</v>
      </c>
      <c r="E160" s="29" t="s">
        <v>126</v>
      </c>
      <c r="F160" s="24">
        <v>1791300</v>
      </c>
      <c r="G160" s="46">
        <f>1791300-336300</f>
        <v>1455000</v>
      </c>
      <c r="H160" s="46">
        <v>336300</v>
      </c>
      <c r="I160" s="46"/>
    </row>
    <row r="161" spans="1:9" s="31" customFormat="1" ht="38.4" customHeight="1">
      <c r="A161" s="30" t="s">
        <v>270</v>
      </c>
      <c r="B161" s="30"/>
      <c r="C161" s="30"/>
      <c r="D161" s="71" t="s">
        <v>271</v>
      </c>
      <c r="E161" s="72"/>
      <c r="F161" s="20">
        <f>F162</f>
        <v>890000</v>
      </c>
      <c r="G161" s="20">
        <f t="shared" ref="G161:I161" si="17">G162</f>
        <v>850000</v>
      </c>
      <c r="H161" s="20">
        <f t="shared" si="17"/>
        <v>0</v>
      </c>
      <c r="I161" s="20">
        <f t="shared" si="17"/>
        <v>0</v>
      </c>
    </row>
    <row r="162" spans="1:9" s="31" customFormat="1" ht="40.200000000000003" customHeight="1">
      <c r="A162" s="30" t="s">
        <v>272</v>
      </c>
      <c r="B162" s="18"/>
      <c r="C162" s="18"/>
      <c r="D162" s="71" t="s">
        <v>271</v>
      </c>
      <c r="E162" s="72"/>
      <c r="F162" s="20">
        <f>F164+F163</f>
        <v>890000</v>
      </c>
      <c r="G162" s="20">
        <f t="shared" ref="G162:I162" si="18">G164</f>
        <v>850000</v>
      </c>
      <c r="H162" s="20">
        <f t="shared" si="18"/>
        <v>0</v>
      </c>
      <c r="I162" s="20">
        <f t="shared" si="18"/>
        <v>0</v>
      </c>
    </row>
    <row r="163" spans="1:9" s="31" customFormat="1" ht="108">
      <c r="A163" s="26" t="s">
        <v>295</v>
      </c>
      <c r="B163" s="26" t="s">
        <v>296</v>
      </c>
      <c r="C163" s="26" t="s">
        <v>102</v>
      </c>
      <c r="D163" s="23" t="s">
        <v>297</v>
      </c>
      <c r="E163" s="52" t="s">
        <v>298</v>
      </c>
      <c r="F163" s="24">
        <v>40000</v>
      </c>
      <c r="G163" s="20"/>
      <c r="H163" s="20"/>
      <c r="I163" s="20"/>
    </row>
    <row r="164" spans="1:9" ht="72">
      <c r="A164" s="18" t="s">
        <v>273</v>
      </c>
      <c r="B164" s="18" t="s">
        <v>274</v>
      </c>
      <c r="C164" s="26" t="s">
        <v>102</v>
      </c>
      <c r="D164" s="23" t="s">
        <v>275</v>
      </c>
      <c r="E164" s="29" t="s">
        <v>276</v>
      </c>
      <c r="F164" s="24">
        <v>850000</v>
      </c>
      <c r="G164" s="46">
        <v>850000</v>
      </c>
      <c r="H164" s="46"/>
      <c r="I164" s="46"/>
    </row>
    <row r="165" spans="1:9" s="31" customFormat="1" ht="38.4" customHeight="1">
      <c r="A165" s="30" t="s">
        <v>127</v>
      </c>
      <c r="B165" s="30"/>
      <c r="C165" s="30"/>
      <c r="D165" s="71" t="s">
        <v>129</v>
      </c>
      <c r="E165" s="72"/>
      <c r="F165" s="20">
        <f t="shared" ref="F165:I165" si="19">F166</f>
        <v>54880782</v>
      </c>
      <c r="G165" s="45">
        <f>G166</f>
        <v>49880782</v>
      </c>
      <c r="H165" s="45">
        <f t="shared" si="19"/>
        <v>0</v>
      </c>
      <c r="I165" s="45">
        <f t="shared" si="19"/>
        <v>0</v>
      </c>
    </row>
    <row r="166" spans="1:9" s="31" customFormat="1" ht="40.200000000000003" customHeight="1">
      <c r="A166" s="30" t="s">
        <v>128</v>
      </c>
      <c r="B166" s="18"/>
      <c r="C166" s="18"/>
      <c r="D166" s="71" t="s">
        <v>129</v>
      </c>
      <c r="E166" s="72"/>
      <c r="F166" s="20">
        <f>F167+F168+F171</f>
        <v>54880782</v>
      </c>
      <c r="G166" s="20">
        <f t="shared" ref="G166:I166" si="20">G167+G168+G171</f>
        <v>49880782</v>
      </c>
      <c r="H166" s="20">
        <f t="shared" si="20"/>
        <v>0</v>
      </c>
      <c r="I166" s="20">
        <f t="shared" si="20"/>
        <v>0</v>
      </c>
    </row>
    <row r="167" spans="1:9" s="31" customFormat="1" ht="36">
      <c r="A167" s="51">
        <v>3717520</v>
      </c>
      <c r="B167" s="51">
        <v>7520</v>
      </c>
      <c r="C167" s="26" t="s">
        <v>52</v>
      </c>
      <c r="D167" s="23" t="s">
        <v>51</v>
      </c>
      <c r="E167" s="52" t="s">
        <v>167</v>
      </c>
      <c r="F167" s="24">
        <v>25000</v>
      </c>
      <c r="G167" s="46">
        <v>25000</v>
      </c>
      <c r="H167" s="45"/>
      <c r="I167" s="45"/>
    </row>
    <row r="168" spans="1:9" s="31" customFormat="1" ht="36">
      <c r="A168" s="51" t="s">
        <v>179</v>
      </c>
      <c r="B168" s="51" t="s">
        <v>180</v>
      </c>
      <c r="C168" s="51" t="s">
        <v>133</v>
      </c>
      <c r="D168" s="23" t="s">
        <v>181</v>
      </c>
      <c r="E168" s="29" t="s">
        <v>25</v>
      </c>
      <c r="F168" s="24">
        <f>F169+F170</f>
        <v>1341300</v>
      </c>
      <c r="G168" s="24">
        <f>G169+G170</f>
        <v>1341300</v>
      </c>
      <c r="H168" s="45"/>
      <c r="I168" s="45"/>
    </row>
    <row r="169" spans="1:9" s="31" customFormat="1" ht="72">
      <c r="A169" s="51"/>
      <c r="B169" s="51"/>
      <c r="C169" s="51"/>
      <c r="D169" s="23"/>
      <c r="E169" s="52" t="s">
        <v>187</v>
      </c>
      <c r="F169" s="24">
        <v>1041300</v>
      </c>
      <c r="G169" s="46">
        <v>1041300</v>
      </c>
      <c r="H169" s="45"/>
      <c r="I169" s="45"/>
    </row>
    <row r="170" spans="1:9" s="31" customFormat="1" ht="100.5" customHeight="1">
      <c r="A170" s="51"/>
      <c r="B170" s="51"/>
      <c r="C170" s="51"/>
      <c r="D170" s="23"/>
      <c r="E170" s="29" t="s">
        <v>289</v>
      </c>
      <c r="F170" s="24">
        <v>300000</v>
      </c>
      <c r="G170" s="46">
        <v>300000</v>
      </c>
      <c r="H170" s="45"/>
      <c r="I170" s="45"/>
    </row>
    <row r="171" spans="1:9" ht="72">
      <c r="A171" s="18" t="s">
        <v>131</v>
      </c>
      <c r="B171" s="18" t="s">
        <v>132</v>
      </c>
      <c r="C171" s="26" t="s">
        <v>133</v>
      </c>
      <c r="D171" s="23" t="s">
        <v>130</v>
      </c>
      <c r="E171" s="29" t="s">
        <v>25</v>
      </c>
      <c r="F171" s="24">
        <f>F172+F173+F174+F175</f>
        <v>53514482</v>
      </c>
      <c r="G171" s="24">
        <f>G172+G173+G174+G175</f>
        <v>48514482</v>
      </c>
      <c r="H171" s="46"/>
      <c r="I171" s="46"/>
    </row>
    <row r="172" spans="1:9" ht="72">
      <c r="A172" s="18"/>
      <c r="B172" s="18"/>
      <c r="C172" s="26"/>
      <c r="D172" s="23"/>
      <c r="E172" s="29" t="s">
        <v>134</v>
      </c>
      <c r="F172" s="24">
        <f>6810000+5874082+6000000+2000000+4300000-2000000+5500000+1500000+1000000+2120000+4085400+2500000+5400000+5000000</f>
        <v>50089482</v>
      </c>
      <c r="G172" s="24">
        <f>6810000+5874082+6000000+2000000+4300000-2000000+5500000+1500000+1000000+2120000+4085400+2500000+5400000</f>
        <v>45089482</v>
      </c>
      <c r="H172" s="46"/>
      <c r="I172" s="46"/>
    </row>
    <row r="173" spans="1:9" ht="36">
      <c r="A173" s="18"/>
      <c r="B173" s="18"/>
      <c r="C173" s="26"/>
      <c r="D173" s="23"/>
      <c r="E173" s="29" t="s">
        <v>135</v>
      </c>
      <c r="F173" s="24">
        <f>1000000+130000-100000</f>
        <v>1030000</v>
      </c>
      <c r="G173" s="24">
        <f>1000000+130000-100000</f>
        <v>1030000</v>
      </c>
      <c r="H173" s="46"/>
      <c r="I173" s="46"/>
    </row>
    <row r="174" spans="1:9" ht="36">
      <c r="A174" s="18"/>
      <c r="B174" s="18"/>
      <c r="C174" s="26"/>
      <c r="D174" s="23"/>
      <c r="E174" s="29" t="s">
        <v>166</v>
      </c>
      <c r="F174" s="24">
        <v>1295000</v>
      </c>
      <c r="G174" s="24">
        <v>1295000</v>
      </c>
      <c r="H174" s="46"/>
      <c r="I174" s="46"/>
    </row>
    <row r="175" spans="1:9" ht="72">
      <c r="A175" s="18"/>
      <c r="B175" s="18"/>
      <c r="C175" s="26"/>
      <c r="D175" s="23"/>
      <c r="E175" s="29" t="s">
        <v>257</v>
      </c>
      <c r="F175" s="24">
        <v>1100000</v>
      </c>
      <c r="G175" s="24">
        <v>1100000</v>
      </c>
      <c r="H175" s="46"/>
      <c r="I175" s="46"/>
    </row>
    <row r="176" spans="1:9">
      <c r="A176" s="22"/>
      <c r="B176" s="17"/>
      <c r="C176" s="17"/>
      <c r="D176" s="2"/>
      <c r="E176" s="13" t="s">
        <v>0</v>
      </c>
      <c r="F176" s="25">
        <f>F15+F41+F79+F83+F90+F93+F145+F161+F165</f>
        <v>172589637.65000001</v>
      </c>
      <c r="G176" s="25" t="e">
        <f>G15+G41+G79+G83+G90+G93+G145+G161+G165</f>
        <v>#REF!</v>
      </c>
      <c r="H176" s="25">
        <f>H15+H41+H79+H83+H90+H93+H145+H161+H165</f>
        <v>336300</v>
      </c>
      <c r="I176" s="25">
        <f>I15+I41+I79+I83+I90+I93+I145+I161+I165</f>
        <v>5656000</v>
      </c>
    </row>
    <row r="177" spans="1:9" s="19" customFormat="1">
      <c r="A177" s="5"/>
      <c r="B177" s="4"/>
      <c r="C177" s="4"/>
      <c r="D177" s="5"/>
      <c r="E177" s="14"/>
      <c r="F177" s="15"/>
      <c r="G177" s="48"/>
      <c r="H177" s="48"/>
      <c r="I177" s="48"/>
    </row>
    <row r="178" spans="1:9">
      <c r="A178" s="21"/>
      <c r="B178" s="19" t="s">
        <v>19</v>
      </c>
      <c r="C178" s="19"/>
      <c r="D178" s="19"/>
      <c r="E178" s="19"/>
      <c r="F178" s="19"/>
    </row>
    <row r="179" spans="1:9">
      <c r="F179" s="1"/>
      <c r="G179" s="49"/>
      <c r="H179" s="49"/>
      <c r="I179" s="49"/>
    </row>
    <row r="182" spans="1:9">
      <c r="F182" s="1"/>
    </row>
  </sheetData>
  <mergeCells count="31">
    <mergeCell ref="D41:E41"/>
    <mergeCell ref="D42:E42"/>
    <mergeCell ref="D15:E15"/>
    <mergeCell ref="D16:E16"/>
    <mergeCell ref="A8:B8"/>
    <mergeCell ref="A9:B9"/>
    <mergeCell ref="A10:I10"/>
    <mergeCell ref="A12:A13"/>
    <mergeCell ref="B12:B13"/>
    <mergeCell ref="C12:C13"/>
    <mergeCell ref="D12:D13"/>
    <mergeCell ref="E12:E13"/>
    <mergeCell ref="F12:F13"/>
    <mergeCell ref="G12:I12"/>
    <mergeCell ref="D66:E66"/>
    <mergeCell ref="D67:E67"/>
    <mergeCell ref="D93:E93"/>
    <mergeCell ref="D94:E94"/>
    <mergeCell ref="D145:E145"/>
    <mergeCell ref="D79:E79"/>
    <mergeCell ref="D80:E80"/>
    <mergeCell ref="D83:E83"/>
    <mergeCell ref="D84:E84"/>
    <mergeCell ref="D90:E90"/>
    <mergeCell ref="D91:E91"/>
    <mergeCell ref="D82:E82"/>
    <mergeCell ref="D161:E161"/>
    <mergeCell ref="D162:E162"/>
    <mergeCell ref="D146:E146"/>
    <mergeCell ref="D165:E165"/>
    <mergeCell ref="D166:E166"/>
  </mergeCells>
  <pageMargins left="0.19685039370078741" right="0.19685039370078741" top="0.59055118110236227" bottom="0.59055118110236227" header="0" footer="0"/>
  <pageSetup paperSize="9" scale="56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2025</vt:lpstr>
      <vt:lpstr>'2025'!Заголовки_для_друку</vt:lpstr>
      <vt:lpstr>'2025'!Область_друку</vt:lpstr>
    </vt:vector>
  </TitlesOfParts>
  <Company>УКХиЭ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220FU11</cp:lastModifiedBy>
  <cp:lastPrinted>2025-08-02T13:26:50Z</cp:lastPrinted>
  <dcterms:created xsi:type="dcterms:W3CDTF">2005-08-15T04:40:30Z</dcterms:created>
  <dcterms:modified xsi:type="dcterms:W3CDTF">2025-12-17T13:13:02Z</dcterms:modified>
</cp:coreProperties>
</file>